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MONSEIGNE - SR 17050266\"/>
    </mc:Choice>
  </mc:AlternateContent>
  <xr:revisionPtr revIDLastSave="0" documentId="13_ncr:1_{68A515E4-CA34-465D-96E5-0E2F037C940A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5" i="1" l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ED157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W162" i="2"/>
  <c r="ED161" i="2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Y163" i="2"/>
  <c r="ED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X167" i="2"/>
  <c r="EA167" i="2"/>
  <c r="DG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W168" i="2"/>
  <c r="EB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A185" i="2"/>
  <c r="EW185" i="2"/>
  <c r="EB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V192" i="2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3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Y194" i="2"/>
  <c r="EB195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29" i="2" l="1" a="1"/>
  <c r="CS129" i="2" s="1"/>
  <c r="CS66" i="2" a="1"/>
  <c r="CS6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24" i="2" l="1"/>
  <c r="CY6" i="2"/>
  <c r="CY41" i="2"/>
  <c r="CY70" i="2"/>
  <c r="CY129" i="2"/>
  <c r="CY173" i="2"/>
  <c r="CY169" i="2"/>
  <c r="CY27" i="2"/>
  <c r="CY190" i="2"/>
  <c r="CY130" i="2"/>
  <c r="CY156" i="2"/>
  <c r="CY104" i="2"/>
  <c r="CY88" i="2"/>
  <c r="CY109" i="2"/>
  <c r="CY29" i="2"/>
  <c r="CY31" i="2"/>
  <c r="CY121" i="2"/>
  <c r="CY153" i="2"/>
  <c r="CY102" i="2"/>
  <c r="CY132" i="2"/>
  <c r="CY159" i="2"/>
  <c r="CY69" i="2"/>
  <c r="CY93" i="2"/>
  <c r="CY191" i="2"/>
  <c r="CY5" i="2"/>
  <c r="CY22" i="2"/>
  <c r="CY47" i="2"/>
  <c r="CY152" i="2"/>
  <c r="CY40" i="2"/>
  <c r="CY97" i="2"/>
  <c r="CY80" i="2"/>
  <c r="CY42" i="2"/>
  <c r="CY163" i="2"/>
  <c r="CY195" i="2"/>
  <c r="CY198" i="2"/>
  <c r="CY36" i="2"/>
  <c r="CY64" i="2"/>
  <c r="CY94" i="2"/>
  <c r="CY193" i="2"/>
  <c r="CY197" i="2"/>
  <c r="CY13" i="2"/>
  <c r="CY183" i="2"/>
  <c r="CY181" i="2"/>
  <c r="CY63" i="2"/>
  <c r="CY162" i="2"/>
  <c r="CY28" i="2"/>
  <c r="CY12" i="2"/>
  <c r="CY103" i="2"/>
  <c r="CY16" i="2"/>
  <c r="CY9" i="2"/>
  <c r="CY77" i="2"/>
  <c r="CY119" i="2"/>
  <c r="CY52" i="2"/>
  <c r="CY98" i="2"/>
  <c r="CY177" i="2"/>
  <c r="CY160" i="2"/>
  <c r="CY118" i="2"/>
  <c r="CY56" i="2"/>
  <c r="CY81" i="2"/>
  <c r="CY194" i="2"/>
  <c r="CY172" i="2"/>
  <c r="CY44" i="2"/>
  <c r="CY161" i="2"/>
  <c r="CY49" i="2"/>
  <c r="CY178" i="2"/>
  <c r="CY37" i="2"/>
  <c r="CY26" i="2"/>
  <c r="CY180" i="2"/>
  <c r="CY158" i="2"/>
  <c r="CY78" i="2"/>
  <c r="CY110" i="2"/>
  <c r="CY202" i="2"/>
  <c r="CY174" i="2"/>
  <c r="CY127" i="2"/>
  <c r="CY164" i="2"/>
  <c r="CY73" i="2"/>
  <c r="CY62" i="2"/>
  <c r="CY120" i="2"/>
  <c r="CY168" i="2"/>
  <c r="CY128" i="2"/>
  <c r="CY122" i="2"/>
  <c r="CY84" i="2"/>
  <c r="CY82" i="2"/>
  <c r="CY146" i="2"/>
  <c r="CY76" i="2"/>
  <c r="CY131" i="2"/>
  <c r="CY86" i="2"/>
  <c r="CY34" i="2"/>
  <c r="CY157" i="2"/>
  <c r="CY149" i="2"/>
  <c r="CY85" i="2"/>
  <c r="CY45" i="2"/>
  <c r="CY116" i="2"/>
  <c r="CY66" i="2"/>
  <c r="CY71" i="2"/>
  <c r="CY39" i="2"/>
  <c r="CY167" i="2"/>
  <c r="CY18" i="2"/>
  <c r="CY58" i="2"/>
  <c r="CY117" i="2"/>
  <c r="CY201" i="2"/>
  <c r="CY57" i="2"/>
  <c r="CY92" i="2"/>
  <c r="CY53" i="2"/>
  <c r="CY165" i="2"/>
  <c r="CY30" i="2"/>
  <c r="CY46" i="2"/>
  <c r="CY166" i="2"/>
  <c r="CY141" i="2"/>
  <c r="CY125" i="2"/>
  <c r="CY186" i="2"/>
  <c r="CY15" i="2"/>
  <c r="CY101" i="2"/>
  <c r="CY170" i="2"/>
  <c r="CY105" i="2"/>
  <c r="CY196" i="2"/>
  <c r="CY72" i="2"/>
  <c r="CY43" i="2"/>
  <c r="CY147" i="2"/>
  <c r="CY140" i="2"/>
  <c r="CY155" i="2"/>
  <c r="CY50" i="2"/>
  <c r="CY124" i="2"/>
  <c r="CY17" i="2"/>
  <c r="CY96" i="2"/>
  <c r="CY176" i="2"/>
  <c r="CY179" i="2"/>
  <c r="CY192" i="2"/>
  <c r="CY3" i="2"/>
  <c r="C10" i="4" s="1"/>
  <c r="E10" i="4" s="1"/>
  <c r="F10" i="4" s="1"/>
  <c r="G10" i="4" s="1"/>
  <c r="L10" i="4" s="1"/>
  <c r="CY55" i="2"/>
  <c r="CY35" i="2"/>
  <c r="CY203" i="2"/>
  <c r="CY188" i="2"/>
  <c r="CY91" i="2"/>
  <c r="CY21" i="2"/>
  <c r="CY106" i="2"/>
  <c r="CY151" i="2"/>
  <c r="CY48" i="2"/>
  <c r="CY199" i="2"/>
  <c r="CY107" i="2"/>
  <c r="CY11" i="2"/>
  <c r="CY100" i="2"/>
  <c r="CY113" i="2"/>
  <c r="CY54" i="2"/>
  <c r="CY150" i="2"/>
  <c r="CY25" i="2"/>
  <c r="CY200" i="2"/>
  <c r="CY75" i="2"/>
  <c r="CY23" i="2"/>
  <c r="CY108" i="2"/>
  <c r="CY99" i="2"/>
  <c r="CY32" i="2"/>
  <c r="CY184" i="2"/>
  <c r="CY112" i="2"/>
  <c r="CY7" i="2"/>
  <c r="CY4" i="2"/>
  <c r="CY114" i="2"/>
  <c r="CY111" i="2"/>
  <c r="CY65" i="2"/>
  <c r="CY133" i="2"/>
  <c r="CY83" i="2"/>
  <c r="CY79" i="2"/>
  <c r="CY74" i="2"/>
  <c r="CY135" i="2"/>
  <c r="CY67" i="2"/>
  <c r="CY144" i="2"/>
  <c r="CY126" i="2"/>
  <c r="CY61" i="2"/>
  <c r="CY148" i="2"/>
  <c r="CY19" i="2"/>
  <c r="CY59" i="2"/>
  <c r="CY136" i="2"/>
  <c r="CY89" i="2"/>
  <c r="CY115" i="2"/>
  <c r="CY33" i="2"/>
  <c r="CY8" i="2"/>
  <c r="CY189" i="2"/>
  <c r="CY185" i="2"/>
  <c r="CY143" i="2"/>
  <c r="CY14" i="2"/>
  <c r="CY68" i="2"/>
  <c r="CY51" i="2"/>
  <c r="CY38" i="2"/>
  <c r="CY175" i="2"/>
  <c r="CY154" i="2"/>
  <c r="CY187" i="2"/>
  <c r="CY137" i="2"/>
  <c r="CY87" i="2"/>
  <c r="CY171" i="2"/>
  <c r="CY10" i="2"/>
  <c r="CY123" i="2"/>
  <c r="CY182" i="2"/>
  <c r="CY134" i="2"/>
  <c r="CY90" i="2"/>
  <c r="CY95" i="2"/>
  <c r="CY145" i="2"/>
  <c r="CY142" i="2"/>
  <c r="CY60" i="2"/>
  <c r="CY20" i="2"/>
  <c r="CY139" i="2"/>
  <c r="CY138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<sst xmlns="http://schemas.openxmlformats.org/spreadsheetml/2006/main" count="1171" uniqueCount="324">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</sst>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9" fillId="14" borderId="1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Milliers 2" xfId="3" xr:uid="{8D1153F2-EB1E-454F-BA14-11A6FE947485}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1.9228171101479343</c:v>
                </c:pt>
                <c:pt idx="2">
                  <c:v>2.3839762212252493</c:v>
                </c:pt>
                <c:pt idx="3">
                  <c:v>2.9561699626966398</c:v>
                </c:pt>
                <c:pt idx="4">
                  <c:v>3.6662308682624953</c:v>
                </c:pt>
                <c:pt idx="5">
                  <c:v>4.5474981006760791</c:v>
                </c:pt>
                <c:pt idx="6">
                  <c:v>5.6414002822324134</c:v>
                </c:pt>
                <c:pt idx="7">
                  <c:v>6.9994245047079717</c:v>
                </c:pt>
                <c:pt idx="8">
                  <c:v>8.6855659931576685</c:v>
                </c:pt>
                <c:pt idx="9">
                  <c:v>10.779376066926231</c:v>
                </c:pt>
                <c:pt idx="10">
                  <c:v>13.379754904830248</c:v>
                </c:pt>
                <c:pt idx="11">
                  <c:v>16.609671582214194</c:v>
                </c:pt>
                <c:pt idx="12">
                  <c:v>20.622038654014851</c:v>
                </c:pt>
                <c:pt idx="13">
                  <c:v>25.607024390178637</c:v>
                </c:pt>
                <c:pt idx="14">
                  <c:v>31.801155346095459</c:v>
                </c:pt>
                <c:pt idx="15">
                  <c:v>39.498648660803447</c:v>
                </c:pt>
                <c:pt idx="16">
                  <c:v>49.065521546616061</c:v>
                </c:pt>
                <c:pt idx="17">
                  <c:v>60.957160137116858</c:v>
                </c:pt>
                <c:pt idx="18">
                  <c:v>75.740197770787589</c:v>
                </c:pt>
                <c:pt idx="19">
                  <c:v>94.119762105118596</c:v>
                </c:pt>
                <c:pt idx="20">
                  <c:v>116.97341140922269</c:v>
                </c:pt>
                <c:pt idx="21">
                  <c:v>108.1931416441323</c:v>
                </c:pt>
                <c:pt idx="22">
                  <c:v>125.6068855785234</c:v>
                </c:pt>
                <c:pt idx="23">
                  <c:v>142.96199841867738</c:v>
                </c:pt>
                <c:pt idx="24">
                  <c:v>160.26661002786599</c:v>
                </c:pt>
                <c:pt idx="25">
                  <c:v>177.52694566934088</c:v>
                </c:pt>
                <c:pt idx="26">
                  <c:v>194.74791846795674</c:v>
                </c:pt>
                <c:pt idx="27">
                  <c:v>211.93350024727374</c:v>
                </c:pt>
                <c:pt idx="28">
                  <c:v>229.08696530373251</c:v>
                </c:pt>
                <c:pt idx="29">
                  <c:v>246.21105711862251</c:v>
                </c:pt>
                <c:pt idx="30">
                  <c:v>263.30810614969687</c:v>
                </c:pt>
                <c:pt idx="31">
                  <c:v>206.25174818981284</c:v>
                </c:pt>
                <c:pt idx="32">
                  <c:v>226.50943532106294</c:v>
                </c:pt>
                <c:pt idx="33">
                  <c:v>246.72563774429935</c:v>
                </c:pt>
                <c:pt idx="34">
                  <c:v>266.90423231001682</c:v>
                </c:pt>
                <c:pt idx="35">
                  <c:v>287.04846149927101</c:v>
                </c:pt>
                <c:pt idx="36">
                  <c:v>307.16107541724091</c:v>
                </c:pt>
                <c:pt idx="37">
                  <c:v>327.24443459088332</c:v>
                </c:pt>
                <c:pt idx="38">
                  <c:v>347.30058618137667</c:v>
                </c:pt>
                <c:pt idx="39">
                  <c:v>367.33132165621686</c:v>
                </c:pt>
                <c:pt idx="40">
                  <c:v>387.33822121677048</c:v>
                </c:pt>
                <c:pt idx="41">
                  <c:v>307.1610754172408</c:v>
                </c:pt>
                <c:pt idx="42">
                  <c:v>327.88357486428237</c:v>
                </c:pt>
                <c:pt idx="43">
                  <c:v>348.57716937355349</c:v>
                </c:pt>
                <c:pt idx="44">
                  <c:v>369.24381536730135</c:v>
                </c:pt>
                <c:pt idx="45">
                  <c:v>389.88523246274627</c:v>
                </c:pt>
                <c:pt idx="46">
                  <c:v>410.50294341321847</c:v>
                </c:pt>
                <c:pt idx="47">
                  <c:v>431.09830560423705</c:v>
                </c:pt>
                <c:pt idx="48">
                  <c:v>451.67253621627088</c:v>
                </c:pt>
                <c:pt idx="49">
                  <c:v>472.22673256386997</c:v>
                </c:pt>
                <c:pt idx="50">
                  <c:v>492.76188870967644</c:v>
                </c:pt>
                <c:pt idx="51">
                  <c:v>399.56060449432636</c:v>
                </c:pt>
                <c:pt idx="52">
                  <c:v>419.40484180194272</c:v>
                </c:pt>
                <c:pt idx="53">
                  <c:v>439.22885835221342</c:v>
                </c:pt>
                <c:pt idx="54">
                  <c:v>459.03369461888457</c:v>
                </c:pt>
                <c:pt idx="55">
                  <c:v>478.82029402342147</c:v>
                </c:pt>
                <c:pt idx="56">
                  <c:v>498.58951570604586</c:v>
                </c:pt>
                <c:pt idx="57">
                  <c:v>518.34214516637292</c:v>
                </c:pt>
                <c:pt idx="58">
                  <c:v>538.07890319826015</c:v>
                </c:pt>
                <c:pt idx="59">
                  <c:v>557.80045344608595</c:v>
                </c:pt>
                <c:pt idx="60">
                  <c:v>577.50740883732692</c:v>
                </c:pt>
                <c:pt idx="61">
                  <c:v>481.4825295865167</c:v>
                </c:pt>
                <c:pt idx="62">
                  <c:v>499.34953422631764</c:v>
                </c:pt>
                <c:pt idx="63">
                  <c:v>517.20300843460734</c:v>
                </c:pt>
                <c:pt idx="64">
                  <c:v>535.04348473955304</c:v>
                </c:pt>
                <c:pt idx="65">
                  <c:v>552.87145728238113</c:v>
                </c:pt>
                <c:pt idx="66">
                  <c:v>570.6873857583937</c:v>
                </c:pt>
                <c:pt idx="67">
                  <c:v>588.49169884050696</c:v>
                </c:pt>
                <c:pt idx="68">
                  <c:v>606.2847971671714</c:v>
                </c:pt>
                <c:pt idx="69">
                  <c:v>624.06705596150925</c:v>
                </c:pt>
                <c:pt idx="70">
                  <c:v>641.8388273366063</c:v>
                </c:pt>
                <c:pt idx="71">
                  <c:v>549.07929537769098</c:v>
                </c:pt>
                <c:pt idx="72">
                  <c:v>564.87639384426382</c:v>
                </c:pt>
                <c:pt idx="73">
                  <c:v>580.66425649016571</c:v>
                </c:pt>
                <c:pt idx="74">
                  <c:v>596.44316965824521</c:v>
                </c:pt>
                <c:pt idx="75">
                  <c:v>612.21340331456997</c:v>
                </c:pt>
                <c:pt idx="76">
                  <c:v>627.97521239147818</c:v>
                </c:pt>
                <c:pt idx="77">
                  <c:v>643.72883798886176</c:v>
                </c:pt>
                <c:pt idx="78">
                  <c:v>659.47450845181413</c:v>
                </c:pt>
                <c:pt idx="79">
                  <c:v>675.21244034007702</c:v>
                </c:pt>
                <c:pt idx="80">
                  <c:v>690.94283930246741</c:v>
                </c:pt>
                <c:pt idx="81">
                  <c:v>606.2847971671714</c:v>
                </c:pt>
                <c:pt idx="82">
                  <c:v>619.90620335950791</c:v>
                </c:pt>
                <c:pt idx="83">
                  <c:v>633.52140991484214</c:v>
                </c:pt>
                <c:pt idx="84">
                  <c:v>647.13056877940483</c:v>
                </c:pt>
                <c:pt idx="85">
                  <c:v>660.73382499079878</c:v>
                </c:pt>
                <c:pt idx="86">
                  <c:v>674.33131713084038</c:v>
                </c:pt>
                <c:pt idx="87">
                  <c:v>687.92317774000242</c:v>
                </c:pt>
                <c:pt idx="88">
                  <c:v>701.50953369741865</c:v>
                </c:pt>
                <c:pt idx="89">
                  <c:v>715.09050656993907</c:v>
                </c:pt>
                <c:pt idx="90">
                  <c:v>728.66621293330627</c:v>
                </c:pt>
                <c:pt idx="91">
                  <c:v>640.57875641162809</c:v>
                </c:pt>
                <c:pt idx="92">
                  <c:v>640.57875641162809</c:v>
                </c:pt>
                <c:pt idx="93">
                  <c:v>640.57875641162809</c:v>
                </c:pt>
                <c:pt idx="94">
                  <c:v>640.57875641162809</c:v>
                </c:pt>
                <c:pt idx="95">
                  <c:v>640.57875641162809</c:v>
                </c:pt>
                <c:pt idx="96">
                  <c:v>640.57875641162809</c:v>
                </c:pt>
                <c:pt idx="97">
                  <c:v>640.57875641162809</c:v>
                </c:pt>
                <c:pt idx="98">
                  <c:v>640.57875641162809</c:v>
                </c:pt>
                <c:pt idx="99">
                  <c:v>640.57875641162809</c:v>
                </c:pt>
                <c:pt idx="100">
                  <c:v>640.57875641162809</c:v>
                </c:pt>
                <c:pt idx="101">
                  <c:v>640.57875641162809</c:v>
                </c:pt>
                <c:pt idx="102">
                  <c:v>640.57875641162809</c:v>
                </c:pt>
                <c:pt idx="103">
                  <c:v>640.57875641162809</c:v>
                </c:pt>
                <c:pt idx="104">
                  <c:v>640.57875641162809</c:v>
                </c:pt>
                <c:pt idx="105">
                  <c:v>640.57875641162809</c:v>
                </c:pt>
                <c:pt idx="106">
                  <c:v>640.57875641162809</c:v>
                </c:pt>
                <c:pt idx="107">
                  <c:v>640.57875641162809</c:v>
                </c:pt>
                <c:pt idx="108">
                  <c:v>640.57875641162809</c:v>
                </c:pt>
                <c:pt idx="109">
                  <c:v>640.57875641162809</c:v>
                </c:pt>
                <c:pt idx="110">
                  <c:v>640.57875641162809</c:v>
                </c:pt>
                <c:pt idx="111">
                  <c:v>640.57875641162809</c:v>
                </c:pt>
                <c:pt idx="112">
                  <c:v>640.57875641162809</c:v>
                </c:pt>
                <c:pt idx="113">
                  <c:v>640.57875641162809</c:v>
                </c:pt>
                <c:pt idx="114">
                  <c:v>640.57875641162809</c:v>
                </c:pt>
                <c:pt idx="115">
                  <c:v>640.57875641162809</c:v>
                </c:pt>
                <c:pt idx="116">
                  <c:v>640.57875641162809</c:v>
                </c:pt>
                <c:pt idx="117">
                  <c:v>640.57875641162809</c:v>
                </c:pt>
                <c:pt idx="118">
                  <c:v>640.57875641162809</c:v>
                </c:pt>
                <c:pt idx="119">
                  <c:v>640.57875641162809</c:v>
                </c:pt>
                <c:pt idx="120">
                  <c:v>640.57875641162809</c:v>
                </c:pt>
                <c:pt idx="121">
                  <c:v>640.57875641162809</c:v>
                </c:pt>
                <c:pt idx="122">
                  <c:v>640.57875641162809</c:v>
                </c:pt>
                <c:pt idx="123">
                  <c:v>640.57875641162809</c:v>
                </c:pt>
                <c:pt idx="124">
                  <c:v>640.57875641162809</c:v>
                </c:pt>
                <c:pt idx="125">
                  <c:v>640.57875641162809</c:v>
                </c:pt>
                <c:pt idx="126">
                  <c:v>640.57875641162809</c:v>
                </c:pt>
                <c:pt idx="127">
                  <c:v>640.57875641162809</c:v>
                </c:pt>
                <c:pt idx="128">
                  <c:v>640.57875641162809</c:v>
                </c:pt>
                <c:pt idx="129">
                  <c:v>640.57875641162809</c:v>
                </c:pt>
                <c:pt idx="130">
                  <c:v>640.57875641162809</c:v>
                </c:pt>
                <c:pt idx="131">
                  <c:v>640.57875641162809</c:v>
                </c:pt>
                <c:pt idx="132">
                  <c:v>640.57875641162809</c:v>
                </c:pt>
                <c:pt idx="133">
                  <c:v>640.57875641162809</c:v>
                </c:pt>
                <c:pt idx="134">
                  <c:v>640.57875641162809</c:v>
                </c:pt>
                <c:pt idx="135">
                  <c:v>640.57875641162809</c:v>
                </c:pt>
                <c:pt idx="136">
                  <c:v>640.57875641162809</c:v>
                </c:pt>
                <c:pt idx="137">
                  <c:v>640.57875641162809</c:v>
                </c:pt>
                <c:pt idx="138">
                  <c:v>640.57875641162809</c:v>
                </c:pt>
                <c:pt idx="139">
                  <c:v>640.57875641162809</c:v>
                </c:pt>
                <c:pt idx="140">
                  <c:v>640.57875641162809</c:v>
                </c:pt>
                <c:pt idx="141">
                  <c:v>640.57875641162809</c:v>
                </c:pt>
                <c:pt idx="142">
                  <c:v>640.57875641162809</c:v>
                </c:pt>
                <c:pt idx="143">
                  <c:v>640.57875641162809</c:v>
                </c:pt>
                <c:pt idx="144">
                  <c:v>640.57875641162809</c:v>
                </c:pt>
                <c:pt idx="145">
                  <c:v>640.57875641162809</c:v>
                </c:pt>
                <c:pt idx="146">
                  <c:v>640.57875641162809</c:v>
                </c:pt>
                <c:pt idx="147">
                  <c:v>640.57875641162809</c:v>
                </c:pt>
                <c:pt idx="148">
                  <c:v>640.57875641162809</c:v>
                </c:pt>
                <c:pt idx="149">
                  <c:v>640.57875641162809</c:v>
                </c:pt>
                <c:pt idx="150">
                  <c:v>640.57875641162809</c:v>
                </c:pt>
                <c:pt idx="151">
                  <c:v>640.57875641162809</c:v>
                </c:pt>
                <c:pt idx="152">
                  <c:v>640.57875641162809</c:v>
                </c:pt>
                <c:pt idx="153">
                  <c:v>640.57875641162809</c:v>
                </c:pt>
                <c:pt idx="154">
                  <c:v>640.57875641162809</c:v>
                </c:pt>
                <c:pt idx="155">
                  <c:v>640.57875641162809</c:v>
                </c:pt>
                <c:pt idx="156">
                  <c:v>640.57875641162809</c:v>
                </c:pt>
                <c:pt idx="157">
                  <c:v>640.57875641162809</c:v>
                </c:pt>
                <c:pt idx="158">
                  <c:v>640.57875641162809</c:v>
                </c:pt>
                <c:pt idx="159">
                  <c:v>640.57875641162809</c:v>
                </c:pt>
                <c:pt idx="160">
                  <c:v>640.57875641162809</c:v>
                </c:pt>
                <c:pt idx="161">
                  <c:v>640.57875641162809</c:v>
                </c:pt>
                <c:pt idx="162">
                  <c:v>640.57875641162809</c:v>
                </c:pt>
                <c:pt idx="163">
                  <c:v>640.57875641162809</c:v>
                </c:pt>
                <c:pt idx="164">
                  <c:v>640.57875641162809</c:v>
                </c:pt>
                <c:pt idx="165">
                  <c:v>640.57875641162809</c:v>
                </c:pt>
                <c:pt idx="166">
                  <c:v>640.57875641162809</c:v>
                </c:pt>
                <c:pt idx="167">
                  <c:v>640.57875641162809</c:v>
                </c:pt>
                <c:pt idx="168">
                  <c:v>640.57875641162809</c:v>
                </c:pt>
                <c:pt idx="169">
                  <c:v>640.57875641162809</c:v>
                </c:pt>
                <c:pt idx="170">
                  <c:v>640.57875641162809</c:v>
                </c:pt>
                <c:pt idx="171">
                  <c:v>640.57875641162809</c:v>
                </c:pt>
                <c:pt idx="172">
                  <c:v>640.57875641162809</c:v>
                </c:pt>
                <c:pt idx="173">
                  <c:v>640.57875641162809</c:v>
                </c:pt>
                <c:pt idx="174">
                  <c:v>640.57875641162809</c:v>
                </c:pt>
                <c:pt idx="175">
                  <c:v>640.57875641162809</c:v>
                </c:pt>
                <c:pt idx="176">
                  <c:v>640.57875641162809</c:v>
                </c:pt>
                <c:pt idx="177">
                  <c:v>640.57875641162809</c:v>
                </c:pt>
                <c:pt idx="178">
                  <c:v>640.57875641162809</c:v>
                </c:pt>
                <c:pt idx="179">
                  <c:v>640.57875641162809</c:v>
                </c:pt>
                <c:pt idx="180">
                  <c:v>640.57875641162809</c:v>
                </c:pt>
                <c:pt idx="181">
                  <c:v>640.57875641162809</c:v>
                </c:pt>
                <c:pt idx="182">
                  <c:v>640.57875641162809</c:v>
                </c:pt>
                <c:pt idx="183">
                  <c:v>640.57875641162809</c:v>
                </c:pt>
                <c:pt idx="184">
                  <c:v>640.57875641162809</c:v>
                </c:pt>
                <c:pt idx="185">
                  <c:v>640.57875641162809</c:v>
                </c:pt>
                <c:pt idx="186">
                  <c:v>640.57875641162809</c:v>
                </c:pt>
                <c:pt idx="187">
                  <c:v>640.57875641162809</c:v>
                </c:pt>
                <c:pt idx="188">
                  <c:v>640.57875641162809</c:v>
                </c:pt>
                <c:pt idx="189">
                  <c:v>640.57875641162809</c:v>
                </c:pt>
                <c:pt idx="190">
                  <c:v>640.57875641162809</c:v>
                </c:pt>
                <c:pt idx="191">
                  <c:v>640.57875641162809</c:v>
                </c:pt>
                <c:pt idx="192">
                  <c:v>640.57875641162809</c:v>
                </c:pt>
                <c:pt idx="193">
                  <c:v>640.57875641162809</c:v>
                </c:pt>
                <c:pt idx="194">
                  <c:v>640.57875641162809</c:v>
                </c:pt>
                <c:pt idx="195">
                  <c:v>640.57875641162809</c:v>
                </c:pt>
                <c:pt idx="196">
                  <c:v>640.57875641162809</c:v>
                </c:pt>
                <c:pt idx="197">
                  <c:v>640.57875641162809</c:v>
                </c:pt>
                <c:pt idx="198">
                  <c:v>640.57875641162809</c:v>
                </c:pt>
                <c:pt idx="199">
                  <c:v>640.57875641162809</c:v>
                </c:pt>
                <c:pt idx="200">
                  <c:v>640.57875641162809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2.2637049036634416</c:v>
                </c:pt>
                <c:pt idx="2">
                  <c:v>3.3052061027801565</c:v>
                </c:pt>
                <c:pt idx="3">
                  <c:v>4.8280420696554494</c:v>
                </c:pt>
                <c:pt idx="4">
                  <c:v>7.0555986163794984</c:v>
                </c:pt>
                <c:pt idx="5">
                  <c:v>10.31533795439733</c:v>
                </c:pt>
                <c:pt idx="6">
                  <c:v>15.087462067497738</c:v>
                </c:pt>
                <c:pt idx="7">
                  <c:v>22.076404249918891</c:v>
                </c:pt>
                <c:pt idx="8">
                  <c:v>32.315889381594552</c:v>
                </c:pt>
                <c:pt idx="9">
                  <c:v>47.323370448485711</c:v>
                </c:pt>
                <c:pt idx="10">
                  <c:v>69.327111856198599</c:v>
                </c:pt>
                <c:pt idx="11">
                  <c:v>93.204049651801071</c:v>
                </c:pt>
                <c:pt idx="12">
                  <c:v>116.92708380106416</c:v>
                </c:pt>
                <c:pt idx="13">
                  <c:v>140.53207608209667</c:v>
                </c:pt>
                <c:pt idx="14">
                  <c:v>164.04172087831677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Normal="100" workbookViewId="0">
      <selection activeCell="D29" sqref="D2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9.2100000000000009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0.621</v>
      </c>
      <c r="D9" s="33">
        <f t="shared" ref="D9:D18" si="0">C9*$C$5</f>
        <v>5.7194100000000008</v>
      </c>
      <c r="E9" s="34">
        <v>105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0.30299999999999999</v>
      </c>
      <c r="D10" s="33">
        <f t="shared" si="0"/>
        <v>2.7906300000000002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36</v>
      </c>
      <c r="C11" s="32">
        <v>7.5999999999999998E-2</v>
      </c>
      <c r="D11" s="33">
        <f t="shared" si="0"/>
        <v>0.69996000000000003</v>
      </c>
      <c r="E11" s="34">
        <v>56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9.2100000000000009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30</v>
      </c>
      <c r="B36" s="60">
        <f>281.83/1.3</f>
        <v>216.79230769230767</v>
      </c>
      <c r="C36" s="60"/>
      <c r="D36" s="60"/>
      <c r="E36" s="51"/>
      <c r="F36" s="51"/>
      <c r="G36" s="51"/>
      <c r="H36" s="51"/>
      <c r="I36" s="49">
        <f>IFERROR(B36/A36,"")</f>
        <v>7.2264102564102561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42</v>
      </c>
      <c r="B37" s="60">
        <f>533.48/1.3</f>
        <v>410.3692307692308</v>
      </c>
      <c r="C37" s="60">
        <v>1</v>
      </c>
      <c r="D37" s="60">
        <f>233.8/1.3</f>
        <v>179.84615384615384</v>
      </c>
      <c r="E37" s="51"/>
      <c r="F37" s="51"/>
      <c r="G37" s="51"/>
      <c r="H37" s="51"/>
      <c r="I37" s="53">
        <f t="shared" ref="I37:I55" si="1">IF(A37&lt;&gt;0,(B37-(B36-D36))/(A37-A36),"")</f>
        <v>16.131410256410259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49</v>
      </c>
      <c r="B38" s="60">
        <f>441.81/1.3</f>
        <v>339.85384615384612</v>
      </c>
      <c r="C38" s="60">
        <v>2</v>
      </c>
      <c r="D38" s="60">
        <f>122.82/1.3</f>
        <v>94.476923076923072</v>
      </c>
      <c r="E38" s="51"/>
      <c r="F38" s="51"/>
      <c r="G38" s="51"/>
      <c r="H38" s="51"/>
      <c r="I38" s="53">
        <f t="shared" si="1"/>
        <v>15.618681318681309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56</v>
      </c>
      <c r="B39" s="60">
        <f>452.47/1.3</f>
        <v>348.05384615384617</v>
      </c>
      <c r="C39" s="60">
        <v>3</v>
      </c>
      <c r="D39" s="60">
        <f>94.6/1.3</f>
        <v>72.769230769230759</v>
      </c>
      <c r="E39" s="51"/>
      <c r="F39" s="51"/>
      <c r="G39" s="51"/>
      <c r="H39" s="51"/>
      <c r="I39" s="49">
        <f t="shared" si="1"/>
        <v>14.668131868131875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63</v>
      </c>
      <c r="B40" s="60">
        <f>487.73/1.3</f>
        <v>375.17692307692306</v>
      </c>
      <c r="C40" s="60">
        <v>4</v>
      </c>
      <c r="D40" s="60">
        <f>92.46/1.3</f>
        <v>71.123076923076923</v>
      </c>
      <c r="E40" s="51"/>
      <c r="F40" s="51"/>
      <c r="G40" s="51"/>
      <c r="H40" s="51"/>
      <c r="I40" s="49">
        <f t="shared" si="1"/>
        <v>14.270329670329668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71</v>
      </c>
      <c r="B41" s="60">
        <f>538.14/1.3</f>
        <v>413.95384615384614</v>
      </c>
      <c r="C41" s="60">
        <v>5</v>
      </c>
      <c r="D41" s="60">
        <f>104.52/1.3</f>
        <v>80.399999999999991</v>
      </c>
      <c r="E41" s="51"/>
      <c r="F41" s="51"/>
      <c r="G41" s="51"/>
      <c r="H41" s="51"/>
      <c r="I41" s="53">
        <f t="shared" si="1"/>
        <v>13.737499999999997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79</v>
      </c>
      <c r="B42" s="60">
        <f>567.92/1.3</f>
        <v>436.86153846153843</v>
      </c>
      <c r="C42" s="60">
        <v>6</v>
      </c>
      <c r="D42" s="60">
        <f>100.54/1.3</f>
        <v>77.338461538461544</v>
      </c>
      <c r="E42" s="51"/>
      <c r="F42" s="51"/>
      <c r="G42" s="51"/>
      <c r="H42" s="51"/>
      <c r="I42" s="53">
        <f t="shared" si="1"/>
        <v>12.913461538461533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87</v>
      </c>
      <c r="B43" s="60">
        <f>593.47/1.3</f>
        <v>456.51538461538462</v>
      </c>
      <c r="C43" s="60">
        <v>7</v>
      </c>
      <c r="D43" s="60">
        <f>100.53/1.3</f>
        <v>77.330769230769235</v>
      </c>
      <c r="E43" s="51"/>
      <c r="F43" s="51"/>
      <c r="G43" s="51"/>
      <c r="H43" s="51"/>
      <c r="I43" s="49">
        <f t="shared" si="1"/>
        <v>12.124038461538468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95</v>
      </c>
      <c r="B44" s="60">
        <f>609.86/1.3</f>
        <v>469.12307692307689</v>
      </c>
      <c r="C44" s="60">
        <v>8</v>
      </c>
      <c r="D44" s="60">
        <f>304.75/1.3</f>
        <v>234.42307692307691</v>
      </c>
      <c r="E44" s="51"/>
      <c r="F44" s="51"/>
      <c r="G44" s="51"/>
      <c r="H44" s="51"/>
      <c r="I44" s="49">
        <f t="shared" si="1"/>
        <v>11.242307692307691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105</v>
      </c>
      <c r="B45" s="60">
        <f>402.63/1.3</f>
        <v>309.71538461538461</v>
      </c>
      <c r="C45" s="60">
        <v>9</v>
      </c>
      <c r="D45" s="60">
        <f>402.63/1.3</f>
        <v>309.71538461538461</v>
      </c>
      <c r="E45" s="51"/>
      <c r="F45" s="51"/>
      <c r="G45" s="51"/>
      <c r="H45" s="51"/>
      <c r="I45" s="49">
        <f t="shared" si="1"/>
        <v>7.5015384615384617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60">
        <v>20</v>
      </c>
      <c r="B62" s="257">
        <v>87</v>
      </c>
      <c r="C62" s="60">
        <v>1</v>
      </c>
      <c r="D62" s="257">
        <v>20</v>
      </c>
      <c r="E62" s="51"/>
      <c r="F62" s="51">
        <v>0.5</v>
      </c>
      <c r="G62" s="51">
        <v>0.5</v>
      </c>
      <c r="H62" s="51"/>
      <c r="I62" s="53">
        <f>IFERROR(B62/A62,"")</f>
        <v>4.3499999999999996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60">
        <v>30</v>
      </c>
      <c r="B63" s="257">
        <v>200</v>
      </c>
      <c r="C63" s="60">
        <v>2</v>
      </c>
      <c r="D63" s="257">
        <v>60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13.3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60">
        <v>40</v>
      </c>
      <c r="B64" s="257">
        <v>297</v>
      </c>
      <c r="C64" s="60">
        <v>3</v>
      </c>
      <c r="D64" s="257">
        <v>79</v>
      </c>
      <c r="E64" s="51"/>
      <c r="F64" s="51"/>
      <c r="G64" s="51"/>
      <c r="H64" s="51"/>
      <c r="I64" s="49">
        <f>IF(A64&lt;&gt;0,(B64-(B63-D63))/(A64-A63),"")</f>
        <v>15.7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60">
        <v>50</v>
      </c>
      <c r="B65" s="257">
        <v>380</v>
      </c>
      <c r="C65" s="60">
        <v>4</v>
      </c>
      <c r="D65" s="257">
        <v>89</v>
      </c>
      <c r="E65" s="51"/>
      <c r="F65" s="51"/>
      <c r="G65" s="51"/>
      <c r="H65" s="51"/>
      <c r="I65" s="49">
        <f>IF(A65&lt;&gt;0,(B65-(B64-D64))/(A65-A64),"")</f>
        <v>16.2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60">
        <v>60</v>
      </c>
      <c r="B66" s="257">
        <v>447</v>
      </c>
      <c r="C66" s="60">
        <v>5</v>
      </c>
      <c r="D66" s="257">
        <v>90</v>
      </c>
      <c r="E66" s="51"/>
      <c r="F66" s="51"/>
      <c r="G66" s="51"/>
      <c r="H66" s="51"/>
      <c r="I66" s="49">
        <f t="shared" ref="I66:I81" si="2">IF(A66&lt;&gt;0,(B66-(B65-D65))/(A66-A65),"")</f>
        <v>15.6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60">
        <v>70</v>
      </c>
      <c r="B67" s="257">
        <v>498</v>
      </c>
      <c r="C67" s="60">
        <v>6</v>
      </c>
      <c r="D67" s="257">
        <v>86</v>
      </c>
      <c r="E67" s="51"/>
      <c r="F67" s="51"/>
      <c r="G67" s="51"/>
      <c r="H67" s="51"/>
      <c r="I67" s="49">
        <f t="shared" si="2"/>
        <v>14.1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60">
        <v>80</v>
      </c>
      <c r="B68" s="257">
        <v>537</v>
      </c>
      <c r="C68" s="60">
        <v>7</v>
      </c>
      <c r="D68" s="257">
        <v>78</v>
      </c>
      <c r="E68" s="51"/>
      <c r="F68" s="51"/>
      <c r="G68" s="51"/>
      <c r="H68" s="51"/>
      <c r="I68" s="49">
        <f t="shared" si="2"/>
        <v>12.5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60">
        <v>90</v>
      </c>
      <c r="B69" s="257">
        <v>567</v>
      </c>
      <c r="C69" s="60">
        <v>8</v>
      </c>
      <c r="D69" s="257">
        <v>70</v>
      </c>
      <c r="E69" s="51"/>
      <c r="F69" s="51"/>
      <c r="G69" s="51"/>
      <c r="H69" s="51"/>
      <c r="I69" s="49">
        <f t="shared" si="2"/>
        <v>10.8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f>66.07/1.3</f>
        <v>50.823076923076918</v>
      </c>
      <c r="C88" s="60"/>
      <c r="D88" s="60"/>
      <c r="E88" s="51"/>
      <c r="F88" s="51"/>
      <c r="G88" s="51"/>
      <c r="H88" s="87"/>
      <c r="I88" s="53">
        <f>IFERROR(B88/A88,"")</f>
        <v>5.0823076923076922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15</v>
      </c>
      <c r="B89" s="60">
        <f>183.53/1.3</f>
        <v>141.17692307692306</v>
      </c>
      <c r="C89" s="60">
        <v>1</v>
      </c>
      <c r="D89" s="60">
        <f>64.72/1.3</f>
        <v>49.784615384615385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18.07076923076923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f>238.82/1.3</f>
        <v>183.7076923076923</v>
      </c>
      <c r="C90" s="60">
        <v>2</v>
      </c>
      <c r="D90" s="60">
        <f>63.34/1.3</f>
        <v>48.723076923076924</v>
      </c>
      <c r="E90" s="87">
        <v>0.1</v>
      </c>
      <c r="F90" s="87">
        <v>0.45</v>
      </c>
      <c r="G90" s="87">
        <v>0.45</v>
      </c>
      <c r="H90" s="87"/>
      <c r="I90" s="53">
        <f t="shared" si="3"/>
        <v>18.463076923076926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26</v>
      </c>
      <c r="B91" s="60">
        <f>324.24/1.3</f>
        <v>249.41538461538462</v>
      </c>
      <c r="C91" s="60">
        <v>3</v>
      </c>
      <c r="D91" s="60">
        <f>61.08/1.3</f>
        <v>46.984615384615381</v>
      </c>
      <c r="E91" s="87">
        <v>0.2</v>
      </c>
      <c r="F91" s="87">
        <v>0.4</v>
      </c>
      <c r="G91" s="87">
        <v>0.4</v>
      </c>
      <c r="H91" s="87"/>
      <c r="I91" s="53">
        <f t="shared" si="3"/>
        <v>19.071794871794875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32</v>
      </c>
      <c r="B92" s="60">
        <f>414.43/1.3</f>
        <v>318.7923076923077</v>
      </c>
      <c r="C92" s="60">
        <v>4</v>
      </c>
      <c r="D92" s="60">
        <f>83.88/1.3</f>
        <v>64.523076923076914</v>
      </c>
      <c r="E92" s="87"/>
      <c r="F92" s="87"/>
      <c r="G92" s="87"/>
      <c r="H92" s="87"/>
      <c r="I92" s="53">
        <f t="shared" si="3"/>
        <v>19.393589743589743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40</v>
      </c>
      <c r="B93" s="60">
        <f>518.33/1.3</f>
        <v>398.71538461538461</v>
      </c>
      <c r="C93" s="60">
        <v>5</v>
      </c>
      <c r="D93" s="60">
        <f>120.46/1.3</f>
        <v>92.661538461538456</v>
      </c>
      <c r="E93" s="87"/>
      <c r="F93" s="87"/>
      <c r="G93" s="87"/>
      <c r="H93" s="87"/>
      <c r="I93" s="53">
        <f t="shared" si="3"/>
        <v>18.055769230769229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48</v>
      </c>
      <c r="B94" s="60">
        <f>556.07/1.3</f>
        <v>427.74615384615385</v>
      </c>
      <c r="C94" s="60">
        <v>6</v>
      </c>
      <c r="D94" s="60">
        <f>109.16/1.3</f>
        <v>83.969230769230762</v>
      </c>
      <c r="E94" s="87"/>
      <c r="F94" s="87"/>
      <c r="G94" s="87"/>
      <c r="H94" s="87"/>
      <c r="I94" s="53">
        <f t="shared" si="3"/>
        <v>15.21153846153846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56</v>
      </c>
      <c r="B95" s="60">
        <f>580.42/1.3</f>
        <v>446.47692307692301</v>
      </c>
      <c r="C95" s="60">
        <v>7</v>
      </c>
      <c r="D95" s="60">
        <f>580.42/1.3</f>
        <v>446.47692307692301</v>
      </c>
      <c r="E95" s="87"/>
      <c r="F95" s="87"/>
      <c r="G95" s="87"/>
      <c r="H95" s="87"/>
      <c r="I95" s="53">
        <f t="shared" si="3"/>
        <v>12.837499999999991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8" sqref="F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Cèdre de l'Atlas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laricio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Pin maritime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158.58786357608489</v>
      </c>
      <c r="T3" s="59">
        <f>IF('Données projet'!E9&gt;30,$R$33-$H$33,LOOKUP('Données projet'!$E$9,$A$3:$A$203,R3:R203)-LOOKUP('Données projet'!$E$9,$A$3:$A$203,$H$3:$H$203))</f>
        <v>163.20074068819849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270.30888762640245</v>
      </c>
      <c r="AO3" s="59">
        <f>IF('Données projet'!E10&gt;30,$AM$33-$H$33,LOOKUP('Données projet'!$E$10,$A$3:$A$203,AM3:AM203)-LOOKUP('Données projet'!$E$10,$A$3:$A$203,$H$3:$H$203))</f>
        <v>202.23783851977691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243.85350804244348</v>
      </c>
      <c r="BJ3" s="59">
        <f>IF('Données projet'!E11&gt;30,$BH$33-$H$33,LOOKUP('Données projet'!$E$11,$A$3:$A$203,BH3:BH203)-LOOKUP('Données projet'!$E$11,$A$3:$A$203,$H$3:$H$203))</f>
        <v>304.60992308960545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7.2264102564102561</v>
      </c>
      <c r="N4" s="13">
        <f>IF('Données projet'!$A$36&gt;35,N3+M4-V3,IF(A4&lt;'Données projet'!$A$36,$K$205^A4,IF(A4='Données projet'!$A$36,'Données projet'!$B$36,N3+M4-V3)))</f>
        <v>1.1963772029987372</v>
      </c>
      <c r="O4" s="13">
        <f>N4*VLOOKUP('Données projet'!$B$9,Paramètres!$A$1:$I$89,3,0)*VLOOKUP('Données projet'!$B$9,Paramètres!$A$1:$I$89,5,0)</f>
        <v>0.55990453100340898</v>
      </c>
      <c r="P4" s="13">
        <f>EXP(-1.0587+0.8836*LN(O4)+0.284)</f>
        <v>0.2760486193577778</v>
      </c>
      <c r="Q4" s="20">
        <f t="shared" ref="Q4:Q34" si="2">(O4+P4)*0.475*44/12</f>
        <v>1.4559517368790669</v>
      </c>
      <c r="R4" s="59">
        <f t="shared" si="0"/>
        <v>294.78928507021237</v>
      </c>
      <c r="S4" s="59">
        <f ca="1">AVERAGE(OFFSET($R$3,0,0,'Données projet'!$E$9+1,1))-AVERAGE(OFFSET($H$3,0,0,'Données projet'!$E$9+1,1))</f>
        <v>158.58786357608489</v>
      </c>
      <c r="T4" s="59">
        <f>$T$3</f>
        <v>163.20074068819849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4.3499999999999996</v>
      </c>
      <c r="AI4" s="13">
        <f>IF('Données projet'!$A$62&gt;35,AI3+AH4-AQ3,IF(A4&lt;'Données projet'!$A$62,$AF$205^A4,IF(A4='Données projet'!$A$62,'Données projet'!$B$62,AI3+AH4-AQ3)))</f>
        <v>1.2501898326862695</v>
      </c>
      <c r="AJ4" s="13">
        <f>AI4*VLOOKUP('Données projet'!$B$10,Paramètres!$A$1:$I$89,3,0)*VLOOKUP('Données projet'!$B$10,Paramètres!$A$1:$I$89,5,0)</f>
        <v>0.74761351994638925</v>
      </c>
      <c r="AK4" s="13">
        <f>EXP(-1.0587+0.8836*LN(AJ4)+0.284)</f>
        <v>0.35639630406199418</v>
      </c>
      <c r="AL4" s="20">
        <f t="shared" ref="AL4:AL67" si="4">(AJ4+AK4)*0.475*44/12</f>
        <v>1.9228171101479343</v>
      </c>
      <c r="AM4" s="59">
        <f t="shared" ref="AM4:AM67" si="5">AL4+(AD4+AE4)*44/12</f>
        <v>295.25615044348126</v>
      </c>
      <c r="AN4" s="59">
        <f ca="1">AVERAGE(OFFSET($AM$3,0,0,'Données projet'!$E$10+1,1))-AVERAGE(OFFSET($H$3,0,0,'Données projet'!$E$10+1,1))</f>
        <v>270.30888762640245</v>
      </c>
      <c r="AO4" s="59">
        <f>$AO$3</f>
        <v>202.23783851977691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5.0823076923076922</v>
      </c>
      <c r="BD4" s="12">
        <f>IF('Données projet'!$A$88&gt;35,BD3+BC4-BL3,IF(A4&lt;'Données projet'!$A$88,$BA$205^A4,IF(A4='Données projet'!$A$88,'Données projet'!$B$88,BD3+BC4-BL3)))</f>
        <v>1.4811740527139541</v>
      </c>
      <c r="BE4" s="13">
        <f>BD4*VLOOKUP('Données projet'!$B$11,Paramètres!$A$1:$I$89,3,0)*VLOOKUP('Données projet'!$B$11,Paramètres!$A$1:$I$89,5,0)</f>
        <v>0.88574208352294459</v>
      </c>
      <c r="BF4" s="13">
        <f>EXP(-1.0587+0.8836*LN(BE4)+0.284)</f>
        <v>0.41399278939386408</v>
      </c>
      <c r="BG4" s="20">
        <f t="shared" ref="BG4:BG67" si="7">(BE4+BF4)*0.475*44/12</f>
        <v>2.2637049036634416</v>
      </c>
      <c r="BH4" s="59">
        <f t="shared" ref="BH4:BH67" si="8">BG4+(AY4+AZ4)*44/12</f>
        <v>295.59703823699675</v>
      </c>
      <c r="BI4" s="59">
        <f ca="1">AVERAGE(OFFSET($BH$3,0,0,'Données projet'!$E$11+1,1))-AVERAGE(OFFSET($H$3,0,0,'Données projet'!$E$11+1,1))</f>
        <v>243.85350804244348</v>
      </c>
      <c r="BJ4" s="59">
        <f>$BJ$3</f>
        <v>304.60992308960545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7.2264102564102561</v>
      </c>
      <c r="N5" s="13">
        <f>IF('Données projet'!$A$36&gt;35,N4+M5-V4,IF(A5&lt;'Données projet'!$A$36,$K$205^A5,IF(A5='Données projet'!$A$36,'Données projet'!$B$36,N4+M5-V4)))</f>
        <v>1.4313184118550817</v>
      </c>
      <c r="O5" s="13">
        <f>N5*VLOOKUP('Données projet'!$B$9,Paramètres!$A$1:$I$89,3,0)*VLOOKUP('Données projet'!$B$9,Paramètres!$A$1:$I$89,5,0)</f>
        <v>0.66985701674817832</v>
      </c>
      <c r="P5" s="13">
        <f t="shared" ref="P5:P68" si="33">EXP(-1.0587+0.8836*LN(O5)+0.284)</f>
        <v>0.32343711768198868</v>
      </c>
      <c r="Q5" s="20">
        <f t="shared" si="2"/>
        <v>1.729987284132541</v>
      </c>
      <c r="R5" s="59">
        <f t="shared" si="0"/>
        <v>295.06332061746588</v>
      </c>
      <c r="S5" s="59">
        <f ca="1">AVERAGE(OFFSET($R$3,0,0,'Données projet'!$E$9+1,1))-AVERAGE(OFFSET($H$3,0,0,'Données projet'!$E$9+1,1))</f>
        <v>158.58786357608489</v>
      </c>
      <c r="T5" s="59">
        <f t="shared" ref="T5:T68" si="34">$T$3</f>
        <v>163.20074068819849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4.3499999999999996</v>
      </c>
      <c r="AI5" s="13">
        <f>IF('Données projet'!$A$62&gt;35,AI4+AH5-AQ4,IF(A5&lt;'Données projet'!$A$62,$AF$205^A5,IF(A5='Données projet'!$A$62,'Données projet'!$B$62,AI4+AH5-AQ4)))</f>
        <v>1.5629746177521224</v>
      </c>
      <c r="AJ5" s="13">
        <f>AI5*VLOOKUP('Données projet'!$B$10,Paramètres!$A$1:$I$89,3,0)*VLOOKUP('Données projet'!$B$10,Paramètres!$A$1:$I$89,5,0)</f>
        <v>0.93465882141576928</v>
      </c>
      <c r="AK5" s="13">
        <f t="shared" ref="AK5:AK68" si="35">EXP(-1.0587+0.8836*LN(AJ5)+0.284)</f>
        <v>0.43413135345040255</v>
      </c>
      <c r="AL5" s="20">
        <f t="shared" si="4"/>
        <v>2.3839762212252493</v>
      </c>
      <c r="AM5" s="59">
        <f t="shared" si="5"/>
        <v>295.71730955455854</v>
      </c>
      <c r="AN5" s="59">
        <f ca="1">AVERAGE(OFFSET($AM$3,0,0,'Données projet'!$E$10+1,1))-AVERAGE(OFFSET($H$3,0,0,'Données projet'!$E$10+1,1))</f>
        <v>270.30888762640245</v>
      </c>
      <c r="AO5" s="59">
        <f t="shared" ref="AO5:AO68" si="36">$AO$3</f>
        <v>202.23783851977691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5.0823076923076922</v>
      </c>
      <c r="BD5" s="12">
        <f>IF('Données projet'!$A$88&gt;35,BD4+BC5-BL4,IF(A5&lt;'Données projet'!$A$88,$BA$205^A5,IF(A5='Données projet'!$A$88,'Données projet'!$B$88,BD4+BC5-BL4)))</f>
        <v>2.1938765744330793</v>
      </c>
      <c r="BE5" s="13">
        <f>BD5*VLOOKUP('Données projet'!$B$11,Paramètres!$A$1:$I$89,3,0)*VLOOKUP('Données projet'!$B$11,Paramètres!$A$1:$I$89,5,0)</f>
        <v>1.3119381915109816</v>
      </c>
      <c r="BF5" s="13">
        <f t="shared" ref="BF5:BF68" si="37">EXP(-1.0587+0.8836*LN(BE5)+0.284)</f>
        <v>0.5857878005159024</v>
      </c>
      <c r="BG5" s="20">
        <f t="shared" si="7"/>
        <v>3.3052061027801565</v>
      </c>
      <c r="BH5" s="59">
        <f t="shared" si="8"/>
        <v>296.63853943611349</v>
      </c>
      <c r="BI5" s="59">
        <f ca="1">AVERAGE(OFFSET($BH$3,0,0,'Données projet'!$E$11+1,1))-AVERAGE(OFFSET($H$3,0,0,'Données projet'!$E$11+1,1))</f>
        <v>243.85350804244348</v>
      </c>
      <c r="BJ5" s="59">
        <f t="shared" ref="BJ5:BJ68" si="38">$BJ$3</f>
        <v>304.60992308960545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7.2264102564102561</v>
      </c>
      <c r="N6" s="13">
        <f>IF('Données projet'!$A$36&gt;35,N5+M6-V5,IF(A6&lt;'Données projet'!$A$36,$K$205^A6,IF(A6='Données projet'!$A$36,'Données projet'!$B$36,N5+M6-V5)))</f>
        <v>1.7123967181757771</v>
      </c>
      <c r="O6" s="13">
        <f>N6*VLOOKUP('Données projet'!$B$9,Paramètres!$A$1:$I$89,3,0)*VLOOKUP('Données projet'!$B$9,Paramètres!$A$1:$I$89,5,0)</f>
        <v>0.80140166410626379</v>
      </c>
      <c r="P6" s="13">
        <f t="shared" si="33"/>
        <v>0.37896066764546593</v>
      </c>
      <c r="Q6" s="20">
        <f t="shared" si="2"/>
        <v>2.0557977278009294</v>
      </c>
      <c r="R6" s="59">
        <f t="shared" si="0"/>
        <v>295.38913106113426</v>
      </c>
      <c r="S6" s="59">
        <f ca="1">AVERAGE(OFFSET($R$3,0,0,'Données projet'!$E$9+1,1))-AVERAGE(OFFSET($H$3,0,0,'Données projet'!$E$9+1,1))</f>
        <v>158.58786357608489</v>
      </c>
      <c r="T6" s="59">
        <f t="shared" si="34"/>
        <v>163.20074068819849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4.3499999999999996</v>
      </c>
      <c r="AI6" s="13">
        <f>IF('Données projet'!$A$62&gt;35,AI5+AH6-AQ5,IF(A6&lt;'Données projet'!$A$62,$AF$205^A6,IF(A6='Données projet'!$A$62,'Données projet'!$B$62,AI5+AH6-AQ5)))</f>
        <v>1.954014975860412</v>
      </c>
      <c r="AJ6" s="13">
        <f>AI6*VLOOKUP('Données projet'!$B$10,Paramètres!$A$1:$I$89,3,0)*VLOOKUP('Données projet'!$B$10,Paramètres!$A$1:$I$89,5,0)</f>
        <v>1.1685009555645265</v>
      </c>
      <c r="AK6" s="13">
        <f t="shared" si="35"/>
        <v>0.52882151105555386</v>
      </c>
      <c r="AL6" s="20">
        <f t="shared" si="4"/>
        <v>2.9561699626966398</v>
      </c>
      <c r="AM6" s="59">
        <f t="shared" si="5"/>
        <v>296.28950329602998</v>
      </c>
      <c r="AN6" s="59">
        <f ca="1">AVERAGE(OFFSET($AM$3,0,0,'Données projet'!$E$10+1,1))-AVERAGE(OFFSET($H$3,0,0,'Données projet'!$E$10+1,1))</f>
        <v>270.30888762640245</v>
      </c>
      <c r="AO6" s="59">
        <f t="shared" si="36"/>
        <v>202.23783851977691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5.0823076923076922</v>
      </c>
      <c r="BD6" s="12">
        <f>IF('Données projet'!$A$88&gt;35,BD5+BC6-BL5,IF(A6&lt;'Données projet'!$A$88,$BA$205^A6,IF(A6='Données projet'!$A$88,'Données projet'!$B$88,BD5+BC6-BL5)))</f>
        <v>3.2495130569072508</v>
      </c>
      <c r="BE6" s="13">
        <f>BD6*VLOOKUP('Données projet'!$B$11,Paramètres!$A$1:$I$89,3,0)*VLOOKUP('Données projet'!$B$11,Paramètres!$A$1:$I$89,5,0)</f>
        <v>1.9432088080305361</v>
      </c>
      <c r="BF6" s="13">
        <f t="shared" si="37"/>
        <v>0.82887276306350222</v>
      </c>
      <c r="BG6" s="20">
        <f t="shared" si="7"/>
        <v>4.8280420696554494</v>
      </c>
      <c r="BH6" s="59">
        <f t="shared" si="8"/>
        <v>298.16137540298877</v>
      </c>
      <c r="BI6" s="59">
        <f ca="1">AVERAGE(OFFSET($BH$3,0,0,'Données projet'!$E$11+1,1))-AVERAGE(OFFSET($H$3,0,0,'Données projet'!$E$11+1,1))</f>
        <v>243.85350804244348</v>
      </c>
      <c r="BJ6" s="59">
        <f t="shared" si="38"/>
        <v>304.60992308960545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7.2264102564102561</v>
      </c>
      <c r="N7" s="13">
        <f>IF('Données projet'!$A$36&gt;35,N6+M7-V6,IF(A7&lt;'Données projet'!$A$36,$K$205^A7,IF(A7='Données projet'!$A$36,'Données projet'!$B$36,N6+M7-V6)))</f>
        <v>2.0486723961153532</v>
      </c>
      <c r="O7" s="13">
        <f>N7*VLOOKUP('Données projet'!$B$9,Paramètres!$A$1:$I$89,3,0)*VLOOKUP('Données projet'!$B$9,Paramètres!$A$1:$I$89,5,0)</f>
        <v>0.95877868138198519</v>
      </c>
      <c r="P7" s="13">
        <f t="shared" si="33"/>
        <v>0.44401579092570115</v>
      </c>
      <c r="Q7" s="20">
        <f t="shared" si="2"/>
        <v>2.4432003726025537</v>
      </c>
      <c r="R7" s="59">
        <f t="shared" si="0"/>
        <v>295.77653370593589</v>
      </c>
      <c r="S7" s="59">
        <f ca="1">AVERAGE(OFFSET($R$3,0,0,'Données projet'!$E$9+1,1))-AVERAGE(OFFSET($H$3,0,0,'Données projet'!$E$9+1,1))</f>
        <v>158.58786357608489</v>
      </c>
      <c r="T7" s="59">
        <f t="shared" si="34"/>
        <v>163.20074068819849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4.3499999999999996</v>
      </c>
      <c r="AI7" s="13">
        <f>IF('Données projet'!$A$62&gt;35,AI6+AH7-AQ6,IF(A7&lt;'Données projet'!$A$62,$AF$205^A7,IF(A7='Données projet'!$A$62,'Données projet'!$B$62,AI6+AH7-AQ6)))</f>
        <v>2.4428896557373934</v>
      </c>
      <c r="AJ7" s="13">
        <f>AI7*VLOOKUP('Données projet'!$B$10,Paramètres!$A$1:$I$89,3,0)*VLOOKUP('Données projet'!$B$10,Paramètres!$A$1:$I$89,5,0)</f>
        <v>1.4608480141309614</v>
      </c>
      <c r="AK7" s="13">
        <f t="shared" si="35"/>
        <v>0.64416492458434726</v>
      </c>
      <c r="AL7" s="20">
        <f t="shared" si="4"/>
        <v>3.6662308682624953</v>
      </c>
      <c r="AM7" s="59">
        <f t="shared" si="5"/>
        <v>296.99956420159583</v>
      </c>
      <c r="AN7" s="59">
        <f ca="1">AVERAGE(OFFSET($AM$3,0,0,'Données projet'!$E$10+1,1))-AVERAGE(OFFSET($H$3,0,0,'Données projet'!$E$10+1,1))</f>
        <v>270.30888762640245</v>
      </c>
      <c r="AO7" s="59">
        <f t="shared" si="36"/>
        <v>202.23783851977691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5.0823076923076922</v>
      </c>
      <c r="BD7" s="12">
        <f>IF('Données projet'!$A$88&gt;35,BD6+BC7-BL6,IF(A7&lt;'Données projet'!$A$88,$BA$205^A7,IF(A7='Données projet'!$A$88,'Données projet'!$B$88,BD6+BC7-BL6)))</f>
        <v>4.8130944238462225</v>
      </c>
      <c r="BE7" s="13">
        <f>BD7*VLOOKUP('Données projet'!$B$11,Paramètres!$A$1:$I$89,3,0)*VLOOKUP('Données projet'!$B$11,Paramètres!$A$1:$I$89,5,0)</f>
        <v>2.8782304654600415</v>
      </c>
      <c r="BF7" s="13">
        <f t="shared" si="37"/>
        <v>1.1728309410736422</v>
      </c>
      <c r="BG7" s="20">
        <f t="shared" si="7"/>
        <v>7.0555986163794984</v>
      </c>
      <c r="BH7" s="59">
        <f t="shared" si="8"/>
        <v>300.3889319497128</v>
      </c>
      <c r="BI7" s="59">
        <f ca="1">AVERAGE(OFFSET($BH$3,0,0,'Données projet'!$E$11+1,1))-AVERAGE(OFFSET($H$3,0,0,'Données projet'!$E$11+1,1))</f>
        <v>243.85350804244348</v>
      </c>
      <c r="BJ7" s="59">
        <f t="shared" si="38"/>
        <v>304.60992308960545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7.2264102564102561</v>
      </c>
      <c r="N8" s="13">
        <f>IF('Données projet'!$A$36&gt;35,N7+M8-V7,IF(A8&lt;'Données projet'!$A$36,$K$205^A8,IF(A8='Données projet'!$A$36,'Données projet'!$B$36,N7+M8-V7)))</f>
        <v>2.4509849511252071</v>
      </c>
      <c r="O8" s="13">
        <f>N8*VLOOKUP('Données projet'!$B$9,Paramètres!$A$1:$I$89,3,0)*VLOOKUP('Données projet'!$B$9,Paramètres!$A$1:$I$89,5,0)</f>
        <v>1.1470609571265968</v>
      </c>
      <c r="P8" s="13">
        <f t="shared" si="33"/>
        <v>0.52023874619045773</v>
      </c>
      <c r="Q8" s="20">
        <f t="shared" si="2"/>
        <v>2.9038803166105365</v>
      </c>
      <c r="R8" s="59">
        <f t="shared" si="0"/>
        <v>296.23721364994384</v>
      </c>
      <c r="S8" s="59">
        <f ca="1">AVERAGE(OFFSET($R$3,0,0,'Données projet'!$E$9+1,1))-AVERAGE(OFFSET($H$3,0,0,'Données projet'!$E$9+1,1))</f>
        <v>158.58786357608489</v>
      </c>
      <c r="T8" s="59">
        <f t="shared" si="34"/>
        <v>163.20074068819849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4.3499999999999996</v>
      </c>
      <c r="AI8" s="13">
        <f>IF('Données projet'!$A$62&gt;35,AI7+AH8-AQ7,IF(A8&lt;'Données projet'!$A$62,$AF$205^A8,IF(A8='Données projet'!$A$62,'Données projet'!$B$62,AI7+AH8-AQ7)))</f>
        <v>3.0540758099773502</v>
      </c>
      <c r="AJ8" s="13">
        <f>AI8*VLOOKUP('Données projet'!$B$10,Paramètres!$A$1:$I$89,3,0)*VLOOKUP('Données projet'!$B$10,Paramètres!$A$1:$I$89,5,0)</f>
        <v>1.8263373343664557</v>
      </c>
      <c r="AK8" s="13">
        <f t="shared" si="35"/>
        <v>0.78466635980162813</v>
      </c>
      <c r="AL8" s="20">
        <f t="shared" si="4"/>
        <v>4.5474981006760791</v>
      </c>
      <c r="AM8" s="59">
        <f t="shared" si="5"/>
        <v>297.88083143400939</v>
      </c>
      <c r="AN8" s="59">
        <f ca="1">AVERAGE(OFFSET($AM$3,0,0,'Données projet'!$E$10+1,1))-AVERAGE(OFFSET($H$3,0,0,'Données projet'!$E$10+1,1))</f>
        <v>270.30888762640245</v>
      </c>
      <c r="AO8" s="59">
        <f t="shared" si="36"/>
        <v>202.23783851977691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5.0823076923076922</v>
      </c>
      <c r="BD8" s="12">
        <f>IF('Données projet'!$A$88&gt;35,BD7+BC8-BL7,IF(A8&lt;'Données projet'!$A$88,$BA$205^A8,IF(A8='Données projet'!$A$88,'Données projet'!$B$88,BD7+BC8-BL7)))</f>
        <v>7.1290305738632433</v>
      </c>
      <c r="BE8" s="13">
        <f>BD8*VLOOKUP('Données projet'!$B$11,Paramètres!$A$1:$I$89,3,0)*VLOOKUP('Données projet'!$B$11,Paramètres!$A$1:$I$89,5,0)</f>
        <v>4.2631602831702198</v>
      </c>
      <c r="BF8" s="13">
        <f t="shared" si="37"/>
        <v>1.6595217959095871</v>
      </c>
      <c r="BG8" s="20">
        <f t="shared" si="7"/>
        <v>10.31533795439733</v>
      </c>
      <c r="BH8" s="59">
        <f t="shared" si="8"/>
        <v>303.64867128773062</v>
      </c>
      <c r="BI8" s="59">
        <f ca="1">AVERAGE(OFFSET($BH$3,0,0,'Données projet'!$E$11+1,1))-AVERAGE(OFFSET($H$3,0,0,'Données projet'!$E$11+1,1))</f>
        <v>243.85350804244348</v>
      </c>
      <c r="BJ8" s="59">
        <f t="shared" si="38"/>
        <v>304.60992308960545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7.2264102564102561</v>
      </c>
      <c r="N9" s="13">
        <f>IF('Données projet'!$A$36&gt;35,N8+M9-V8,IF(A9&lt;'Données projet'!$A$36,$K$205^A9,IF(A9='Données projet'!$A$36,'Données projet'!$B$36,N8+M9-V8)))</f>
        <v>2.9323025204191722</v>
      </c>
      <c r="O9" s="13">
        <f>N9*VLOOKUP('Données projet'!$B$9,Paramètres!$A$1:$I$89,3,0)*VLOOKUP('Données projet'!$B$9,Paramètres!$A$1:$I$89,5,0)</f>
        <v>1.3723175795561726</v>
      </c>
      <c r="P9" s="13">
        <f t="shared" si="33"/>
        <v>0.60954668407977464</v>
      </c>
      <c r="Q9" s="20">
        <f t="shared" si="2"/>
        <v>3.4517469258326074</v>
      </c>
      <c r="R9" s="59">
        <f t="shared" si="0"/>
        <v>296.78508025916591</v>
      </c>
      <c r="S9" s="59">
        <f ca="1">AVERAGE(OFFSET($R$3,0,0,'Données projet'!$E$9+1,1))-AVERAGE(OFFSET($H$3,0,0,'Données projet'!$E$9+1,1))</f>
        <v>158.58786357608489</v>
      </c>
      <c r="T9" s="59">
        <f t="shared" si="34"/>
        <v>163.20074068819849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4.3499999999999996</v>
      </c>
      <c r="AI9" s="13">
        <f>IF('Données projet'!$A$62&gt;35,AI8+AH9-AQ8,IF(A9&lt;'Données projet'!$A$62,$AF$205^A9,IF(A9='Données projet'!$A$62,'Données projet'!$B$62,AI8+AH9-AQ8)))</f>
        <v>3.8181745258867665</v>
      </c>
      <c r="AJ9" s="13">
        <f>AI9*VLOOKUP('Données projet'!$B$10,Paramètres!$A$1:$I$89,3,0)*VLOOKUP('Données projet'!$B$10,Paramètres!$A$1:$I$89,5,0)</f>
        <v>2.2832683664802866</v>
      </c>
      <c r="AK9" s="13">
        <f t="shared" si="35"/>
        <v>0.95581313527995093</v>
      </c>
      <c r="AL9" s="20">
        <f t="shared" si="4"/>
        <v>5.6414002822324134</v>
      </c>
      <c r="AM9" s="59">
        <f t="shared" si="5"/>
        <v>298.97473361556575</v>
      </c>
      <c r="AN9" s="59">
        <f ca="1">AVERAGE(OFFSET($AM$3,0,0,'Données projet'!$E$10+1,1))-AVERAGE(OFFSET($H$3,0,0,'Données projet'!$E$10+1,1))</f>
        <v>270.30888762640245</v>
      </c>
      <c r="AO9" s="59">
        <f t="shared" si="36"/>
        <v>202.23783851977691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5.0823076923076922</v>
      </c>
      <c r="BD9" s="12">
        <f>IF('Données projet'!$A$88&gt;35,BD8+BC9-BL8,IF(A9&lt;'Données projet'!$A$88,$BA$205^A9,IF(A9='Données projet'!$A$88,'Données projet'!$B$88,BD8+BC9-BL8)))</f>
        <v>10.559335107010707</v>
      </c>
      <c r="BE9" s="13">
        <f>BD9*VLOOKUP('Données projet'!$B$11,Paramètres!$A$1:$I$89,3,0)*VLOOKUP('Données projet'!$B$11,Paramètres!$A$1:$I$89,5,0)</f>
        <v>6.3144823939924031</v>
      </c>
      <c r="BF9" s="13">
        <f t="shared" si="37"/>
        <v>2.3481752524177799</v>
      </c>
      <c r="BG9" s="20">
        <f t="shared" si="7"/>
        <v>15.087462067497738</v>
      </c>
      <c r="BH9" s="59">
        <f t="shared" si="8"/>
        <v>308.42079540083103</v>
      </c>
      <c r="BI9" s="59">
        <f ca="1">AVERAGE(OFFSET($BH$3,0,0,'Données projet'!$E$11+1,1))-AVERAGE(OFFSET($H$3,0,0,'Données projet'!$E$11+1,1))</f>
        <v>243.85350804244348</v>
      </c>
      <c r="BJ9" s="59">
        <f t="shared" si="38"/>
        <v>304.60992308960545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7.2264102564102561</v>
      </c>
      <c r="N10" s="13">
        <f>IF('Données projet'!$A$36&gt;35,N9+M10-V9,IF(A10&lt;'Données projet'!$A$36,$K$205^A10,IF(A10='Données projet'!$A$36,'Données projet'!$B$36,N9+M10-V9)))</f>
        <v>3.5081398877252363</v>
      </c>
      <c r="O10" s="13">
        <f>N10*VLOOKUP('Données projet'!$B$9,Paramètres!$A$1:$I$89,3,0)*VLOOKUP('Données projet'!$B$9,Paramètres!$A$1:$I$89,5,0)</f>
        <v>1.6418094674554107</v>
      </c>
      <c r="P10" s="13">
        <f t="shared" si="33"/>
        <v>0.71418586714920729</v>
      </c>
      <c r="Q10" s="20">
        <f t="shared" si="2"/>
        <v>4.1033585411030424</v>
      </c>
      <c r="R10" s="59">
        <f t="shared" si="0"/>
        <v>297.43669187443635</v>
      </c>
      <c r="S10" s="59">
        <f ca="1">AVERAGE(OFFSET($R$3,0,0,'Données projet'!$E$9+1,1))-AVERAGE(OFFSET($H$3,0,0,'Données projet'!$E$9+1,1))</f>
        <v>158.58786357608489</v>
      </c>
      <c r="T10" s="59">
        <f t="shared" si="34"/>
        <v>163.20074068819849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4.3499999999999996</v>
      </c>
      <c r="AI10" s="13">
        <f>IF('Données projet'!$A$62&gt;35,AI9+AH10-AQ9,IF(A10&lt;'Données projet'!$A$62,$AF$205^A10,IF(A10='Données projet'!$A$62,'Données projet'!$B$62,AI9+AH10-AQ9)))</f>
        <v>4.7734429716853528</v>
      </c>
      <c r="AJ10" s="13">
        <f>AI10*VLOOKUP('Données projet'!$B$10,Paramètres!$A$1:$I$89,3,0)*VLOOKUP('Données projet'!$B$10,Paramètres!$A$1:$I$89,5,0)</f>
        <v>2.8545188970678415</v>
      </c>
      <c r="AK10" s="13">
        <f t="shared" si="35"/>
        <v>1.1642894309941516</v>
      </c>
      <c r="AL10" s="20">
        <f t="shared" si="4"/>
        <v>6.9994245047079717</v>
      </c>
      <c r="AM10" s="59">
        <f t="shared" si="5"/>
        <v>300.33275783804129</v>
      </c>
      <c r="AN10" s="59">
        <f ca="1">AVERAGE(OFFSET($AM$3,0,0,'Données projet'!$E$10+1,1))-AVERAGE(OFFSET($H$3,0,0,'Données projet'!$E$10+1,1))</f>
        <v>270.30888762640245</v>
      </c>
      <c r="AO10" s="59">
        <f t="shared" si="36"/>
        <v>202.23783851977691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5.0823076923076922</v>
      </c>
      <c r="BD10" s="12">
        <f>IF('Données projet'!$A$88&gt;35,BD9+BC10-BL9,IF(A10&lt;'Données projet'!$A$88,$BA$205^A10,IF(A10='Données projet'!$A$88,'Données projet'!$B$88,BD9+BC10-BL9)))</f>
        <v>15.640213174415782</v>
      </c>
      <c r="BE10" s="13">
        <f>BD10*VLOOKUP('Données projet'!$B$11,Paramètres!$A$1:$I$89,3,0)*VLOOKUP('Données projet'!$B$11,Paramètres!$A$1:$I$89,5,0)</f>
        <v>9.3528474783006388</v>
      </c>
      <c r="BF10" s="13">
        <f t="shared" si="37"/>
        <v>3.322599937920736</v>
      </c>
      <c r="BG10" s="20">
        <f t="shared" si="7"/>
        <v>22.076404249918891</v>
      </c>
      <c r="BH10" s="59">
        <f t="shared" si="8"/>
        <v>315.40973758325219</v>
      </c>
      <c r="BI10" s="59">
        <f ca="1">AVERAGE(OFFSET($BH$3,0,0,'Données projet'!$E$11+1,1))-AVERAGE(OFFSET($H$3,0,0,'Données projet'!$E$11+1,1))</f>
        <v>243.85350804244348</v>
      </c>
      <c r="BJ10" s="59">
        <f t="shared" si="38"/>
        <v>304.60992308960545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7.2264102564102561</v>
      </c>
      <c r="N11" s="13">
        <f>IF('Données projet'!$A$36&gt;35,N10+M11-V10,IF(A11&lt;'Données projet'!$A$36,$K$205^A11,IF(A11='Données projet'!$A$36,'Données projet'!$B$36,N10+M11-V10)))</f>
        <v>4.1970585866050225</v>
      </c>
      <c r="O11" s="13">
        <f>N11*VLOOKUP('Données projet'!$B$9,Paramètres!$A$1:$I$89,3,0)*VLOOKUP('Données projet'!$B$9,Paramètres!$A$1:$I$89,5,0)</f>
        <v>1.9642234185311505</v>
      </c>
      <c r="P11" s="13">
        <f t="shared" si="33"/>
        <v>0.83678816759654573</v>
      </c>
      <c r="Q11" s="20">
        <f t="shared" si="2"/>
        <v>4.8784285125057369</v>
      </c>
      <c r="R11" s="59">
        <f t="shared" si="0"/>
        <v>298.21176184583908</v>
      </c>
      <c r="S11" s="59">
        <f ca="1">AVERAGE(OFFSET($R$3,0,0,'Données projet'!$E$9+1,1))-AVERAGE(OFFSET($H$3,0,0,'Données projet'!$E$9+1,1))</f>
        <v>158.58786357608489</v>
      </c>
      <c r="T11" s="59">
        <f t="shared" si="34"/>
        <v>163.20074068819849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4.3499999999999996</v>
      </c>
      <c r="AI11" s="13">
        <f>IF('Données projet'!$A$62&gt;35,AI10+AH11-AQ10,IF(A11&lt;'Données projet'!$A$62,$AF$205^A11,IF(A11='Données projet'!$A$62,'Données projet'!$B$62,AI10+AH11-AQ10)))</f>
        <v>5.9677098701087603</v>
      </c>
      <c r="AJ11" s="13">
        <f>AI11*VLOOKUP('Données projet'!$B$10,Paramètres!$A$1:$I$89,3,0)*VLOOKUP('Données projet'!$B$10,Paramètres!$A$1:$I$89,5,0)</f>
        <v>3.5686905023250386</v>
      </c>
      <c r="AK11" s="13">
        <f t="shared" si="35"/>
        <v>1.4182373406363031</v>
      </c>
      <c r="AL11" s="20">
        <f t="shared" si="4"/>
        <v>8.6855659931576685</v>
      </c>
      <c r="AM11" s="59">
        <f t="shared" si="5"/>
        <v>302.01889932649101</v>
      </c>
      <c r="AN11" s="59">
        <f ca="1">AVERAGE(OFFSET($AM$3,0,0,'Données projet'!$E$10+1,1))-AVERAGE(OFFSET($H$3,0,0,'Données projet'!$E$10+1,1))</f>
        <v>270.30888762640245</v>
      </c>
      <c r="AO11" s="59">
        <f t="shared" si="36"/>
        <v>202.23783851977691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5.0823076923076922</v>
      </c>
      <c r="BD11" s="12">
        <f>IF('Données projet'!$A$88&gt;35,BD10+BC11-BL10,IF(A11&lt;'Données projet'!$A$88,$BA$205^A11,IF(A11='Données projet'!$A$88,'Données projet'!$B$88,BD10+BC11-BL10)))</f>
        <v>23.165877932859601</v>
      </c>
      <c r="BE11" s="13">
        <f>BD11*VLOOKUP('Données projet'!$B$11,Paramètres!$A$1:$I$89,3,0)*VLOOKUP('Données projet'!$B$11,Paramètres!$A$1:$I$89,5,0)</f>
        <v>13.853195003850043</v>
      </c>
      <c r="BF11" s="13">
        <f t="shared" si="37"/>
        <v>4.7013826315152487</v>
      </c>
      <c r="BG11" s="20">
        <f t="shared" si="7"/>
        <v>32.315889381594552</v>
      </c>
      <c r="BH11" s="59">
        <f t="shared" si="8"/>
        <v>325.64922271492787</v>
      </c>
      <c r="BI11" s="59">
        <f ca="1">AVERAGE(OFFSET($BH$3,0,0,'Données projet'!$E$11+1,1))-AVERAGE(OFFSET($H$3,0,0,'Données projet'!$E$11+1,1))</f>
        <v>243.85350804244348</v>
      </c>
      <c r="BJ11" s="59">
        <f t="shared" si="38"/>
        <v>304.60992308960545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7.2264102564102561</v>
      </c>
      <c r="N12" s="13">
        <f>IF('Données projet'!$A$36&gt;35,N11+M12-V11,IF(A12&lt;'Données projet'!$A$36,$K$205^A12,IF(A12='Données projet'!$A$36,'Données projet'!$B$36,N11+M12-V11)))</f>
        <v>5.0212652126643498</v>
      </c>
      <c r="O12" s="13">
        <f>N12*VLOOKUP('Données projet'!$B$9,Paramètres!$A$1:$I$89,3,0)*VLOOKUP('Données projet'!$B$9,Paramètres!$A$1:$I$89,5,0)</f>
        <v>2.349952119526916</v>
      </c>
      <c r="P12" s="13">
        <f t="shared" si="33"/>
        <v>0.98043726379605944</v>
      </c>
      <c r="Q12" s="20">
        <f t="shared" si="2"/>
        <v>5.8004281759541811</v>
      </c>
      <c r="R12" s="59">
        <f t="shared" si="0"/>
        <v>299.13376150928752</v>
      </c>
      <c r="S12" s="59">
        <f ca="1">AVERAGE(OFFSET($R$3,0,0,'Données projet'!$E$9+1,1))-AVERAGE(OFFSET($H$3,0,0,'Données projet'!$E$9+1,1))</f>
        <v>158.58786357608489</v>
      </c>
      <c r="T12" s="59">
        <f t="shared" si="34"/>
        <v>163.20074068819849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4.3499999999999996</v>
      </c>
      <c r="AI12" s="13">
        <f>IF('Données projet'!$A$62&gt;35,AI11+AH12-AQ11,IF(A12&lt;'Données projet'!$A$62,$AF$205^A12,IF(A12='Données projet'!$A$62,'Données projet'!$B$62,AI11+AH12-AQ11)))</f>
        <v>7.4607702040314701</v>
      </c>
      <c r="AJ12" s="13">
        <f>AI12*VLOOKUP('Données projet'!$B$10,Paramètres!$A$1:$I$89,3,0)*VLOOKUP('Données projet'!$B$10,Paramètres!$A$1:$I$89,5,0)</f>
        <v>4.4615405820108194</v>
      </c>
      <c r="AK12" s="13">
        <f t="shared" si="35"/>
        <v>1.7275748631142889</v>
      </c>
      <c r="AL12" s="20">
        <f t="shared" si="4"/>
        <v>10.779376066926231</v>
      </c>
      <c r="AM12" s="59">
        <f t="shared" si="5"/>
        <v>304.11270940025952</v>
      </c>
      <c r="AN12" s="59">
        <f ca="1">AVERAGE(OFFSET($AM$3,0,0,'Données projet'!$E$10+1,1))-AVERAGE(OFFSET($H$3,0,0,'Données projet'!$E$10+1,1))</f>
        <v>270.30888762640245</v>
      </c>
      <c r="AO12" s="59">
        <f t="shared" si="36"/>
        <v>202.23783851977691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5.0823076923076922</v>
      </c>
      <c r="BD12" s="12">
        <f>IF('Données projet'!$A$88&gt;35,BD11+BC12-BL11,IF(A12&lt;'Données projet'!$A$88,$BA$205^A12,IF(A12='Données projet'!$A$88,'Données projet'!$B$88,BD11+BC12-BL11)))</f>
        <v>34.312697302490413</v>
      </c>
      <c r="BE12" s="13">
        <f>BD12*VLOOKUP('Données projet'!$B$11,Paramètres!$A$1:$I$89,3,0)*VLOOKUP('Données projet'!$B$11,Paramètres!$A$1:$I$89,5,0)</f>
        <v>20.51899298688927</v>
      </c>
      <c r="BF12" s="13">
        <f t="shared" si="37"/>
        <v>6.6523201892747759</v>
      </c>
      <c r="BG12" s="20">
        <f t="shared" si="7"/>
        <v>47.323370448485711</v>
      </c>
      <c r="BH12" s="59">
        <f t="shared" si="8"/>
        <v>340.65670378181903</v>
      </c>
      <c r="BI12" s="59">
        <f ca="1">AVERAGE(OFFSET($BH$3,0,0,'Données projet'!$E$11+1,1))-AVERAGE(OFFSET($H$3,0,0,'Données projet'!$E$11+1,1))</f>
        <v>243.85350804244348</v>
      </c>
      <c r="BJ12" s="59">
        <f t="shared" si="38"/>
        <v>304.60992308960545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7.2264102564102561</v>
      </c>
      <c r="N13" s="13">
        <f>IF('Données projet'!$A$36&gt;35,N12+M13-V12,IF(A13&lt;'Données projet'!$A$36,$K$205^A13,IF(A13='Données projet'!$A$36,'Données projet'!$B$36,N12+M13-V12)))</f>
        <v>6.0073272306422343</v>
      </c>
      <c r="O13" s="13">
        <f>N13*VLOOKUP('Données projet'!$B$9,Paramètres!$A$1:$I$89,3,0)*VLOOKUP('Données projet'!$B$9,Paramètres!$A$1:$I$89,5,0)</f>
        <v>2.8114291439405656</v>
      </c>
      <c r="P13" s="13">
        <f t="shared" si="33"/>
        <v>1.1487462006075717</v>
      </c>
      <c r="Q13" s="20">
        <f t="shared" si="2"/>
        <v>6.8973053917546716</v>
      </c>
      <c r="R13" s="59">
        <f t="shared" si="0"/>
        <v>300.230638725088</v>
      </c>
      <c r="S13" s="59">
        <f ca="1">AVERAGE(OFFSET($R$3,0,0,'Données projet'!$E$9+1,1))-AVERAGE(OFFSET($H$3,0,0,'Données projet'!$E$9+1,1))</f>
        <v>158.58786357608489</v>
      </c>
      <c r="T13" s="59">
        <f t="shared" si="34"/>
        <v>163.20074068819849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4.3499999999999996</v>
      </c>
      <c r="AI13" s="13">
        <f>IF('Données projet'!$A$62&gt;35,AI12+AH13-AQ12,IF(A13&lt;'Données projet'!$A$62,$AF$205^A13,IF(A13='Données projet'!$A$62,'Données projet'!$B$62,AI12+AH13-AQ12)))</f>
        <v>9.3273790530888085</v>
      </c>
      <c r="AJ13" s="13">
        <f>AI13*VLOOKUP('Données projet'!$B$10,Paramètres!$A$1:$I$89,3,0)*VLOOKUP('Données projet'!$B$10,Paramètres!$A$1:$I$89,5,0)</f>
        <v>5.5777726737471083</v>
      </c>
      <c r="AK13" s="13">
        <f t="shared" si="35"/>
        <v>2.1043832524712172</v>
      </c>
      <c r="AL13" s="20">
        <f t="shared" si="4"/>
        <v>13.379754904830248</v>
      </c>
      <c r="AM13" s="59">
        <f t="shared" si="5"/>
        <v>306.71308823816355</v>
      </c>
      <c r="AN13" s="59">
        <f ca="1">AVERAGE(OFFSET($AM$3,0,0,'Données projet'!$E$10+1,1))-AVERAGE(OFFSET($H$3,0,0,'Données projet'!$E$10+1,1))</f>
        <v>270.30888762640245</v>
      </c>
      <c r="AO13" s="59">
        <f t="shared" si="36"/>
        <v>202.23783851977691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50.823076923076918</v>
      </c>
      <c r="BB13" s="12">
        <f>VLOOKUP(A13,'Données projet'!$A$87:$I$107,9,0)</f>
        <v>5.0823076923076922</v>
      </c>
      <c r="BC13" s="12">
        <f t="array" ref="BC13">INDEX(BB:BB,MIN(IF(ISNUMBER(BB13:BB209),ROW(BB13:BB209),"")))</f>
        <v>5.0823076923076922</v>
      </c>
      <c r="BD13" s="12">
        <f>IF('Données projet'!$A$88&gt;35,BD12+BC13-BL12,IF(A13&lt;'Données projet'!$A$88,$BA$205^A13,IF(A13='Données projet'!$A$88,'Données projet'!$B$88,BD12+BC13-BL12)))</f>
        <v>50.823076923076918</v>
      </c>
      <c r="BE13" s="13">
        <f>BD13*VLOOKUP('Données projet'!$B$11,Paramètres!$A$1:$I$89,3,0)*VLOOKUP('Données projet'!$B$11,Paramètres!$A$1:$I$89,5,0)</f>
        <v>30.392199999999999</v>
      </c>
      <c r="BF13" s="13">
        <f t="shared" si="37"/>
        <v>9.4128403002097283</v>
      </c>
      <c r="BG13" s="20">
        <f t="shared" si="7"/>
        <v>69.327111856198599</v>
      </c>
      <c r="BH13" s="59">
        <f t="shared" si="8"/>
        <v>362.66044518953191</v>
      </c>
      <c r="BI13" s="59">
        <f ca="1">AVERAGE(OFFSET($BH$3,0,0,'Données projet'!$E$11+1,1))-AVERAGE(OFFSET($H$3,0,0,'Données projet'!$E$11+1,1))</f>
        <v>243.85350804244348</v>
      </c>
      <c r="BJ13" s="59">
        <f t="shared" si="38"/>
        <v>304.60992308960545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7.2264102564102561</v>
      </c>
      <c r="N14" s="13">
        <f>IF('Données projet'!$A$36&gt;35,N13+M14-V13,IF(A14&lt;'Données projet'!$A$36,$K$205^A14,IF(A14='Données projet'!$A$36,'Données projet'!$B$36,N13+M14-V13)))</f>
        <v>7.1870293496939057</v>
      </c>
      <c r="O14" s="13">
        <f>N14*VLOOKUP('Données projet'!$B$9,Paramètres!$A$1:$I$89,3,0)*VLOOKUP('Données projet'!$B$9,Paramètres!$A$1:$I$89,5,0)</f>
        <v>3.3635297356567477</v>
      </c>
      <c r="P14" s="13">
        <f t="shared" si="33"/>
        <v>1.3459482642479659</v>
      </c>
      <c r="Q14" s="20">
        <f t="shared" si="2"/>
        <v>8.2023408498340427</v>
      </c>
      <c r="R14" s="59">
        <f t="shared" si="0"/>
        <v>301.53567418316737</v>
      </c>
      <c r="S14" s="59">
        <f ca="1">AVERAGE(OFFSET($R$3,0,0,'Données projet'!$E$9+1,1))-AVERAGE(OFFSET($H$3,0,0,'Données projet'!$E$9+1,1))</f>
        <v>158.58786357608489</v>
      </c>
      <c r="T14" s="59">
        <f t="shared" si="34"/>
        <v>163.20074068819849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4.3499999999999996</v>
      </c>
      <c r="AI14" s="13">
        <f>IF('Données projet'!$A$62&gt;35,AI13+AH14-AQ13,IF(A14&lt;'Données projet'!$A$62,$AF$205^A14,IF(A14='Données projet'!$A$62,'Données projet'!$B$62,AI13+AH14-AQ13)))</f>
        <v>11.660994457782511</v>
      </c>
      <c r="AJ14" s="13">
        <f>AI14*VLOOKUP('Données projet'!$B$10,Paramètres!$A$1:$I$89,3,0)*VLOOKUP('Données projet'!$B$10,Paramètres!$A$1:$I$89,5,0)</f>
        <v>6.9732746857539425</v>
      </c>
      <c r="AK14" s="13">
        <f t="shared" si="35"/>
        <v>2.563378854273346</v>
      </c>
      <c r="AL14" s="20">
        <f t="shared" si="4"/>
        <v>16.609671582214194</v>
      </c>
      <c r="AM14" s="59">
        <f t="shared" si="5"/>
        <v>309.94300491554753</v>
      </c>
      <c r="AN14" s="59">
        <f ca="1">AVERAGE(OFFSET($AM$3,0,0,'Données projet'!$E$10+1,1))-AVERAGE(OFFSET($H$3,0,0,'Données projet'!$E$10+1,1))</f>
        <v>270.30888762640245</v>
      </c>
      <c r="AO14" s="59">
        <f t="shared" si="36"/>
        <v>202.23783851977691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18.07076923076923</v>
      </c>
      <c r="BD14" s="12">
        <f>IF('Données projet'!$A$88&gt;35,BD13+BC14-BL13,IF(A14&lt;'Données projet'!$A$88,$BA$205^A14,IF(A14='Données projet'!$A$88,'Données projet'!$B$88,BD13+BC14-BL13)))</f>
        <v>68.893846153846141</v>
      </c>
      <c r="BE14" s="13">
        <f>BD14*VLOOKUP('Données projet'!$B$11,Paramètres!$A$1:$I$89,3,0)*VLOOKUP('Données projet'!$B$11,Paramètres!$A$1:$I$89,5,0)</f>
        <v>41.198519999999995</v>
      </c>
      <c r="BF14" s="13">
        <f t="shared" si="37"/>
        <v>12.315766881416888</v>
      </c>
      <c r="BG14" s="20">
        <f t="shared" si="7"/>
        <v>93.204049651801071</v>
      </c>
      <c r="BH14" s="59">
        <f t="shared" si="8"/>
        <v>386.5373829851344</v>
      </c>
      <c r="BI14" s="59">
        <f ca="1">AVERAGE(OFFSET($BH$3,0,0,'Données projet'!$E$11+1,1))-AVERAGE(OFFSET($H$3,0,0,'Données projet'!$E$11+1,1))</f>
        <v>243.85350804244348</v>
      </c>
      <c r="BJ14" s="59">
        <f t="shared" si="38"/>
        <v>304.60992308960545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7.2264102564102561</v>
      </c>
      <c r="N15" s="13">
        <f>IF('Données projet'!$A$36&gt;35,N14+M15-V14,IF(A15&lt;'Données projet'!$A$36,$K$205^A15,IF(A15='Données projet'!$A$36,'Données projet'!$B$36,N14+M15-V14)))</f>
        <v>8.5983980712566286</v>
      </c>
      <c r="O15" s="13">
        <f>N15*VLOOKUP('Données projet'!$B$9,Paramètres!$A$1:$I$89,3,0)*VLOOKUP('Données projet'!$B$9,Paramètres!$A$1:$I$89,5,0)</f>
        <v>4.0240502973481025</v>
      </c>
      <c r="P15" s="13">
        <f t="shared" si="33"/>
        <v>1.5770034573990057</v>
      </c>
      <c r="Q15" s="20">
        <f t="shared" si="2"/>
        <v>9.7551686228512136</v>
      </c>
      <c r="R15" s="59">
        <f t="shared" si="0"/>
        <v>303.08850195618453</v>
      </c>
      <c r="S15" s="59">
        <f ca="1">AVERAGE(OFFSET($R$3,0,0,'Données projet'!$E$9+1,1))-AVERAGE(OFFSET($H$3,0,0,'Données projet'!$E$9+1,1))</f>
        <v>158.58786357608489</v>
      </c>
      <c r="T15" s="59">
        <f t="shared" si="34"/>
        <v>163.20074068819849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4.3499999999999996</v>
      </c>
      <c r="AI15" s="13">
        <f>IF('Données projet'!$A$62&gt;35,AI14+AH15-AQ14,IF(A15&lt;'Données projet'!$A$62,$AF$205^A15,IF(A15='Données projet'!$A$62,'Données projet'!$B$62,AI14+AH15-AQ14)))</f>
        <v>14.578456710130634</v>
      </c>
      <c r="AJ15" s="13">
        <f>AI15*VLOOKUP('Données projet'!$B$10,Paramètres!$A$1:$I$89,3,0)*VLOOKUP('Données projet'!$B$10,Paramètres!$A$1:$I$89,5,0)</f>
        <v>8.7179171126581192</v>
      </c>
      <c r="AK15" s="13">
        <f t="shared" si="35"/>
        <v>3.1224878561542369</v>
      </c>
      <c r="AL15" s="20">
        <f t="shared" si="4"/>
        <v>20.622038654014851</v>
      </c>
      <c r="AM15" s="59">
        <f t="shared" si="5"/>
        <v>313.95537198734814</v>
      </c>
      <c r="AN15" s="59">
        <f ca="1">AVERAGE(OFFSET($AM$3,0,0,'Données projet'!$E$10+1,1))-AVERAGE(OFFSET($H$3,0,0,'Données projet'!$E$10+1,1))</f>
        <v>270.30888762640245</v>
      </c>
      <c r="AO15" s="59">
        <f t="shared" si="36"/>
        <v>202.23783851977691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18.07076923076923</v>
      </c>
      <c r="BD15" s="12">
        <f>IF('Données projet'!$A$88&gt;35,BD14+BC15-BL14,IF(A15&lt;'Données projet'!$A$88,$BA$205^A15,IF(A15='Données projet'!$A$88,'Données projet'!$B$88,BD14+BC15-BL14)))</f>
        <v>86.964615384615371</v>
      </c>
      <c r="BE15" s="13">
        <f>BD15*VLOOKUP('Données projet'!$B$11,Paramètres!$A$1:$I$89,3,0)*VLOOKUP('Données projet'!$B$11,Paramètres!$A$1:$I$89,5,0)</f>
        <v>52.004839999999994</v>
      </c>
      <c r="BF15" s="13">
        <f t="shared" si="37"/>
        <v>15.130327732668428</v>
      </c>
      <c r="BG15" s="20">
        <f t="shared" si="7"/>
        <v>116.92708380106416</v>
      </c>
      <c r="BH15" s="59">
        <f t="shared" si="8"/>
        <v>410.26041713439747</v>
      </c>
      <c r="BI15" s="59">
        <f ca="1">AVERAGE(OFFSET($BH$3,0,0,'Données projet'!$E$11+1,1))-AVERAGE(OFFSET($H$3,0,0,'Données projet'!$E$11+1,1))</f>
        <v>243.85350804244348</v>
      </c>
      <c r="BJ15" s="59">
        <f t="shared" si="38"/>
        <v>304.60992308960545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7.2264102564102561</v>
      </c>
      <c r="N16" s="13">
        <f>IF('Données projet'!$A$36&gt;35,N15+M16-V15,IF(A16&lt;'Données projet'!$A$36,$K$205^A16,IF(A16='Données projet'!$A$36,'Données projet'!$B$36,N15+M16-V15)))</f>
        <v>10.286927434759741</v>
      </c>
      <c r="O16" s="13">
        <f>N16*VLOOKUP('Données projet'!$B$9,Paramètres!$A$1:$I$89,3,0)*VLOOKUP('Données projet'!$B$9,Paramètres!$A$1:$I$89,5,0)</f>
        <v>4.8142820394675585</v>
      </c>
      <c r="P16" s="13">
        <f t="shared" si="33"/>
        <v>1.8477232526006253</v>
      </c>
      <c r="Q16" s="20">
        <f t="shared" si="2"/>
        <v>11.602992550352086</v>
      </c>
      <c r="R16" s="59">
        <f t="shared" si="0"/>
        <v>304.93632588368541</v>
      </c>
      <c r="S16" s="59">
        <f ca="1">AVERAGE(OFFSET($R$3,0,0,'Données projet'!$E$9+1,1))-AVERAGE(OFFSET($H$3,0,0,'Données projet'!$E$9+1,1))</f>
        <v>158.58786357608489</v>
      </c>
      <c r="T16" s="59">
        <f t="shared" si="34"/>
        <v>163.20074068819849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4.3499999999999996</v>
      </c>
      <c r="AI16" s="13">
        <f>IF('Données projet'!$A$62&gt;35,AI15+AH16-AQ15,IF(A16&lt;'Données projet'!$A$62,$AF$205^A16,IF(A16='Données projet'!$A$62,'Données projet'!$B$62,AI15+AH16-AQ15)))</f>
        <v>18.22583835526224</v>
      </c>
      <c r="AJ16" s="13">
        <f>AI16*VLOOKUP('Données projet'!$B$10,Paramètres!$A$1:$I$89,3,0)*VLOOKUP('Données projet'!$B$10,Paramètres!$A$1:$I$89,5,0)</f>
        <v>10.899051336446822</v>
      </c>
      <c r="AK16" s="13">
        <f t="shared" si="35"/>
        <v>3.8035463995409109</v>
      </c>
      <c r="AL16" s="20">
        <f t="shared" si="4"/>
        <v>25.607024390178637</v>
      </c>
      <c r="AM16" s="59">
        <f t="shared" si="5"/>
        <v>318.94035772351197</v>
      </c>
      <c r="AN16" s="59">
        <f ca="1">AVERAGE(OFFSET($AM$3,0,0,'Données projet'!$E$10+1,1))-AVERAGE(OFFSET($H$3,0,0,'Données projet'!$E$10+1,1))</f>
        <v>270.30888762640245</v>
      </c>
      <c r="AO16" s="59">
        <f t="shared" si="36"/>
        <v>202.23783851977691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18.07076923076923</v>
      </c>
      <c r="BD16" s="12">
        <f>IF('Données projet'!$A$88&gt;35,BD15+BC16-BL15,IF(A16&lt;'Données projet'!$A$88,$BA$205^A16,IF(A16='Données projet'!$A$88,'Données projet'!$B$88,BD15+BC16-BL15)))</f>
        <v>105.0353846153846</v>
      </c>
      <c r="BE16" s="13">
        <f>BD16*VLOOKUP('Données projet'!$B$11,Paramètres!$A$1:$I$89,3,0)*VLOOKUP('Données projet'!$B$11,Paramètres!$A$1:$I$89,5,0)</f>
        <v>62.811160000000001</v>
      </c>
      <c r="BF16" s="13">
        <f t="shared" si="37"/>
        <v>17.877113348572262</v>
      </c>
      <c r="BG16" s="20">
        <f t="shared" si="7"/>
        <v>140.53207608209667</v>
      </c>
      <c r="BH16" s="59">
        <f t="shared" si="8"/>
        <v>433.86540941543001</v>
      </c>
      <c r="BI16" s="59">
        <f ca="1">AVERAGE(OFFSET($BH$3,0,0,'Données projet'!$E$11+1,1))-AVERAGE(OFFSET($H$3,0,0,'Données projet'!$E$11+1,1))</f>
        <v>243.85350804244348</v>
      </c>
      <c r="BJ16" s="59">
        <f t="shared" si="38"/>
        <v>304.60992308960545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7.2264102564102561</v>
      </c>
      <c r="N17" s="13">
        <f>IF('Données projet'!$A$36&gt;35,N16+M17-V16,IF(A17&lt;'Données projet'!$A$36,$K$205^A17,IF(A17='Données projet'!$A$36,'Données projet'!$B$36,N16+M17-V16)))</f>
        <v>12.307045471848836</v>
      </c>
      <c r="O17" s="13">
        <f>N17*VLOOKUP('Données projet'!$B$9,Paramètres!$A$1:$I$89,3,0)*VLOOKUP('Données projet'!$B$9,Paramètres!$A$1:$I$89,5,0)</f>
        <v>5.7596972808252556</v>
      </c>
      <c r="P17" s="13">
        <f t="shared" si="33"/>
        <v>2.1649167617120959</v>
      </c>
      <c r="Q17" s="20">
        <f t="shared" si="2"/>
        <v>13.802036124085888</v>
      </c>
      <c r="R17" s="59">
        <f t="shared" si="0"/>
        <v>307.13536945741919</v>
      </c>
      <c r="S17" s="59">
        <f ca="1">AVERAGE(OFFSET($R$3,0,0,'Données projet'!$E$9+1,1))-AVERAGE(OFFSET($H$3,0,0,'Données projet'!$E$9+1,1))</f>
        <v>158.58786357608489</v>
      </c>
      <c r="T17" s="59">
        <f t="shared" si="34"/>
        <v>163.20074068819849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4.3499999999999996</v>
      </c>
      <c r="AI17" s="13">
        <f>IF('Données projet'!$A$62&gt;35,AI16+AH17-AQ16,IF(A17&lt;'Données projet'!$A$62,$AF$205^A17,IF(A17='Données projet'!$A$62,'Données projet'!$B$62,AI16+AH17-AQ16)))</f>
        <v>22.785757803932292</v>
      </c>
      <c r="AJ17" s="13">
        <f>AI17*VLOOKUP('Données projet'!$B$10,Paramètres!$A$1:$I$89,3,0)*VLOOKUP('Données projet'!$B$10,Paramètres!$A$1:$I$89,5,0)</f>
        <v>13.625883166751512</v>
      </c>
      <c r="AK17" s="13">
        <f t="shared" si="35"/>
        <v>4.6331533955999511</v>
      </c>
      <c r="AL17" s="20">
        <f t="shared" si="4"/>
        <v>31.801155346095459</v>
      </c>
      <c r="AM17" s="59">
        <f t="shared" si="5"/>
        <v>325.13448867942878</v>
      </c>
      <c r="AN17" s="59">
        <f ca="1">AVERAGE(OFFSET($AM$3,0,0,'Données projet'!$E$10+1,1))-AVERAGE(OFFSET($H$3,0,0,'Données projet'!$E$10+1,1))</f>
        <v>270.30888762640245</v>
      </c>
      <c r="AO17" s="59">
        <f t="shared" si="36"/>
        <v>202.23783851977691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18.07076923076923</v>
      </c>
      <c r="BD17" s="12">
        <f>IF('Données projet'!$A$88&gt;35,BD16+BC17-BL16,IF(A17&lt;'Données projet'!$A$88,$BA$205^A17,IF(A17='Données projet'!$A$88,'Données projet'!$B$88,BD16+BC17-BL16)))</f>
        <v>123.10615384615383</v>
      </c>
      <c r="BE17" s="13">
        <f>BD17*VLOOKUP('Données projet'!$B$11,Paramètres!$A$1:$I$89,3,0)*VLOOKUP('Données projet'!$B$11,Paramètres!$A$1:$I$89,5,0)</f>
        <v>73.61748</v>
      </c>
      <c r="BF17" s="13">
        <f t="shared" si="37"/>
        <v>20.569153997119681</v>
      </c>
      <c r="BG17" s="20">
        <f t="shared" si="7"/>
        <v>164.04172087831677</v>
      </c>
      <c r="BH17" s="59">
        <f t="shared" si="8"/>
        <v>457.37505421165008</v>
      </c>
      <c r="BI17" s="59">
        <f ca="1">AVERAGE(OFFSET($BH$3,0,0,'Données projet'!$E$11+1,1))-AVERAGE(OFFSET($H$3,0,0,'Données projet'!$E$11+1,1))</f>
        <v>243.85350804244348</v>
      </c>
      <c r="BJ17" s="59">
        <f t="shared" si="38"/>
        <v>304.60992308960545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7.2264102564102561</v>
      </c>
      <c r="N18" s="13">
        <f>IF('Données projet'!$A$36&gt;35,N17+M18-V17,IF(A18&lt;'Données projet'!$A$36,$K$205^A18,IF(A18='Données projet'!$A$36,'Données projet'!$B$36,N17+M18-V17)))</f>
        <v>14.723868638788783</v>
      </c>
      <c r="O18" s="13">
        <f>N18*VLOOKUP('Données projet'!$B$9,Paramètres!$A$1:$I$89,3,0)*VLOOKUP('Données projet'!$B$9,Paramètres!$A$1:$I$89,5,0)</f>
        <v>6.89077052295315</v>
      </c>
      <c r="P18" s="13">
        <f t="shared" si="33"/>
        <v>2.5365619978778424</v>
      </c>
      <c r="Q18" s="20">
        <f t="shared" si="2"/>
        <v>16.419270807113978</v>
      </c>
      <c r="R18" s="59">
        <f t="shared" si="0"/>
        <v>309.75260414044732</v>
      </c>
      <c r="S18" s="59">
        <f ca="1">AVERAGE(OFFSET($R$3,0,0,'Données projet'!$E$9+1,1))-AVERAGE(OFFSET($H$3,0,0,'Données projet'!$E$9+1,1))</f>
        <v>158.58786357608489</v>
      </c>
      <c r="T18" s="59">
        <f t="shared" si="34"/>
        <v>163.20074068819849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4.3499999999999996</v>
      </c>
      <c r="AI18" s="13">
        <f>IF('Données projet'!$A$62&gt;35,AI17+AH18-AQ17,IF(A18&lt;'Données projet'!$A$62,$AF$205^A18,IF(A18='Données projet'!$A$62,'Données projet'!$B$62,AI17+AH18-AQ17)))</f>
        <v>28.48652273652797</v>
      </c>
      <c r="AJ18" s="13">
        <f>AI18*VLOOKUP('Données projet'!$B$10,Paramètres!$A$1:$I$89,3,0)*VLOOKUP('Données projet'!$B$10,Paramètres!$A$1:$I$89,5,0)</f>
        <v>17.034940596443729</v>
      </c>
      <c r="AK18" s="13">
        <f t="shared" si="35"/>
        <v>5.6437093523429409</v>
      </c>
      <c r="AL18" s="20">
        <f t="shared" si="4"/>
        <v>39.498648660803447</v>
      </c>
      <c r="AM18" s="59">
        <f t="shared" si="5"/>
        <v>332.83198199413675</v>
      </c>
      <c r="AN18" s="59">
        <f ca="1">AVERAGE(OFFSET($AM$3,0,0,'Données projet'!$E$10+1,1))-AVERAGE(OFFSET($H$3,0,0,'Données projet'!$E$10+1,1))</f>
        <v>270.30888762640245</v>
      </c>
      <c r="AO18" s="59">
        <f t="shared" si="36"/>
        <v>202.23783851977691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141.17692307692306</v>
      </c>
      <c r="BB18" s="12">
        <f>VLOOKUP(A18,'Données projet'!$A$87:$I$107,9,0)</f>
        <v>18.07076923076923</v>
      </c>
      <c r="BC18" s="12">
        <f t="array" ref="BC18">INDEX(BB:BB,MIN(IF(ISNUMBER(BB18:BB214),ROW(BB18:BB214),"")))</f>
        <v>18.07076923076923</v>
      </c>
      <c r="BD18" s="12">
        <f>IF('Données projet'!$A$88&gt;35,BD17+BC18-BL17,IF(A18&lt;'Données projet'!$A$88,$BA$205^A18,IF(A18='Données projet'!$A$88,'Données projet'!$B$88,BD17+BC18-BL17)))</f>
        <v>141.17692307692306</v>
      </c>
      <c r="BE18" s="13">
        <f>BD18*VLOOKUP('Données projet'!$B$11,Paramètres!$A$1:$I$89,3,0)*VLOOKUP('Données projet'!$B$11,Paramètres!$A$1:$I$89,5,0)</f>
        <v>84.423799999999986</v>
      </c>
      <c r="BF18" s="13">
        <f t="shared" si="37"/>
        <v>23.215414769475935</v>
      </c>
      <c r="BG18" s="20">
        <f t="shared" si="7"/>
        <v>187.47163239017053</v>
      </c>
      <c r="BH18" s="59">
        <f t="shared" si="8"/>
        <v>480.80496572350387</v>
      </c>
      <c r="BI18" s="59">
        <f ca="1">AVERAGE(OFFSET($BH$3,0,0,'Données projet'!$E$11+1,1))-AVERAGE(OFFSET($H$3,0,0,'Données projet'!$E$11+1,1))</f>
        <v>243.85350804244348</v>
      </c>
      <c r="BJ18" s="59">
        <f t="shared" si="38"/>
        <v>304.60992308960545</v>
      </c>
      <c r="BK18" s="15">
        <f>IF(ISNA(VLOOKUP(A18,'Données projet'!$A$87:$I$107,3,0)),0,VLOOKUP(A18,'Données projet'!$A$87:$I$107,3,0))</f>
        <v>1</v>
      </c>
      <c r="BL18" s="15">
        <f>IF(ISNA(VLOOKUP(A18,'Données projet'!$A$87:$I$107,4,0)),0,VLOOKUP(A18,'Données projet'!$A$87:$I$107,4,0))</f>
        <v>49.784615384615385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0.22500000000000001</v>
      </c>
      <c r="BO18" s="16">
        <f>IF(ISNA(VLOOKUP(A18,'Données projet'!$A$87:$I$107,7,0)),0%,VLOOKUP(A18,'Données projet'!$A$87:$I$107,7,0))</f>
        <v>0.5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8.8510308952359278</v>
      </c>
      <c r="BR18" s="21">
        <f>EXP(-LN(2)/2)*BR17+(1-EXP(-LN(2)/2))/(LN(2)/2)*BL18*BO18*VLOOKUP('Données projet'!$B$11,Paramètres!$A$1:$I$89,3,0)*0.475*44/12</f>
        <v>16.853957088059961</v>
      </c>
      <c r="BS18" s="22">
        <f t="shared" si="9"/>
        <v>25.704987983295887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7.2264102564102561</v>
      </c>
      <c r="N19" s="13">
        <f>IF('Données projet'!$A$36&gt;35,N18+M19-V18,IF(A19&lt;'Données projet'!$A$36,$K$205^A19,IF(A19='Données projet'!$A$36,'Données projet'!$B$36,N18+M19-V18)))</f>
        <v>17.61530077939495</v>
      </c>
      <c r="O19" s="13">
        <f>N19*VLOOKUP('Données projet'!$B$9,Paramètres!$A$1:$I$89,3,0)*VLOOKUP('Données projet'!$B$9,Paramètres!$A$1:$I$89,5,0)</f>
        <v>8.2439607647568369</v>
      </c>
      <c r="P19" s="13">
        <f t="shared" si="33"/>
        <v>2.972006537558364</v>
      </c>
      <c r="Q19" s="20">
        <f t="shared" si="2"/>
        <v>19.534476384865641</v>
      </c>
      <c r="R19" s="59">
        <f t="shared" si="0"/>
        <v>312.86780971819894</v>
      </c>
      <c r="S19" s="59">
        <f ca="1">AVERAGE(OFFSET($R$3,0,0,'Données projet'!$E$9+1,1))-AVERAGE(OFFSET($H$3,0,0,'Données projet'!$E$9+1,1))</f>
        <v>158.58786357608489</v>
      </c>
      <c r="T19" s="59">
        <f t="shared" si="34"/>
        <v>163.20074068819849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4.3499999999999996</v>
      </c>
      <c r="AI19" s="13">
        <f>IF('Données projet'!$A$62&gt;35,AI18+AH19-AQ18,IF(A19&lt;'Données projet'!$A$62,$AF$205^A19,IF(A19='Données projet'!$A$62,'Données projet'!$B$62,AI18+AH19-AQ18)))</f>
        <v>35.613561093793514</v>
      </c>
      <c r="AJ19" s="13">
        <f>AI19*VLOOKUP('Données projet'!$B$10,Paramètres!$A$1:$I$89,3,0)*VLOOKUP('Données projet'!$B$10,Paramètres!$A$1:$I$89,5,0)</f>
        <v>21.296909534088524</v>
      </c>
      <c r="AK19" s="13">
        <f t="shared" si="35"/>
        <v>6.874681784542708</v>
      </c>
      <c r="AL19" s="20">
        <f t="shared" si="4"/>
        <v>49.065521546616061</v>
      </c>
      <c r="AM19" s="59">
        <f t="shared" si="5"/>
        <v>342.3988548799494</v>
      </c>
      <c r="AN19" s="59">
        <f ca="1">AVERAGE(OFFSET($AM$3,0,0,'Données projet'!$E$10+1,1))-AVERAGE(OFFSET($H$3,0,0,'Données projet'!$E$10+1,1))</f>
        <v>270.30888762640245</v>
      </c>
      <c r="AO19" s="59">
        <f t="shared" si="36"/>
        <v>202.23783851977691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18.463076923076926</v>
      </c>
      <c r="BD19" s="12">
        <f>IF('Données projet'!$A$88&gt;35,BD18+BC19-BL18,IF(A19&lt;'Données projet'!$A$88,$BA$205^A19,IF(A19='Données projet'!$A$88,'Données projet'!$B$88,BD18+BC19-BL18)))</f>
        <v>109.85538461538459</v>
      </c>
      <c r="BE19" s="13">
        <f>BD19*VLOOKUP('Données projet'!$B$11,Paramètres!$A$1:$I$89,3,0)*VLOOKUP('Données projet'!$B$11,Paramètres!$A$1:$I$89,5,0)</f>
        <v>65.693519999999992</v>
      </c>
      <c r="BF19" s="13">
        <f t="shared" si="37"/>
        <v>18.600086973007183</v>
      </c>
      <c r="BG19" s="20">
        <f t="shared" si="7"/>
        <v>146.81136547798749</v>
      </c>
      <c r="BH19" s="59">
        <f t="shared" si="8"/>
        <v>440.14469881132084</v>
      </c>
      <c r="BI19" s="59">
        <f ca="1">AVERAGE(OFFSET($BH$3,0,0,'Données projet'!$E$11+1,1))-AVERAGE(OFFSET($H$3,0,0,'Données projet'!$E$11+1,1))</f>
        <v>243.85350804244348</v>
      </c>
      <c r="BJ19" s="59">
        <f t="shared" si="38"/>
        <v>304.60992308960545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8.6089989899502157</v>
      </c>
      <c r="BR19" s="21">
        <f>EXP(-LN(2)/2)*BR18+(1-EXP(-LN(2)/2))/(LN(2)/2)*BL19*BO19*VLOOKUP('Données projet'!$B$11,Paramètres!$A$1:$I$89,3,0)*0.475*44/12</f>
        <v>11.917547346794278</v>
      </c>
      <c r="BS19" s="22">
        <f t="shared" si="9"/>
        <v>20.526546336744495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7.2264102564102561</v>
      </c>
      <c r="N20" s="13">
        <f>IF('Données projet'!$A$36&gt;35,N19+M20-V19,IF(A20&lt;'Données projet'!$A$36,$K$205^A20,IF(A20='Données projet'!$A$36,'Données projet'!$B$36,N19+M20-V19)))</f>
        <v>21.074544276434004</v>
      </c>
      <c r="O20" s="13">
        <f>N20*VLOOKUP('Données projet'!$B$9,Paramètres!$A$1:$I$89,3,0)*VLOOKUP('Données projet'!$B$9,Paramètres!$A$1:$I$89,5,0)</f>
        <v>9.8628867213711136</v>
      </c>
      <c r="P20" s="13">
        <f t="shared" si="33"/>
        <v>3.4822026296536168</v>
      </c>
      <c r="Q20" s="20">
        <f t="shared" si="2"/>
        <v>23.24269728636807</v>
      </c>
      <c r="R20" s="59">
        <f t="shared" si="0"/>
        <v>316.57603061970138</v>
      </c>
      <c r="S20" s="59">
        <f ca="1">AVERAGE(OFFSET($R$3,0,0,'Données projet'!$E$9+1,1))-AVERAGE(OFFSET($H$3,0,0,'Données projet'!$E$9+1,1))</f>
        <v>158.58786357608489</v>
      </c>
      <c r="T20" s="59">
        <f t="shared" si="34"/>
        <v>163.20074068819849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4.3499999999999996</v>
      </c>
      <c r="AI20" s="13">
        <f>IF('Données projet'!$A$62&gt;35,AI19+AH20-AQ19,IF(A20&lt;'Données projet'!$A$62,$AF$205^A20,IF(A20='Données projet'!$A$62,'Données projet'!$B$62,AI19+AH20-AQ19)))</f>
        <v>44.523711985211953</v>
      </c>
      <c r="AJ20" s="13">
        <f>AI20*VLOOKUP('Données projet'!$B$10,Paramètres!$A$1:$I$89,3,0)*VLOOKUP('Données projet'!$B$10,Paramètres!$A$1:$I$89,5,0)</f>
        <v>26.625179767156752</v>
      </c>
      <c r="AK20" s="13">
        <f t="shared" si="35"/>
        <v>8.3741466273601048</v>
      </c>
      <c r="AL20" s="20">
        <f t="shared" si="4"/>
        <v>60.957160137116858</v>
      </c>
      <c r="AM20" s="59">
        <f t="shared" si="5"/>
        <v>354.2904934704502</v>
      </c>
      <c r="AN20" s="59">
        <f ca="1">AVERAGE(OFFSET($AM$3,0,0,'Données projet'!$E$10+1,1))-AVERAGE(OFFSET($H$3,0,0,'Données projet'!$E$10+1,1))</f>
        <v>270.30888762640245</v>
      </c>
      <c r="AO20" s="59">
        <f t="shared" si="36"/>
        <v>202.23783851977691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18.463076923076926</v>
      </c>
      <c r="BD20" s="12">
        <f>IF('Données projet'!$A$88&gt;35,BD19+BC20-BL19,IF(A20&lt;'Données projet'!$A$88,$BA$205^A20,IF(A20='Données projet'!$A$88,'Données projet'!$B$88,BD19+BC20-BL19)))</f>
        <v>128.31846153846152</v>
      </c>
      <c r="BE20" s="13">
        <f>BD20*VLOOKUP('Données projet'!$B$11,Paramètres!$A$1:$I$89,3,0)*VLOOKUP('Données projet'!$B$11,Paramètres!$A$1:$I$89,5,0)</f>
        <v>76.734439999999992</v>
      </c>
      <c r="BF20" s="13">
        <f t="shared" si="37"/>
        <v>21.336811414414317</v>
      </c>
      <c r="BG20" s="20">
        <f t="shared" si="7"/>
        <v>170.80742954677157</v>
      </c>
      <c r="BH20" s="59">
        <f t="shared" si="8"/>
        <v>464.14076288010489</v>
      </c>
      <c r="BI20" s="59">
        <f ca="1">AVERAGE(OFFSET($BH$3,0,0,'Données projet'!$E$11+1,1))-AVERAGE(OFFSET($H$3,0,0,'Données projet'!$E$11+1,1))</f>
        <v>243.85350804244348</v>
      </c>
      <c r="BJ20" s="59">
        <f t="shared" si="38"/>
        <v>304.60992308960545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8.3735854598424471</v>
      </c>
      <c r="BR20" s="21">
        <f>EXP(-LN(2)/2)*BR19+(1-EXP(-LN(2)/2))/(LN(2)/2)*BL20*BO20*VLOOKUP('Données projet'!$B$11,Paramètres!$A$1:$I$89,3,0)*0.475*44/12</f>
        <v>8.426978544029982</v>
      </c>
      <c r="BS20" s="22">
        <f t="shared" si="9"/>
        <v>16.800564003872431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7.2264102564102561</v>
      </c>
      <c r="N21" s="13">
        <f>IF('Données projet'!$A$36&gt;35,N20+M21-V20,IF(A21&lt;'Données projet'!$A$36,$K$205^A21,IF(A21='Données projet'!$A$36,'Données projet'!$B$36,N20+M21-V20)))</f>
        <v>25.213104335913162</v>
      </c>
      <c r="O21" s="13">
        <f>N21*VLOOKUP('Données projet'!$B$9,Paramètres!$A$1:$I$89,3,0)*VLOOKUP('Données projet'!$B$9,Paramètres!$A$1:$I$89,5,0)</f>
        <v>11.799732829207361</v>
      </c>
      <c r="P21" s="13">
        <f t="shared" si="33"/>
        <v>4.079982665155371</v>
      </c>
      <c r="Q21" s="20">
        <f t="shared" si="2"/>
        <v>27.657171152681755</v>
      </c>
      <c r="R21" s="59">
        <f t="shared" si="0"/>
        <v>320.99050448601508</v>
      </c>
      <c r="S21" s="59">
        <f ca="1">AVERAGE(OFFSET($R$3,0,0,'Données projet'!$E$9+1,1))-AVERAGE(OFFSET($H$3,0,0,'Données projet'!$E$9+1,1))</f>
        <v>158.58786357608489</v>
      </c>
      <c r="T21" s="59">
        <f t="shared" si="34"/>
        <v>163.20074068819849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4.3499999999999996</v>
      </c>
      <c r="AI21" s="13">
        <f>IF('Données projet'!$A$62&gt;35,AI20+AH21-AQ20,IF(A21&lt;'Données projet'!$A$62,$AF$205^A21,IF(A21='Données projet'!$A$62,'Données projet'!$B$62,AI20+AH21-AQ20)))</f>
        <v>55.663092037363775</v>
      </c>
      <c r="AJ21" s="13">
        <f>AI21*VLOOKUP('Données projet'!$B$10,Paramètres!$A$1:$I$89,3,0)*VLOOKUP('Données projet'!$B$10,Paramètres!$A$1:$I$89,5,0)</f>
        <v>33.286529038343545</v>
      </c>
      <c r="AK21" s="13">
        <f t="shared" si="35"/>
        <v>10.200665853974691</v>
      </c>
      <c r="AL21" s="20">
        <f t="shared" si="4"/>
        <v>75.740197770787589</v>
      </c>
      <c r="AM21" s="59">
        <f t="shared" si="5"/>
        <v>369.07353110412089</v>
      </c>
      <c r="AN21" s="59">
        <f ca="1">AVERAGE(OFFSET($AM$3,0,0,'Données projet'!$E$10+1,1))-AVERAGE(OFFSET($H$3,0,0,'Données projet'!$E$10+1,1))</f>
        <v>270.30888762640245</v>
      </c>
      <c r="AO21" s="59">
        <f t="shared" si="36"/>
        <v>202.23783851977691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18.463076923076926</v>
      </c>
      <c r="BD21" s="12">
        <f>IF('Données projet'!$A$88&gt;35,BD20+BC21-BL20,IF(A21&lt;'Données projet'!$A$88,$BA$205^A21,IF(A21='Données projet'!$A$88,'Données projet'!$B$88,BD20+BC21-BL20)))</f>
        <v>146.78153846153845</v>
      </c>
      <c r="BE21" s="13">
        <f>BD21*VLOOKUP('Données projet'!$B$11,Paramètres!$A$1:$I$89,3,0)*VLOOKUP('Données projet'!$B$11,Paramètres!$A$1:$I$89,5,0)</f>
        <v>87.775359999999992</v>
      </c>
      <c r="BF21" s="13">
        <f t="shared" si="37"/>
        <v>24.02791634919064</v>
      </c>
      <c r="BG21" s="20">
        <f t="shared" si="7"/>
        <v>194.72403964150703</v>
      </c>
      <c r="BH21" s="59">
        <f t="shared" si="8"/>
        <v>488.05737297484035</v>
      </c>
      <c r="BI21" s="59">
        <f ca="1">AVERAGE(OFFSET($BH$3,0,0,'Données projet'!$E$11+1,1))-AVERAGE(OFFSET($H$3,0,0,'Données projet'!$E$11+1,1))</f>
        <v>243.85350804244348</v>
      </c>
      <c r="BJ21" s="59">
        <f t="shared" si="38"/>
        <v>304.60992308960545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8.1446093250953346</v>
      </c>
      <c r="BR21" s="21">
        <f>EXP(-LN(2)/2)*BR20+(1-EXP(-LN(2)/2))/(LN(2)/2)*BL21*BO21*VLOOKUP('Données projet'!$B$11,Paramètres!$A$1:$I$89,3,0)*0.475*44/12</f>
        <v>5.9587736733971397</v>
      </c>
      <c r="BS21" s="22">
        <f t="shared" si="9"/>
        <v>14.103382998492474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7.2264102564102561</v>
      </c>
      <c r="N22" s="13">
        <f>IF('Données projet'!$A$36&gt;35,N21+M22-V21,IF(A22&lt;'Données projet'!$A$36,$K$205^A22,IF(A22='Données projet'!$A$36,'Données projet'!$B$36,N21+M22-V21)))</f>
        <v>30.164383244315122</v>
      </c>
      <c r="O22" s="13">
        <f>N22*VLOOKUP('Données projet'!$B$9,Paramètres!$A$1:$I$89,3,0)*VLOOKUP('Données projet'!$B$9,Paramètres!$A$1:$I$89,5,0)</f>
        <v>14.116931358339476</v>
      </c>
      <c r="P22" s="13">
        <f t="shared" si="33"/>
        <v>4.7803819359082427</v>
      </c>
      <c r="Q22" s="20">
        <f t="shared" si="2"/>
        <v>32.912820654148106</v>
      </c>
      <c r="R22" s="59">
        <f t="shared" si="0"/>
        <v>326.24615398748142</v>
      </c>
      <c r="S22" s="59">
        <f ca="1">AVERAGE(OFFSET($R$3,0,0,'Données projet'!$E$9+1,1))-AVERAGE(OFFSET($H$3,0,0,'Données projet'!$E$9+1,1))</f>
        <v>158.58786357608489</v>
      </c>
      <c r="T22" s="59">
        <f t="shared" si="34"/>
        <v>163.20074068819849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4.3499999999999996</v>
      </c>
      <c r="AI22" s="13">
        <f>IF('Données projet'!$A$62&gt;35,AI21+AH22-AQ21,IF(A22&lt;'Données projet'!$A$62,$AF$205^A22,IF(A22='Données projet'!$A$62,'Données projet'!$B$62,AI21+AH22-AQ21)))</f>
        <v>69.589431720992238</v>
      </c>
      <c r="AJ22" s="13">
        <f>AI22*VLOOKUP('Données projet'!$B$10,Paramètres!$A$1:$I$89,3,0)*VLOOKUP('Données projet'!$B$10,Paramètres!$A$1:$I$89,5,0)</f>
        <v>41.614480169153367</v>
      </c>
      <c r="AK22" s="13">
        <f t="shared" si="35"/>
        <v>12.425574628043913</v>
      </c>
      <c r="AL22" s="20">
        <f t="shared" si="4"/>
        <v>94.119762105118596</v>
      </c>
      <c r="AM22" s="59">
        <f t="shared" si="5"/>
        <v>387.4530954384519</v>
      </c>
      <c r="AN22" s="59">
        <f ca="1">AVERAGE(OFFSET($AM$3,0,0,'Données projet'!$E$10+1,1))-AVERAGE(OFFSET($H$3,0,0,'Données projet'!$E$10+1,1))</f>
        <v>270.30888762640245</v>
      </c>
      <c r="AO22" s="59">
        <f t="shared" si="36"/>
        <v>202.23783851977691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18.463076923076926</v>
      </c>
      <c r="BD22" s="12">
        <f>IF('Données projet'!$A$88&gt;35,BD21+BC22-BL21,IF(A22&lt;'Données projet'!$A$88,$BA$205^A22,IF(A22='Données projet'!$A$88,'Données projet'!$B$88,BD21+BC22-BL21)))</f>
        <v>165.24461538461537</v>
      </c>
      <c r="BE22" s="13">
        <f>BD22*VLOOKUP('Données projet'!$B$11,Paramètres!$A$1:$I$89,3,0)*VLOOKUP('Données projet'!$B$11,Paramètres!$A$1:$I$89,5,0)</f>
        <v>98.816280000000006</v>
      </c>
      <c r="BF22" s="13">
        <f t="shared" si="37"/>
        <v>26.679797439959771</v>
      </c>
      <c r="BG22" s="20">
        <f t="shared" si="7"/>
        <v>218.57233487459663</v>
      </c>
      <c r="BH22" s="59">
        <f t="shared" si="8"/>
        <v>511.90566820792992</v>
      </c>
      <c r="BI22" s="59">
        <f ca="1">AVERAGE(OFFSET($BH$3,0,0,'Données projet'!$E$11+1,1))-AVERAGE(OFFSET($H$3,0,0,'Données projet'!$E$11+1,1))</f>
        <v>243.85350804244348</v>
      </c>
      <c r="BJ22" s="59">
        <f t="shared" si="38"/>
        <v>304.60992308960545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7.9218945547942132</v>
      </c>
      <c r="BR22" s="21">
        <f>EXP(-LN(2)/2)*BR21+(1-EXP(-LN(2)/2))/(LN(2)/2)*BL22*BO22*VLOOKUP('Données projet'!$B$11,Paramètres!$A$1:$I$89,3,0)*0.475*44/12</f>
        <v>4.2134892720149919</v>
      </c>
      <c r="BS22" s="22">
        <f t="shared" si="9"/>
        <v>12.135383826809205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7.2264102564102561</v>
      </c>
      <c r="N23" s="13">
        <f>IF('Données projet'!$A$36&gt;35,N22+M23-V22,IF(A23&lt;'Données projet'!$A$36,$K$205^A23,IF(A23='Données projet'!$A$36,'Données projet'!$B$36,N22+M23-V22)))</f>
        <v>36.0879804560157</v>
      </c>
      <c r="O23" s="13">
        <f>N23*VLOOKUP('Données projet'!$B$9,Paramètres!$A$1:$I$89,3,0)*VLOOKUP('Données projet'!$B$9,Paramètres!$A$1:$I$89,5,0)</f>
        <v>16.889174853415348</v>
      </c>
      <c r="P23" s="13">
        <f t="shared" si="33"/>
        <v>5.6010168004690764</v>
      </c>
      <c r="Q23" s="20">
        <f t="shared" si="2"/>
        <v>39.170417130515368</v>
      </c>
      <c r="R23" s="59">
        <f t="shared" si="0"/>
        <v>332.50375046384869</v>
      </c>
      <c r="S23" s="59">
        <f ca="1">AVERAGE(OFFSET($R$3,0,0,'Données projet'!$E$9+1,1))-AVERAGE(OFFSET($H$3,0,0,'Données projet'!$E$9+1,1))</f>
        <v>158.58786357608489</v>
      </c>
      <c r="T23" s="59">
        <f t="shared" si="34"/>
        <v>163.20074068819849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87</v>
      </c>
      <c r="AG23" s="12">
        <f>VLOOKUP(A23,'Données projet'!$A$61:$I$81,9,0)</f>
        <v>4.3499999999999996</v>
      </c>
      <c r="AH23" s="12">
        <f t="array" ref="AH23">INDEX(AG:AG,MIN(IF(ISNUMBER(AG23:AG219),ROW(AG23:AG219),"")))</f>
        <v>4.3499999999999996</v>
      </c>
      <c r="AI23" s="13">
        <f>IF('Données projet'!$A$62&gt;35,AI22+AH23-AQ22,IF(A23&lt;'Données projet'!$A$62,$AF$205^A23,IF(A23='Données projet'!$A$62,'Données projet'!$B$62,AI22+AH23-AQ22)))</f>
        <v>87</v>
      </c>
      <c r="AJ23" s="13">
        <f>AI23*VLOOKUP('Données projet'!$B$10,Paramètres!$A$1:$I$89,3,0)*VLOOKUP('Données projet'!$B$10,Paramètres!$A$1:$I$89,5,0)</f>
        <v>52.026000000000003</v>
      </c>
      <c r="AK23" s="13">
        <f t="shared" si="35"/>
        <v>15.135767316300118</v>
      </c>
      <c r="AL23" s="20">
        <f t="shared" si="4"/>
        <v>116.97341140922269</v>
      </c>
      <c r="AM23" s="59">
        <f t="shared" si="5"/>
        <v>410.30674474255602</v>
      </c>
      <c r="AN23" s="59">
        <f ca="1">AVERAGE(OFFSET($AM$3,0,0,'Données projet'!$E$10+1,1))-AVERAGE(OFFSET($H$3,0,0,'Données projet'!$E$10+1,1))</f>
        <v>270.30888762640245</v>
      </c>
      <c r="AO23" s="59">
        <f t="shared" si="36"/>
        <v>202.23783851977691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0.22500000000000001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3.5557293460465722</v>
      </c>
      <c r="AW23" s="21">
        <f>EXP(-LN(2)/2)*AW22+(1-EXP(-LN(2)/2))/(LN(2)/2)*AQ23*AT23*VLOOKUP('Données projet'!$B$10,Paramètres!$A$1:$I$89,3,0)*0.475*44/12</f>
        <v>6.7707491392082657</v>
      </c>
      <c r="AX23" s="21">
        <f t="shared" si="6"/>
        <v>10.326478485254839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183.7076923076923</v>
      </c>
      <c r="BB23" s="12">
        <f>VLOOKUP(A23,'Données projet'!$A$87:$I$107,9,0)</f>
        <v>18.463076923076926</v>
      </c>
      <c r="BC23" s="12">
        <f t="array" ref="BC23">INDEX(BB:BB,MIN(IF(ISNUMBER(BB23:BB219),ROW(BB23:BB219),"")))</f>
        <v>18.463076923076926</v>
      </c>
      <c r="BD23" s="12">
        <f>IF('Données projet'!$A$88&gt;35,BD22+BC23-BL22,IF(A23&lt;'Données projet'!$A$88,$BA$205^A23,IF(A23='Données projet'!$A$88,'Données projet'!$B$88,BD22+BC23-BL22)))</f>
        <v>183.7076923076923</v>
      </c>
      <c r="BE23" s="13">
        <f>BD23*VLOOKUP('Données projet'!$B$11,Paramètres!$A$1:$I$89,3,0)*VLOOKUP('Données projet'!$B$11,Paramètres!$A$1:$I$89,5,0)</f>
        <v>109.85720000000001</v>
      </c>
      <c r="BF23" s="13">
        <f t="shared" si="37"/>
        <v>29.297337235526424</v>
      </c>
      <c r="BG23" s="20">
        <f t="shared" si="7"/>
        <v>242.36081901854183</v>
      </c>
      <c r="BH23" s="59">
        <f t="shared" si="8"/>
        <v>535.69415235187512</v>
      </c>
      <c r="BI23" s="59">
        <f ca="1">AVERAGE(OFFSET($BH$3,0,0,'Données projet'!$E$11+1,1))-AVERAGE(OFFSET($H$3,0,0,'Données projet'!$E$11+1,1))</f>
        <v>243.85350804244348</v>
      </c>
      <c r="BJ23" s="59">
        <f t="shared" si="38"/>
        <v>304.60992308960545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48.723076923076924</v>
      </c>
      <c r="BM23" s="16">
        <f>IF(ISNA(VLOOKUP(A23,'Données projet'!$A$87:$I$107,5,0)),0%,VLOOKUP(A23,'Données projet'!$A$87:$I$107,5,0)*VLOOKUP('Données projet'!$B$11,Paramètres!$A$1:$I$89,7,0))</f>
        <v>4.5000000000000005E-2</v>
      </c>
      <c r="BN23" s="16">
        <f>IF(ISNA(VLOOKUP(A23,'Données projet'!$A$87:$I$107,6,0)),0%,VLOOKUP(A23,'Données projet'!$A$87:$I$107,6,0)*VLOOKUP('Données projet'!$B$11,Paramètres!$A$1:$I$89,7,0))</f>
        <v>0.20250000000000001</v>
      </c>
      <c r="BO23" s="16">
        <f>IF(ISNA(VLOOKUP(A23,'Données projet'!$A$87:$I$107,7,0)),0%,VLOOKUP(A23,'Données projet'!$A$87:$I$107,7,0))</f>
        <v>0.45</v>
      </c>
      <c r="BP23" s="21">
        <f>EXP(-LN(2)/35)*BP22+(1-EXP(-LN(2)/35))/(LN(2)/35)*BL23*BM23*VLOOKUP('Données projet'!$B$11,Paramètres!$A$1:$I$89,3,0)*0.475*44/12</f>
        <v>1.7393090669760882</v>
      </c>
      <c r="BQ23" s="21">
        <f>EXP(-LN(2)/25)*BQ22+(1-EXP(-LN(2)/25))/(LN(2)/25)*Calculateur!BL23*Calculateur!BN23*VLOOKUP('Données projet'!$B$11,Paramètres!$A$1:$I$89,3,0)*0.475*44/12</f>
        <v>15.501343281627147</v>
      </c>
      <c r="BR23" s="21">
        <f>EXP(-LN(2)/2)*BR22+(1-EXP(-LN(2)/2))/(LN(2)/2)*BL23*BO23*VLOOKUP('Données projet'!$B$11,Paramètres!$A$1:$I$89,3,0)*0.475*44/12</f>
        <v>17.824514737841127</v>
      </c>
      <c r="BS23" s="22">
        <f t="shared" si="9"/>
        <v>35.065167086444362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7.2264102564102561</v>
      </c>
      <c r="N24" s="13">
        <f>IF('Données projet'!$A$36&gt;35,N23+M24-V23,IF(A24&lt;'Données projet'!$A$36,$K$205^A24,IF(A24='Données projet'!$A$36,'Données projet'!$B$36,N23+M24-V23)))</f>
        <v>43.17483711984115</v>
      </c>
      <c r="O24" s="13">
        <f>N24*VLOOKUP('Données projet'!$B$9,Paramètres!$A$1:$I$89,3,0)*VLOOKUP('Données projet'!$B$9,Paramètres!$A$1:$I$89,5,0)</f>
        <v>20.205823772085658</v>
      </c>
      <c r="P24" s="13">
        <f t="shared" si="33"/>
        <v>6.5625277686471071</v>
      </c>
      <c r="Q24" s="20">
        <f t="shared" si="2"/>
        <v>46.621545600109563</v>
      </c>
      <c r="R24" s="59">
        <f t="shared" si="0"/>
        <v>339.9548789334429</v>
      </c>
      <c r="S24" s="59">
        <f ca="1">AVERAGE(OFFSET($R$3,0,0,'Données projet'!$E$9+1,1))-AVERAGE(OFFSET($H$3,0,0,'Données projet'!$E$9+1,1))</f>
        <v>158.58786357608489</v>
      </c>
      <c r="T24" s="59">
        <f t="shared" si="34"/>
        <v>163.20074068819849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13.3</v>
      </c>
      <c r="AI24" s="13">
        <f>IF('Données projet'!$A$62&gt;35,AI23+AH24-AQ23,IF(A24&lt;'Données projet'!$A$62,$AF$205^A24,IF(A24='Données projet'!$A$62,'Données projet'!$B$62,AI23+AH24-AQ23)))</f>
        <v>80.3</v>
      </c>
      <c r="AJ24" s="13">
        <f>AI24*VLOOKUP('Données projet'!$B$10,Paramètres!$A$1:$I$89,3,0)*VLOOKUP('Données projet'!$B$10,Paramètres!$A$1:$I$89,5,0)</f>
        <v>48.019400000000005</v>
      </c>
      <c r="AK24" s="13">
        <f t="shared" si="35"/>
        <v>14.10106410189413</v>
      </c>
      <c r="AL24" s="20">
        <f t="shared" si="4"/>
        <v>108.1931416441323</v>
      </c>
      <c r="AM24" s="59">
        <f t="shared" si="5"/>
        <v>401.52647497746563</v>
      </c>
      <c r="AN24" s="59">
        <f ca="1">AVERAGE(OFFSET($AM$3,0,0,'Données projet'!$E$10+1,1))-AVERAGE(OFFSET($H$3,0,0,'Données projet'!$E$10+1,1))</f>
        <v>270.30888762640245</v>
      </c>
      <c r="AO24" s="59">
        <f t="shared" si="36"/>
        <v>202.23783851977691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3.4584977400912491</v>
      </c>
      <c r="AW24" s="21">
        <f>EXP(-LN(2)/2)*AW23+(1-EXP(-LN(2)/2))/(LN(2)/2)*AQ24*AT24*VLOOKUP('Données projet'!$B$10,Paramètres!$A$1:$I$89,3,0)*0.475*44/12</f>
        <v>4.7876426300471442</v>
      </c>
      <c r="AX24" s="21">
        <f t="shared" si="6"/>
        <v>8.2461403701383933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19.071794871794875</v>
      </c>
      <c r="BD24" s="12">
        <f>IF('Données projet'!$A$88&gt;35,BD23+BC24-BL23,IF(A24&lt;'Données projet'!$A$88,$BA$205^A24,IF(A24='Données projet'!$A$88,'Données projet'!$B$88,BD23+BC24-BL23)))</f>
        <v>154.05641025641026</v>
      </c>
      <c r="BE24" s="13">
        <f>BD24*VLOOKUP('Données projet'!$B$11,Paramètres!$A$1:$I$89,3,0)*VLOOKUP('Données projet'!$B$11,Paramètres!$A$1:$I$89,5,0)</f>
        <v>92.125733333333343</v>
      </c>
      <c r="BF24" s="13">
        <f t="shared" si="37"/>
        <v>25.077202059466597</v>
      </c>
      <c r="BG24" s="20">
        <f t="shared" si="7"/>
        <v>204.12844580912656</v>
      </c>
      <c r="BH24" s="59">
        <f t="shared" si="8"/>
        <v>497.46177914245987</v>
      </c>
      <c r="BI24" s="59">
        <f ca="1">AVERAGE(OFFSET($BH$3,0,0,'Données projet'!$E$11+1,1))-AVERAGE(OFFSET($H$3,0,0,'Données projet'!$E$11+1,1))</f>
        <v>243.85350804244348</v>
      </c>
      <c r="BJ24" s="59">
        <f t="shared" si="38"/>
        <v>304.60992308960545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1.7052022770464654</v>
      </c>
      <c r="BQ24" s="21">
        <f>EXP(-LN(2)/25)*BQ23+(1-EXP(-LN(2)/25))/(LN(2)/25)*Calculateur!BL24*Calculateur!BN24*VLOOKUP('Données projet'!$B$11,Paramètres!$A$1:$I$89,3,0)*0.475*44/12</f>
        <v>15.077458234410837</v>
      </c>
      <c r="BR24" s="21">
        <f>EXP(-LN(2)/2)*BR23+(1-EXP(-LN(2)/2))/(LN(2)/2)*BL24*BO24*VLOOKUP('Données projet'!$B$11,Paramètres!$A$1:$I$89,3,0)*0.475*44/12</f>
        <v>12.603835242487019</v>
      </c>
      <c r="BS24" s="22">
        <f t="shared" si="9"/>
        <v>29.38649575394432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7.2264102564102561</v>
      </c>
      <c r="N25" s="13">
        <f>IF('Données projet'!$A$36&gt;35,N24+M25-V24,IF(A25&lt;'Données projet'!$A$36,$K$205^A25,IF(A25='Données projet'!$A$36,'Données projet'!$B$36,N24+M25-V24)))</f>
        <v>51.653390873361616</v>
      </c>
      <c r="O25" s="13">
        <f>N25*VLOOKUP('Données projet'!$B$9,Paramètres!$A$1:$I$89,3,0)*VLOOKUP('Données projet'!$B$9,Paramètres!$A$1:$I$89,5,0)</f>
        <v>24.173786928733236</v>
      </c>
      <c r="P25" s="13">
        <f t="shared" si="33"/>
        <v>7.6890986491341353</v>
      </c>
      <c r="Q25" s="20">
        <f t="shared" si="2"/>
        <v>55.494525714785674</v>
      </c>
      <c r="R25" s="59">
        <f t="shared" si="0"/>
        <v>348.82785904811897</v>
      </c>
      <c r="S25" s="59">
        <f ca="1">AVERAGE(OFFSET($R$3,0,0,'Données projet'!$E$9+1,1))-AVERAGE(OFFSET($H$3,0,0,'Données projet'!$E$9+1,1))</f>
        <v>158.58786357608489</v>
      </c>
      <c r="T25" s="59">
        <f t="shared" si="34"/>
        <v>163.20074068819849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13.3</v>
      </c>
      <c r="AI25" s="13">
        <f>IF('Données projet'!$A$62&gt;35,AI24+AH25-AQ24,IF(A25&lt;'Données projet'!$A$62,$AF$205^A25,IF(A25='Données projet'!$A$62,'Données projet'!$B$62,AI24+AH25-AQ24)))</f>
        <v>93.6</v>
      </c>
      <c r="AJ25" s="13">
        <f>AI25*VLOOKUP('Données projet'!$B$10,Paramètres!$A$1:$I$89,3,0)*VLOOKUP('Données projet'!$B$10,Paramètres!$A$1:$I$89,5,0)</f>
        <v>55.972799999999999</v>
      </c>
      <c r="AK25" s="13">
        <f t="shared" si="35"/>
        <v>16.145985978099571</v>
      </c>
      <c r="AL25" s="20">
        <f t="shared" si="4"/>
        <v>125.6068855785234</v>
      </c>
      <c r="AM25" s="59">
        <f t="shared" si="5"/>
        <v>418.94021891185673</v>
      </c>
      <c r="AN25" s="59">
        <f ca="1">AVERAGE(OFFSET($AM$3,0,0,'Données projet'!$E$10+1,1))-AVERAGE(OFFSET($H$3,0,0,'Données projet'!$E$10+1,1))</f>
        <v>270.30888762640245</v>
      </c>
      <c r="AO25" s="59">
        <f t="shared" si="36"/>
        <v>202.23783851977691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3.3639249375139624</v>
      </c>
      <c r="AW25" s="21">
        <f>EXP(-LN(2)/2)*AW24+(1-EXP(-LN(2)/2))/(LN(2)/2)*AQ25*AT25*VLOOKUP('Données projet'!$B$10,Paramètres!$A$1:$I$89,3,0)*0.475*44/12</f>
        <v>3.3853745696041333</v>
      </c>
      <c r="AX25" s="21">
        <f t="shared" si="6"/>
        <v>6.7492995071180957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19.071794871794875</v>
      </c>
      <c r="BD25" s="12">
        <f>IF('Données projet'!$A$88&gt;35,BD24+BC25-BL24,IF(A25&lt;'Données projet'!$A$88,$BA$205^A25,IF(A25='Données projet'!$A$88,'Données projet'!$B$88,BD24+BC25-BL24)))</f>
        <v>173.12820512820514</v>
      </c>
      <c r="BE25" s="13">
        <f>BD25*VLOOKUP('Données projet'!$B$11,Paramètres!$A$1:$I$89,3,0)*VLOOKUP('Données projet'!$B$11,Paramètres!$A$1:$I$89,5,0)</f>
        <v>103.53066666666668</v>
      </c>
      <c r="BF25" s="13">
        <f t="shared" si="37"/>
        <v>27.80142408921413</v>
      </c>
      <c r="BG25" s="20">
        <f t="shared" si="7"/>
        <v>228.73672473315909</v>
      </c>
      <c r="BH25" s="59">
        <f t="shared" si="8"/>
        <v>522.07005806649238</v>
      </c>
      <c r="BI25" s="59">
        <f ca="1">AVERAGE(OFFSET($BH$3,0,0,'Données projet'!$E$11+1,1))-AVERAGE(OFFSET($H$3,0,0,'Données projet'!$E$11+1,1))</f>
        <v>243.85350804244348</v>
      </c>
      <c r="BJ25" s="59">
        <f t="shared" si="38"/>
        <v>304.60992308960545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1.6717643004642748</v>
      </c>
      <c r="BQ25" s="21">
        <f>EXP(-LN(2)/25)*BQ24+(1-EXP(-LN(2)/25))/(LN(2)/25)*Calculateur!BL25*Calculateur!BN25*VLOOKUP('Données projet'!$B$11,Paramètres!$A$1:$I$89,3,0)*0.475*44/12</f>
        <v>14.665164346101804</v>
      </c>
      <c r="BR25" s="21">
        <f>EXP(-LN(2)/2)*BR24+(1-EXP(-LN(2)/2))/(LN(2)/2)*BL25*BO25*VLOOKUP('Données projet'!$B$11,Paramètres!$A$1:$I$89,3,0)*0.475*44/12</f>
        <v>8.9122573689205655</v>
      </c>
      <c r="BS25" s="22">
        <f t="shared" si="9"/>
        <v>25.249186015486643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7.2264102564102561</v>
      </c>
      <c r="N26" s="13">
        <f>IF('Données projet'!$A$36&gt;35,N25+M26-V25,IF(A26&lt;'Données projet'!$A$36,$K$205^A26,IF(A26='Données projet'!$A$36,'Données projet'!$B$36,N25+M26-V25)))</f>
        <v>61.796939298472864</v>
      </c>
      <c r="O26" s="13">
        <f>N26*VLOOKUP('Données projet'!$B$9,Paramètres!$A$1:$I$89,3,0)*VLOOKUP('Données projet'!$B$9,Paramètres!$A$1:$I$89,5,0)</f>
        <v>28.920967591685301</v>
      </c>
      <c r="P26" s="13">
        <f t="shared" si="33"/>
        <v>9.0090648177637647</v>
      </c>
      <c r="Q26" s="20">
        <f t="shared" si="2"/>
        <v>66.061473113123796</v>
      </c>
      <c r="R26" s="59">
        <f t="shared" si="0"/>
        <v>359.3948064464571</v>
      </c>
      <c r="S26" s="59">
        <f ca="1">AVERAGE(OFFSET($R$3,0,0,'Données projet'!$E$9+1,1))-AVERAGE(OFFSET($H$3,0,0,'Données projet'!$E$9+1,1))</f>
        <v>158.58786357608489</v>
      </c>
      <c r="T26" s="59">
        <f t="shared" si="34"/>
        <v>163.20074068819849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13.3</v>
      </c>
      <c r="AI26" s="13">
        <f>IF('Données projet'!$A$62&gt;35,AI25+AH26-AQ25,IF(A26&lt;'Données projet'!$A$62,$AF$205^A26,IF(A26='Données projet'!$A$62,'Données projet'!$B$62,AI25+AH26-AQ25)))</f>
        <v>106.89999999999999</v>
      </c>
      <c r="AJ26" s="13">
        <f>AI26*VLOOKUP('Données projet'!$B$10,Paramètres!$A$1:$I$89,3,0)*VLOOKUP('Données projet'!$B$10,Paramètres!$A$1:$I$89,5,0)</f>
        <v>63.926200000000001</v>
      </c>
      <c r="AK26" s="13">
        <f t="shared" si="35"/>
        <v>18.157244068140116</v>
      </c>
      <c r="AL26" s="20">
        <f t="shared" si="4"/>
        <v>142.96199841867738</v>
      </c>
      <c r="AM26" s="59">
        <f t="shared" si="5"/>
        <v>436.29533175201072</v>
      </c>
      <c r="AN26" s="59">
        <f ca="1">AVERAGE(OFFSET($AM$3,0,0,'Données projet'!$E$10+1,1))-AVERAGE(OFFSET($H$3,0,0,'Données projet'!$E$10+1,1))</f>
        <v>270.30888762640245</v>
      </c>
      <c r="AO26" s="59">
        <f t="shared" si="36"/>
        <v>202.23783851977691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3.271938233196519</v>
      </c>
      <c r="AW26" s="21">
        <f>EXP(-LN(2)/2)*AW25+(1-EXP(-LN(2)/2))/(LN(2)/2)*AQ26*AT26*VLOOKUP('Données projet'!$B$10,Paramètres!$A$1:$I$89,3,0)*0.475*44/12</f>
        <v>2.3938213150235725</v>
      </c>
      <c r="AX26" s="21">
        <f t="shared" si="6"/>
        <v>5.6657595482200911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19.071794871794875</v>
      </c>
      <c r="BD26" s="12">
        <f>IF('Données projet'!$A$88&gt;35,BD25+BC26-BL25,IF(A26&lt;'Données projet'!$A$88,$BA$205^A26,IF(A26='Données projet'!$A$88,'Données projet'!$B$88,BD25+BC26-BL25)))</f>
        <v>192.20000000000002</v>
      </c>
      <c r="BE26" s="13">
        <f>BD26*VLOOKUP('Données projet'!$B$11,Paramètres!$A$1:$I$89,3,0)*VLOOKUP('Données projet'!$B$11,Paramètres!$A$1:$I$89,5,0)</f>
        <v>114.93560000000001</v>
      </c>
      <c r="BF26" s="13">
        <f t="shared" si="37"/>
        <v>30.49086327624272</v>
      </c>
      <c r="BG26" s="20">
        <f t="shared" si="7"/>
        <v>253.28442353945601</v>
      </c>
      <c r="BH26" s="59">
        <f t="shared" si="8"/>
        <v>546.6177568727893</v>
      </c>
      <c r="BI26" s="59">
        <f ca="1">AVERAGE(OFFSET($BH$3,0,0,'Données projet'!$E$11+1,1))-AVERAGE(OFFSET($H$3,0,0,'Données projet'!$E$11+1,1))</f>
        <v>243.85350804244348</v>
      </c>
      <c r="BJ26" s="59">
        <f t="shared" si="38"/>
        <v>304.60992308960545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1.6389820222077092</v>
      </c>
      <c r="BQ26" s="21">
        <f>EXP(-LN(2)/25)*BQ25+(1-EXP(-LN(2)/25))/(LN(2)/25)*Calculateur!BL26*Calculateur!BN26*VLOOKUP('Données projet'!$B$11,Paramètres!$A$1:$I$89,3,0)*0.475*44/12</f>
        <v>14.264144655850174</v>
      </c>
      <c r="BR26" s="21">
        <f>EXP(-LN(2)/2)*BR25+(1-EXP(-LN(2)/2))/(LN(2)/2)*BL26*BO26*VLOOKUP('Données projet'!$B$11,Paramètres!$A$1:$I$89,3,0)*0.475*44/12</f>
        <v>6.3019176212435104</v>
      </c>
      <c r="BS26" s="22">
        <f t="shared" si="9"/>
        <v>22.205044299301395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7.2264102564102561</v>
      </c>
      <c r="N27" s="13">
        <f>IF('Données projet'!$A$36&gt;35,N26+M27-V26,IF(A27&lt;'Données projet'!$A$36,$K$205^A27,IF(A27='Données projet'!$A$36,'Données projet'!$B$36,N26+M27-V26)))</f>
        <v>73.932449391789717</v>
      </c>
      <c r="O27" s="13">
        <f>N27*VLOOKUP('Données projet'!$B$9,Paramètres!$A$1:$I$89,3,0)*VLOOKUP('Données projet'!$B$9,Paramètres!$A$1:$I$89,5,0)</f>
        <v>34.600386315357589</v>
      </c>
      <c r="P27" s="13">
        <f t="shared" si="33"/>
        <v>10.555625905490055</v>
      </c>
      <c r="Q27" s="20">
        <f t="shared" si="2"/>
        <v>78.646721284642979</v>
      </c>
      <c r="R27" s="59">
        <f t="shared" si="0"/>
        <v>371.98005461797629</v>
      </c>
      <c r="S27" s="59">
        <f ca="1">AVERAGE(OFFSET($R$3,0,0,'Données projet'!$E$9+1,1))-AVERAGE(OFFSET($H$3,0,0,'Données projet'!$E$9+1,1))</f>
        <v>158.58786357608489</v>
      </c>
      <c r="T27" s="59">
        <f t="shared" si="34"/>
        <v>163.20074068819849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13.3</v>
      </c>
      <c r="AI27" s="13">
        <f>IF('Données projet'!$A$62&gt;35,AI26+AH27-AQ26,IF(A27&lt;'Données projet'!$A$62,$AF$205^A27,IF(A27='Données projet'!$A$62,'Données projet'!$B$62,AI26+AH27-AQ26)))</f>
        <v>120.19999999999999</v>
      </c>
      <c r="AJ27" s="13">
        <f>AI27*VLOOKUP('Données projet'!$B$10,Paramètres!$A$1:$I$89,3,0)*VLOOKUP('Données projet'!$B$10,Paramètres!$A$1:$I$89,5,0)</f>
        <v>71.879599999999996</v>
      </c>
      <c r="AK27" s="13">
        <f t="shared" si="35"/>
        <v>20.139506236095318</v>
      </c>
      <c r="AL27" s="20">
        <f t="shared" si="4"/>
        <v>160.26661002786599</v>
      </c>
      <c r="AM27" s="59">
        <f t="shared" si="5"/>
        <v>453.59994336119928</v>
      </c>
      <c r="AN27" s="59">
        <f ca="1">AVERAGE(OFFSET($AM$3,0,0,'Données projet'!$E$10+1,1))-AVERAGE(OFFSET($H$3,0,0,'Données projet'!$E$10+1,1))</f>
        <v>270.30888762640245</v>
      </c>
      <c r="AO27" s="59">
        <f t="shared" si="36"/>
        <v>202.23783851977691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3.1824669101460068</v>
      </c>
      <c r="AW27" s="21">
        <f>EXP(-LN(2)/2)*AW26+(1-EXP(-LN(2)/2))/(LN(2)/2)*AQ27*AT27*VLOOKUP('Données projet'!$B$10,Paramètres!$A$1:$I$89,3,0)*0.475*44/12</f>
        <v>1.6926872848020669</v>
      </c>
      <c r="AX27" s="21">
        <f t="shared" si="6"/>
        <v>4.8751541949480739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19.071794871794875</v>
      </c>
      <c r="BD27" s="12">
        <f>IF('Données projet'!$A$88&gt;35,BD26+BC27-BL26,IF(A27&lt;'Données projet'!$A$88,$BA$205^A27,IF(A27='Données projet'!$A$88,'Données projet'!$B$88,BD26+BC27-BL26)))</f>
        <v>211.2717948717949</v>
      </c>
      <c r="BE27" s="13">
        <f>BD27*VLOOKUP('Données projet'!$B$11,Paramètres!$A$1:$I$89,3,0)*VLOOKUP('Données projet'!$B$11,Paramètres!$A$1:$I$89,5,0)</f>
        <v>126.34053333333337</v>
      </c>
      <c r="BF27" s="13">
        <f t="shared" si="37"/>
        <v>33.149363946532553</v>
      </c>
      <c r="BG27" s="20">
        <f t="shared" si="7"/>
        <v>277.77823776243309</v>
      </c>
      <c r="BH27" s="59">
        <f t="shared" si="8"/>
        <v>571.11157109576641</v>
      </c>
      <c r="BI27" s="59">
        <f ca="1">AVERAGE(OFFSET($BH$3,0,0,'Données projet'!$E$11+1,1))-AVERAGE(OFFSET($H$3,0,0,'Données projet'!$E$11+1,1))</f>
        <v>243.85350804244348</v>
      </c>
      <c r="BJ27" s="59">
        <f t="shared" si="38"/>
        <v>304.60992308960545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1.6068425844325394</v>
      </c>
      <c r="BQ27" s="21">
        <f>EXP(-LN(2)/25)*BQ26+(1-EXP(-LN(2)/25))/(LN(2)/25)*Calculateur!BL27*Calculateur!BN27*VLOOKUP('Données projet'!$B$11,Paramètres!$A$1:$I$89,3,0)*0.475*44/12</f>
        <v>13.874090870117184</v>
      </c>
      <c r="BR27" s="21">
        <f>EXP(-LN(2)/2)*BR26+(1-EXP(-LN(2)/2))/(LN(2)/2)*BL27*BO27*VLOOKUP('Données projet'!$B$11,Paramètres!$A$1:$I$89,3,0)*0.475*44/12</f>
        <v>4.4561286844602837</v>
      </c>
      <c r="BS27" s="22">
        <f t="shared" si="9"/>
        <v>19.93706213901001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7.2264102564102561</v>
      </c>
      <c r="N28" s="13">
        <f>IF('Données projet'!$A$36&gt;35,N27+M28-V27,IF(A28&lt;'Données projet'!$A$36,$K$205^A28,IF(A28='Données projet'!$A$36,'Données projet'!$B$36,N27+M28-V27)))</f>
        <v>88.451097014195071</v>
      </c>
      <c r="O28" s="13">
        <f>N28*VLOOKUP('Données projet'!$B$9,Paramètres!$A$1:$I$89,3,0)*VLOOKUP('Données projet'!$B$9,Paramètres!$A$1:$I$89,5,0)</f>
        <v>41.39511340264329</v>
      </c>
      <c r="P28" s="13">
        <f t="shared" si="33"/>
        <v>12.367680831528276</v>
      </c>
      <c r="Q28" s="20">
        <f t="shared" si="2"/>
        <v>93.636866624515463</v>
      </c>
      <c r="R28" s="59">
        <f t="shared" si="0"/>
        <v>386.97019995784876</v>
      </c>
      <c r="S28" s="59">
        <f ca="1">AVERAGE(OFFSET($R$3,0,0,'Données projet'!$E$9+1,1))-AVERAGE(OFFSET($H$3,0,0,'Données projet'!$E$9+1,1))</f>
        <v>158.58786357608489</v>
      </c>
      <c r="T28" s="59">
        <f t="shared" si="34"/>
        <v>163.20074068819849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13.3</v>
      </c>
      <c r="AI28" s="13">
        <f>IF('Données projet'!$A$62&gt;35,AI27+AH28-AQ27,IF(A28&lt;'Données projet'!$A$62,$AF$205^A28,IF(A28='Données projet'!$A$62,'Données projet'!$B$62,AI27+AH28-AQ27)))</f>
        <v>133.5</v>
      </c>
      <c r="AJ28" s="13">
        <f>AI28*VLOOKUP('Données projet'!$B$10,Paramètres!$A$1:$I$89,3,0)*VLOOKUP('Données projet'!$B$10,Paramètres!$A$1:$I$89,5,0)</f>
        <v>79.833000000000013</v>
      </c>
      <c r="AK28" s="13">
        <f t="shared" si="35"/>
        <v>22.096346795793803</v>
      </c>
      <c r="AL28" s="20">
        <f t="shared" si="4"/>
        <v>177.52694566934088</v>
      </c>
      <c r="AM28" s="59">
        <f t="shared" si="5"/>
        <v>470.86027900267419</v>
      </c>
      <c r="AN28" s="59">
        <f ca="1">AVERAGE(OFFSET($AM$3,0,0,'Données projet'!$E$10+1,1))-AVERAGE(OFFSET($H$3,0,0,'Données projet'!$E$10+1,1))</f>
        <v>270.30888762640245</v>
      </c>
      <c r="AO28" s="59">
        <f t="shared" si="36"/>
        <v>202.23783851977691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3.0954421851294032</v>
      </c>
      <c r="AW28" s="21">
        <f>EXP(-LN(2)/2)*AW27+(1-EXP(-LN(2)/2))/(LN(2)/2)*AQ28*AT28*VLOOKUP('Données projet'!$B$10,Paramètres!$A$1:$I$89,3,0)*0.475*44/12</f>
        <v>1.1969106575117865</v>
      </c>
      <c r="AX28" s="21">
        <f t="shared" si="6"/>
        <v>4.2923528426411899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19.071794871794875</v>
      </c>
      <c r="BD28" s="12">
        <f>IF('Données projet'!$A$88&gt;35,BD27+BC28-BL27,IF(A28&lt;'Données projet'!$A$88,$BA$205^A28,IF(A28='Données projet'!$A$88,'Données projet'!$B$88,BD27+BC28-BL27)))</f>
        <v>230.34358974358977</v>
      </c>
      <c r="BE28" s="13">
        <f>BD28*VLOOKUP('Données projet'!$B$11,Paramètres!$A$1:$I$89,3,0)*VLOOKUP('Données projet'!$B$11,Paramètres!$A$1:$I$89,5,0)</f>
        <v>137.74546666666669</v>
      </c>
      <c r="BF28" s="13">
        <f t="shared" si="37"/>
        <v>35.780036573255778</v>
      </c>
      <c r="BG28" s="20">
        <f t="shared" si="7"/>
        <v>302.22358480953159</v>
      </c>
      <c r="BH28" s="59">
        <f t="shared" si="8"/>
        <v>595.5569181428649</v>
      </c>
      <c r="BI28" s="59">
        <f ca="1">AVERAGE(OFFSET($BH$3,0,0,'Données projet'!$E$11+1,1))-AVERAGE(OFFSET($H$3,0,0,'Données projet'!$E$11+1,1))</f>
        <v>243.85350804244348</v>
      </c>
      <c r="BJ28" s="59">
        <f t="shared" si="38"/>
        <v>304.60992308960545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1.5753333814290191</v>
      </c>
      <c r="BQ28" s="21">
        <f>EXP(-LN(2)/25)*BQ27+(1-EXP(-LN(2)/25))/(LN(2)/25)*Calculateur!BL28*Calculateur!BN28*VLOOKUP('Données projet'!$B$11,Paramètres!$A$1:$I$89,3,0)*0.475*44/12</f>
        <v>13.494703125667101</v>
      </c>
      <c r="BR28" s="21">
        <f>EXP(-LN(2)/2)*BR27+(1-EXP(-LN(2)/2))/(LN(2)/2)*BL28*BO28*VLOOKUP('Données projet'!$B$11,Paramètres!$A$1:$I$89,3,0)*0.475*44/12</f>
        <v>3.1509588106217561</v>
      </c>
      <c r="BS28" s="22">
        <f t="shared" si="9"/>
        <v>18.220995317717875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7.2264102564102561</v>
      </c>
      <c r="N29" s="13">
        <f>IF('Données projet'!$A$36&gt;35,N28+M29-V28,IF(A29&lt;'Données projet'!$A$36,$K$205^A29,IF(A29='Données projet'!$A$36,'Données projet'!$B$36,N28+M29-V28)))</f>
        <v>105.82087604801265</v>
      </c>
      <c r="O29" s="13">
        <f>N29*VLOOKUP('Données projet'!$B$9,Paramètres!$A$1:$I$89,3,0)*VLOOKUP('Données projet'!$B$9,Paramètres!$A$1:$I$89,5,0)</f>
        <v>49.524169990469915</v>
      </c>
      <c r="P29" s="13">
        <f t="shared" si="33"/>
        <v>14.490806184311312</v>
      </c>
      <c r="Q29" s="20">
        <f t="shared" si="2"/>
        <v>111.4927501710773</v>
      </c>
      <c r="R29" s="59">
        <f t="shared" si="0"/>
        <v>404.82608350441063</v>
      </c>
      <c r="S29" s="59">
        <f ca="1">AVERAGE(OFFSET($R$3,0,0,'Données projet'!$E$9+1,1))-AVERAGE(OFFSET($H$3,0,0,'Données projet'!$E$9+1,1))</f>
        <v>158.58786357608489</v>
      </c>
      <c r="T29" s="59">
        <f t="shared" si="34"/>
        <v>163.20074068819849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13.3</v>
      </c>
      <c r="AI29" s="13">
        <f>IF('Données projet'!$A$62&gt;35,AI28+AH29-AQ28,IF(A29&lt;'Données projet'!$A$62,$AF$205^A29,IF(A29='Données projet'!$A$62,'Données projet'!$B$62,AI28+AH29-AQ28)))</f>
        <v>146.80000000000001</v>
      </c>
      <c r="AJ29" s="13">
        <f>AI29*VLOOKUP('Données projet'!$B$10,Paramètres!$A$1:$I$89,3,0)*VLOOKUP('Données projet'!$B$10,Paramètres!$A$1:$I$89,5,0)</f>
        <v>87.786400000000015</v>
      </c>
      <c r="AK29" s="13">
        <f t="shared" si="35"/>
        <v>24.030586680166543</v>
      </c>
      <c r="AL29" s="20">
        <f t="shared" si="4"/>
        <v>194.74791846795674</v>
      </c>
      <c r="AM29" s="59">
        <f t="shared" si="5"/>
        <v>488.08125180129002</v>
      </c>
      <c r="AN29" s="59">
        <f ca="1">AVERAGE(OFFSET($AM$3,0,0,'Données projet'!$E$10+1,1))-AVERAGE(OFFSET($H$3,0,0,'Données projet'!$E$10+1,1))</f>
        <v>270.30888762640245</v>
      </c>
      <c r="AO29" s="59">
        <f t="shared" si="36"/>
        <v>202.23783851977691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3.0107971557948097</v>
      </c>
      <c r="AW29" s="21">
        <f>EXP(-LN(2)/2)*AW28+(1-EXP(-LN(2)/2))/(LN(2)/2)*AQ29*AT29*VLOOKUP('Données projet'!$B$10,Paramètres!$A$1:$I$89,3,0)*0.475*44/12</f>
        <v>0.84634364240103355</v>
      </c>
      <c r="AX29" s="21">
        <f t="shared" si="6"/>
        <v>3.857140798195843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>
        <f>VLOOKUP(A29,'Données projet'!$A$87:$I$107,2,0)</f>
        <v>249.41538461538462</v>
      </c>
      <c r="BB29" s="12">
        <f>VLOOKUP(A29,'Données projet'!$A$87:$I$107,9,0)</f>
        <v>19.071794871794875</v>
      </c>
      <c r="BC29" s="12">
        <f t="array" ref="BC29">INDEX(BB:BB,MIN(IF(ISNUMBER(BB29:BB225),ROW(BB29:BB225),"")))</f>
        <v>19.071794871794875</v>
      </c>
      <c r="BD29" s="12">
        <f>IF('Données projet'!$A$88&gt;35,BD28+BC29-BL28,IF(A29&lt;'Données projet'!$A$88,$BA$205^A29,IF(A29='Données projet'!$A$88,'Données projet'!$B$88,BD28+BC29-BL28)))</f>
        <v>249.41538461538465</v>
      </c>
      <c r="BE29" s="13">
        <f>BD29*VLOOKUP('Données projet'!$B$11,Paramètres!$A$1:$I$89,3,0)*VLOOKUP('Données projet'!$B$11,Paramètres!$A$1:$I$89,5,0)</f>
        <v>149.15040000000002</v>
      </c>
      <c r="BF29" s="13">
        <f t="shared" si="37"/>
        <v>38.385447191571515</v>
      </c>
      <c r="BG29" s="20">
        <f t="shared" si="7"/>
        <v>326.62493385865372</v>
      </c>
      <c r="BH29" s="59">
        <f t="shared" si="8"/>
        <v>619.95826719198703</v>
      </c>
      <c r="BI29" s="59">
        <f ca="1">AVERAGE(OFFSET($BH$3,0,0,'Données projet'!$E$11+1,1))-AVERAGE(OFFSET($H$3,0,0,'Données projet'!$E$11+1,1))</f>
        <v>243.85350804244348</v>
      </c>
      <c r="BJ29" s="59">
        <f t="shared" si="38"/>
        <v>304.60992308960545</v>
      </c>
      <c r="BK29" s="15">
        <f>IF(ISNA(VLOOKUP(A29,'Données projet'!$A$87:$I$107,3,0)),0,VLOOKUP(A29,'Données projet'!$A$87:$I$107,3,0))</f>
        <v>3</v>
      </c>
      <c r="BL29" s="15">
        <f>IF(ISNA(VLOOKUP(A29,'Données projet'!$A$87:$I$107,4,0)),0,VLOOKUP(A29,'Données projet'!$A$87:$I$107,4,0))</f>
        <v>46.984615384615381</v>
      </c>
      <c r="BM29" s="16">
        <f>IF(ISNA(VLOOKUP(A29,'Données projet'!$A$87:$I$107,5,0)),0%,VLOOKUP(A29,'Données projet'!$A$87:$I$107,5,0)*VLOOKUP('Données projet'!$B$11,Paramètres!$A$1:$I$89,7,0))</f>
        <v>9.0000000000000011E-2</v>
      </c>
      <c r="BN29" s="16">
        <f>IF(ISNA(VLOOKUP(A29,'Données projet'!$A$87:$I$107,6,0)),0%,VLOOKUP(A29,'Données projet'!$A$87:$I$107,6,0)*VLOOKUP('Données projet'!$B$11,Paramètres!$A$1:$I$89,7,0))</f>
        <v>0.18000000000000002</v>
      </c>
      <c r="BO29" s="16">
        <f>IF(ISNA(VLOOKUP(A29,'Données projet'!$A$87:$I$107,7,0)),0%,VLOOKUP(A29,'Données projet'!$A$87:$I$107,7,0))</f>
        <v>0.4</v>
      </c>
      <c r="BP29" s="21">
        <f>EXP(-LN(2)/35)*BP28+(1-EXP(-LN(2)/35))/(LN(2)/35)*BL29*BM29*VLOOKUP('Données projet'!$B$11,Paramètres!$A$1:$I$89,3,0)*0.475*44/12</f>
        <v>4.8989415119211124</v>
      </c>
      <c r="BQ29" s="21">
        <f>EXP(-LN(2)/25)*BQ28+(1-EXP(-LN(2)/25))/(LN(2)/25)*Calculateur!BL29*Calculateur!BN29*VLOOKUP('Données projet'!$B$11,Paramètres!$A$1:$I$89,3,0)*0.475*44/12</f>
        <v>19.808272788471665</v>
      </c>
      <c r="BR29" s="21">
        <f>EXP(-LN(2)/2)*BR28+(1-EXP(-LN(2)/2))/(LN(2)/2)*BL29*BO29*VLOOKUP('Données projet'!$B$11,Paramètres!$A$1:$I$89,3,0)*0.475*44/12</f>
        <v>14.952906109086786</v>
      </c>
      <c r="BS29" s="22">
        <f t="shared" si="9"/>
        <v>39.660120409479561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7.2264102564102561</v>
      </c>
      <c r="N30" s="13">
        <f>IF('Données projet'!$A$36&gt;35,N29+M30-V29,IF(A30&lt;'Données projet'!$A$36,$K$205^A30,IF(A30='Données projet'!$A$36,'Données projet'!$B$36,N29+M30-V29)))</f>
        <v>126.60168370519743</v>
      </c>
      <c r="O30" s="13">
        <f>N30*VLOOKUP('Données projet'!$B$9,Paramètres!$A$1:$I$89,3,0)*VLOOKUP('Données projet'!$B$9,Paramètres!$A$1:$I$89,5,0)</f>
        <v>59.249587974032401</v>
      </c>
      <c r="P30" s="13">
        <f t="shared" si="33"/>
        <v>16.97840255838226</v>
      </c>
      <c r="Q30" s="20">
        <f t="shared" si="2"/>
        <v>132.76375017728887</v>
      </c>
      <c r="R30" s="59">
        <f t="shared" si="0"/>
        <v>426.09708351062216</v>
      </c>
      <c r="S30" s="59">
        <f ca="1">AVERAGE(OFFSET($R$3,0,0,'Données projet'!$E$9+1,1))-AVERAGE(OFFSET($H$3,0,0,'Données projet'!$E$9+1,1))</f>
        <v>158.58786357608489</v>
      </c>
      <c r="T30" s="59">
        <f t="shared" si="34"/>
        <v>163.20074068819849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13.3</v>
      </c>
      <c r="AI30" s="13">
        <f>IF('Données projet'!$A$62&gt;35,AI29+AH30-AQ29,IF(A30&lt;'Données projet'!$A$62,$AF$205^A30,IF(A30='Données projet'!$A$62,'Données projet'!$B$62,AI29+AH30-AQ29)))</f>
        <v>160.10000000000002</v>
      </c>
      <c r="AJ30" s="13">
        <f>AI30*VLOOKUP('Données projet'!$B$10,Paramètres!$A$1:$I$89,3,0)*VLOOKUP('Données projet'!$B$10,Paramètres!$A$1:$I$89,5,0)</f>
        <v>95.739800000000017</v>
      </c>
      <c r="AK30" s="13">
        <f t="shared" si="35"/>
        <v>25.944506362071046</v>
      </c>
      <c r="AL30" s="20">
        <f t="shared" si="4"/>
        <v>211.93350024727374</v>
      </c>
      <c r="AM30" s="59">
        <f t="shared" si="5"/>
        <v>505.26683358060706</v>
      </c>
      <c r="AN30" s="59">
        <f ca="1">AVERAGE(OFFSET($AM$3,0,0,'Données projet'!$E$10+1,1))-AVERAGE(OFFSET($H$3,0,0,'Données projet'!$E$10+1,1))</f>
        <v>270.30888762640245</v>
      </c>
      <c r="AO30" s="59">
        <f t="shared" si="36"/>
        <v>202.23783851977691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2.9284667492386594</v>
      </c>
      <c r="AW30" s="21">
        <f>EXP(-LN(2)/2)*AW29+(1-EXP(-LN(2)/2))/(LN(2)/2)*AQ30*AT30*VLOOKUP('Données projet'!$B$10,Paramètres!$A$1:$I$89,3,0)*0.475*44/12</f>
        <v>0.59845532875589325</v>
      </c>
      <c r="AX30" s="21">
        <f t="shared" si="6"/>
        <v>3.5269220779945525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19.393589743589743</v>
      </c>
      <c r="BD30" s="12">
        <f>IF('Données projet'!$A$88&gt;35,BD29+BC30-BL29,IF(A30&lt;'Données projet'!$A$88,$BA$205^A30,IF(A30='Données projet'!$A$88,'Données projet'!$B$88,BD29+BC30-BL29)))</f>
        <v>221.82435897435903</v>
      </c>
      <c r="BE30" s="13">
        <f>BD30*VLOOKUP('Données projet'!$B$11,Paramètres!$A$1:$I$89,3,0)*VLOOKUP('Données projet'!$B$11,Paramètres!$A$1:$I$89,5,0)</f>
        <v>132.6509666666667</v>
      </c>
      <c r="BF30" s="13">
        <f t="shared" si="37"/>
        <v>34.608198355283058</v>
      </c>
      <c r="BG30" s="20">
        <f t="shared" si="7"/>
        <v>291.30971241322919</v>
      </c>
      <c r="BH30" s="59">
        <f t="shared" si="8"/>
        <v>584.64304574656251</v>
      </c>
      <c r="BI30" s="59">
        <f ca="1">AVERAGE(OFFSET($BH$3,0,0,'Données projet'!$E$11+1,1))-AVERAGE(OFFSET($H$3,0,0,'Données projet'!$E$11+1,1))</f>
        <v>243.85350804244348</v>
      </c>
      <c r="BJ30" s="59">
        <f t="shared" si="38"/>
        <v>304.60992308960545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4.802876256931615</v>
      </c>
      <c r="BQ30" s="21">
        <f>EXP(-LN(2)/25)*BQ29+(1-EXP(-LN(2)/25))/(LN(2)/25)*Calculateur!BL30*Calculateur!BN30*VLOOKUP('Données projet'!$B$11,Paramètres!$A$1:$I$89,3,0)*0.475*44/12</f>
        <v>19.266614527399113</v>
      </c>
      <c r="BR30" s="21">
        <f>EXP(-LN(2)/2)*BR29+(1-EXP(-LN(2)/2))/(LN(2)/2)*BL30*BO30*VLOOKUP('Données projet'!$B$11,Paramètres!$A$1:$I$89,3,0)*0.475*44/12</f>
        <v>10.573301308181021</v>
      </c>
      <c r="BS30" s="22">
        <f t="shared" si="9"/>
        <v>34.642792092511748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7.2264102564102561</v>
      </c>
      <c r="N31" s="13">
        <f>IF('Données projet'!$A$36&gt;35,N30+M31-V30,IF(A31&lt;'Données projet'!$A$36,$K$205^A31,IF(A31='Données projet'!$A$36,'Données projet'!$B$36,N30+M31-V30)))</f>
        <v>151.46336824615491</v>
      </c>
      <c r="O31" s="13">
        <f>N31*VLOOKUP('Données projet'!$B$9,Paramètres!$A$1:$I$89,3,0)*VLOOKUP('Données projet'!$B$9,Paramètres!$A$1:$I$89,5,0)</f>
        <v>70.884856339200496</v>
      </c>
      <c r="P31" s="13">
        <f t="shared" si="33"/>
        <v>19.893037679751526</v>
      </c>
      <c r="Q31" s="20">
        <f t="shared" si="2"/>
        <v>158.10483208300809</v>
      </c>
      <c r="R31" s="59">
        <f t="shared" si="0"/>
        <v>451.43816541634141</v>
      </c>
      <c r="S31" s="59">
        <f ca="1">AVERAGE(OFFSET($R$3,0,0,'Données projet'!$E$9+1,1))-AVERAGE(OFFSET($H$3,0,0,'Données projet'!$E$9+1,1))</f>
        <v>158.58786357608489</v>
      </c>
      <c r="T31" s="59">
        <f t="shared" si="34"/>
        <v>163.20074068819849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13.3</v>
      </c>
      <c r="AI31" s="13">
        <f>IF('Données projet'!$A$62&gt;35,AI30+AH31-AQ30,IF(A31&lt;'Données projet'!$A$62,$AF$205^A31,IF(A31='Données projet'!$A$62,'Données projet'!$B$62,AI30+AH31-AQ30)))</f>
        <v>173.40000000000003</v>
      </c>
      <c r="AJ31" s="13">
        <f>AI31*VLOOKUP('Données projet'!$B$10,Paramètres!$A$1:$I$89,3,0)*VLOOKUP('Données projet'!$B$10,Paramètres!$A$1:$I$89,5,0)</f>
        <v>103.69320000000003</v>
      </c>
      <c r="AK31" s="13">
        <f t="shared" si="35"/>
        <v>27.83998582032487</v>
      </c>
      <c r="AL31" s="20">
        <f t="shared" si="4"/>
        <v>229.08696530373251</v>
      </c>
      <c r="AM31" s="59">
        <f t="shared" si="5"/>
        <v>522.4202986370658</v>
      </c>
      <c r="AN31" s="59">
        <f ca="1">AVERAGE(OFFSET($AM$3,0,0,'Données projet'!$E$10+1,1))-AVERAGE(OFFSET($H$3,0,0,'Données projet'!$E$10+1,1))</f>
        <v>270.30888762640245</v>
      </c>
      <c r="AO31" s="59">
        <f t="shared" si="36"/>
        <v>202.23783851977691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2.8483876719793551</v>
      </c>
      <c r="AW31" s="21">
        <f>EXP(-LN(2)/2)*AW30+(1-EXP(-LN(2)/2))/(LN(2)/2)*AQ31*AT31*VLOOKUP('Données projet'!$B$10,Paramètres!$A$1:$I$89,3,0)*0.475*44/12</f>
        <v>0.42317182120051677</v>
      </c>
      <c r="AX31" s="21">
        <f t="shared" si="6"/>
        <v>3.2715594931798719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19.393589743589743</v>
      </c>
      <c r="BD31" s="12">
        <f>IF('Données projet'!$A$88&gt;35,BD30+BC31-BL30,IF(A31&lt;'Données projet'!$A$88,$BA$205^A31,IF(A31='Données projet'!$A$88,'Données projet'!$B$88,BD30+BC31-BL30)))</f>
        <v>241.21794871794879</v>
      </c>
      <c r="BE31" s="13">
        <f>BD31*VLOOKUP('Données projet'!$B$11,Paramètres!$A$1:$I$89,3,0)*VLOOKUP('Données projet'!$B$11,Paramètres!$A$1:$I$89,5,0)</f>
        <v>144.24833333333339</v>
      </c>
      <c r="BF31" s="13">
        <f t="shared" si="37"/>
        <v>37.268539287745227</v>
      </c>
      <c r="BG31" s="20">
        <f t="shared" si="7"/>
        <v>316.14188648171188</v>
      </c>
      <c r="BH31" s="59">
        <f t="shared" si="8"/>
        <v>609.47521981504519</v>
      </c>
      <c r="BI31" s="59">
        <f ca="1">AVERAGE(OFFSET($BH$3,0,0,'Données projet'!$E$11+1,1))-AVERAGE(OFFSET($H$3,0,0,'Données projet'!$E$11+1,1))</f>
        <v>243.85350804244348</v>
      </c>
      <c r="BJ31" s="59">
        <f t="shared" si="38"/>
        <v>304.60992308960545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4.7086947829984425</v>
      </c>
      <c r="BQ31" s="21">
        <f>EXP(-LN(2)/25)*BQ30+(1-EXP(-LN(2)/25))/(LN(2)/25)*Calculateur!BL31*Calculateur!BN31*VLOOKUP('Données projet'!$B$11,Paramètres!$A$1:$I$89,3,0)*0.475*44/12</f>
        <v>18.73976793996016</v>
      </c>
      <c r="BR31" s="21">
        <f>EXP(-LN(2)/2)*BR30+(1-EXP(-LN(2)/2))/(LN(2)/2)*BL31*BO31*VLOOKUP('Données projet'!$B$11,Paramètres!$A$1:$I$89,3,0)*0.475*44/12</f>
        <v>7.476453054543394</v>
      </c>
      <c r="BS31" s="22">
        <f t="shared" si="9"/>
        <v>30.924915777501997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7.2264102564102561</v>
      </c>
      <c r="N32" s="13">
        <f>IF('Données projet'!$A$36&gt;35,N31+M32-V31,IF(A32&lt;'Données projet'!$A$36,$K$205^A32,IF(A32='Données projet'!$A$36,'Données projet'!$B$36,N31+M32-V31)))</f>
        <v>181.20732085910257</v>
      </c>
      <c r="O32" s="13">
        <f>N32*VLOOKUP('Données projet'!$B$9,Paramètres!$A$1:$I$89,3,0)*VLOOKUP('Données projet'!$B$9,Paramètres!$A$1:$I$89,5,0)</f>
        <v>84.805026162060003</v>
      </c>
      <c r="P32" s="13">
        <f t="shared" si="33"/>
        <v>23.308020101846395</v>
      </c>
      <c r="Q32" s="20">
        <f t="shared" si="2"/>
        <v>188.29688890963698</v>
      </c>
      <c r="R32" s="59">
        <f t="shared" si="0"/>
        <v>481.63022224297026</v>
      </c>
      <c r="S32" s="59">
        <f ca="1">AVERAGE(OFFSET($R$3,0,0,'Données projet'!$E$9+1,1))-AVERAGE(OFFSET($H$3,0,0,'Données projet'!$E$9+1,1))</f>
        <v>158.58786357608489</v>
      </c>
      <c r="T32" s="59">
        <f t="shared" si="34"/>
        <v>163.20074068819849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13.3</v>
      </c>
      <c r="AI32" s="13">
        <f>IF('Données projet'!$A$62&gt;35,AI31+AH32-AQ31,IF(A32&lt;'Données projet'!$A$62,$AF$205^A32,IF(A32='Données projet'!$A$62,'Données projet'!$B$62,AI31+AH32-AQ31)))</f>
        <v>186.70000000000005</v>
      </c>
      <c r="AJ32" s="13">
        <f>AI32*VLOOKUP('Données projet'!$B$10,Paramètres!$A$1:$I$89,3,0)*VLOOKUP('Données projet'!$B$10,Paramètres!$A$1:$I$89,5,0)</f>
        <v>111.64660000000003</v>
      </c>
      <c r="AK32" s="13">
        <f t="shared" si="35"/>
        <v>29.718600259496139</v>
      </c>
      <c r="AL32" s="20">
        <f t="shared" si="4"/>
        <v>246.21105711862251</v>
      </c>
      <c r="AM32" s="59">
        <f t="shared" si="5"/>
        <v>539.54439045195579</v>
      </c>
      <c r="AN32" s="59">
        <f ca="1">AVERAGE(OFFSET($AM$3,0,0,'Données projet'!$E$10+1,1))-AVERAGE(OFFSET($H$3,0,0,'Données projet'!$E$10+1,1))</f>
        <v>270.30888762640245</v>
      </c>
      <c r="AO32" s="59">
        <f t="shared" si="36"/>
        <v>202.23783851977691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2.7704983612988818</v>
      </c>
      <c r="AW32" s="21">
        <f>EXP(-LN(2)/2)*AW31+(1-EXP(-LN(2)/2))/(LN(2)/2)*AQ32*AT32*VLOOKUP('Données projet'!$B$10,Paramètres!$A$1:$I$89,3,0)*0.475*44/12</f>
        <v>0.29922766437794662</v>
      </c>
      <c r="AX32" s="21">
        <f t="shared" si="6"/>
        <v>3.0697260256768284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19.393589743589743</v>
      </c>
      <c r="BD32" s="12">
        <f>IF('Données projet'!$A$88&gt;35,BD31+BC32-BL31,IF(A32&lt;'Données projet'!$A$88,$BA$205^A32,IF(A32='Données projet'!$A$88,'Données projet'!$B$88,BD31+BC32-BL31)))</f>
        <v>260.61153846153854</v>
      </c>
      <c r="BE32" s="13">
        <f>BD32*VLOOKUP('Données projet'!$B$11,Paramètres!$A$1:$I$89,3,0)*VLOOKUP('Données projet'!$B$11,Paramètres!$A$1:$I$89,5,0)</f>
        <v>155.84570000000005</v>
      </c>
      <c r="BF32" s="13">
        <f t="shared" si="37"/>
        <v>39.904071626695313</v>
      </c>
      <c r="BG32" s="20">
        <f t="shared" si="7"/>
        <v>340.93085224982775</v>
      </c>
      <c r="BH32" s="59">
        <f t="shared" si="8"/>
        <v>634.26418558316107</v>
      </c>
      <c r="BI32" s="59">
        <f ca="1">AVERAGE(OFFSET($BH$3,0,0,'Données projet'!$E$11+1,1))-AVERAGE(OFFSET($H$3,0,0,'Données projet'!$E$11+1,1))</f>
        <v>243.85350804244348</v>
      </c>
      <c r="BJ32" s="59">
        <f t="shared" si="38"/>
        <v>304.60992308960545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4.6163601503240725</v>
      </c>
      <c r="BQ32" s="21">
        <f>EXP(-LN(2)/25)*BQ31+(1-EXP(-LN(2)/25))/(LN(2)/25)*Calculateur!BL32*Calculateur!BN32*VLOOKUP('Données projet'!$B$11,Paramètres!$A$1:$I$89,3,0)*0.475*44/12</f>
        <v>18.227328000160384</v>
      </c>
      <c r="BR32" s="21">
        <f>EXP(-LN(2)/2)*BR31+(1-EXP(-LN(2)/2))/(LN(2)/2)*BL32*BO32*VLOOKUP('Données projet'!$B$11,Paramètres!$A$1:$I$89,3,0)*0.475*44/12</f>
        <v>5.2866506540905114</v>
      </c>
      <c r="BS32" s="22">
        <f t="shared" si="9"/>
        <v>28.130338804574968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216.79230769230767</v>
      </c>
      <c r="L33" s="12">
        <f>VLOOKUP(A33,'Données projet'!$A$35:$I$55,9,0)</f>
        <v>7.2264102564102561</v>
      </c>
      <c r="M33" s="12">
        <f t="array" ref="M33">INDEX(L:L,MIN(IF(ISNUMBER(L33:L229),ROW(L33:L229),"")))</f>
        <v>7.2264102564102561</v>
      </c>
      <c r="N33" s="13">
        <f>IF('Données projet'!$A$36&gt;35,N32+M33-V32,IF(A33&lt;'Données projet'!$A$36,$K$205^A33,IF(A33='Données projet'!$A$36,'Données projet'!$B$36,N32+M33-V32)))</f>
        <v>216.79230769230767</v>
      </c>
      <c r="O33" s="13">
        <f>N33*VLOOKUP('Données projet'!$B$9,Paramètres!$A$1:$I$89,3,0)*VLOOKUP('Données projet'!$B$9,Paramètres!$A$1:$I$89,5,0)</f>
        <v>101.45879999999998</v>
      </c>
      <c r="P33" s="13">
        <f t="shared" si="33"/>
        <v>27.309243053465156</v>
      </c>
      <c r="Q33" s="20">
        <f t="shared" si="2"/>
        <v>224.27100831811845</v>
      </c>
      <c r="R33" s="59">
        <f t="shared" si="0"/>
        <v>517.6043416514517</v>
      </c>
      <c r="S33" s="59">
        <f ca="1">AVERAGE(OFFSET($R$3,0,0,'Données projet'!$E$9+1,1))-AVERAGE(OFFSET($H$3,0,0,'Données projet'!$E$9+1,1))</f>
        <v>158.58786357608489</v>
      </c>
      <c r="T33" s="59">
        <f t="shared" si="34"/>
        <v>163.20074068819849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200</v>
      </c>
      <c r="AG33" s="12">
        <f>VLOOKUP(A33,'Données projet'!$A$61:$I$81,9,0)</f>
        <v>13.3</v>
      </c>
      <c r="AH33" s="12">
        <f t="array" ref="AH33">INDEX(AG:AG,MIN(IF(ISNUMBER(AG33:AG229),ROW(AG33:AG229),"")))</f>
        <v>13.3</v>
      </c>
      <c r="AI33" s="13">
        <f>IF('Données projet'!$A$62&gt;35,AI32+AH33-AQ32,IF(A33&lt;'Données projet'!$A$62,$AF$205^A33,IF(A33='Données projet'!$A$62,'Données projet'!$B$62,AI32+AH33-AQ32)))</f>
        <v>200.00000000000006</v>
      </c>
      <c r="AJ33" s="13">
        <f>AI33*VLOOKUP('Données projet'!$B$10,Paramètres!$A$1:$I$89,3,0)*VLOOKUP('Données projet'!$B$10,Paramètres!$A$1:$I$89,5,0)</f>
        <v>119.60000000000004</v>
      </c>
      <c r="AK33" s="13">
        <f t="shared" si="35"/>
        <v>31.581687741452708</v>
      </c>
      <c r="AL33" s="20">
        <f t="shared" si="4"/>
        <v>263.30810614969687</v>
      </c>
      <c r="AM33" s="59">
        <f t="shared" si="5"/>
        <v>556.64143948303013</v>
      </c>
      <c r="AN33" s="59">
        <f ca="1">AVERAGE(OFFSET($AM$3,0,0,'Données projet'!$E$10+1,1))-AVERAGE(OFFSET($H$3,0,0,'Données projet'!$E$10+1,1))</f>
        <v>270.30888762640245</v>
      </c>
      <c r="AO33" s="59">
        <f t="shared" si="36"/>
        <v>202.23783851977691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60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0.20250000000000001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2.1418709697526821</v>
      </c>
      <c r="AV33" s="21">
        <f>EXP(-LN(2)/25)*AV32+(1-EXP(-LN(2)/25))/(LN(2)/25)*Calculateur!AQ33*Calculateur!AS33*VLOOKUP('Données projet'!$B$10,Paramètres!$A$1:$I$89,3,0)*0.475*44/12</f>
        <v>12.295208172240732</v>
      </c>
      <c r="AW33" s="21">
        <f>EXP(-LN(2)/2)*AW32+(1-EXP(-LN(2)/2))/(LN(2)/2)*AQ33*AT33*VLOOKUP('Données projet'!$B$10,Paramètres!$A$1:$I$89,3,0)*0.475*44/12</f>
        <v>18.49260858646258</v>
      </c>
      <c r="AX33" s="21">
        <f t="shared" si="6"/>
        <v>32.929687728455995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19.393589743589743</v>
      </c>
      <c r="BD33" s="12">
        <f>IF('Données projet'!$A$88&gt;35,BD32+BC33-BL32,IF(A33&lt;'Données projet'!$A$88,$BA$205^A33,IF(A33='Données projet'!$A$88,'Données projet'!$B$88,BD32+BC33-BL32)))</f>
        <v>280.0051282051283</v>
      </c>
      <c r="BE33" s="13">
        <f>BD33*VLOOKUP('Données projet'!$B$11,Paramètres!$A$1:$I$89,3,0)*VLOOKUP('Données projet'!$B$11,Paramètres!$A$1:$I$89,5,0)</f>
        <v>167.44306666666677</v>
      </c>
      <c r="BF33" s="13">
        <f t="shared" si="37"/>
        <v>42.516851449807113</v>
      </c>
      <c r="BG33" s="20">
        <f t="shared" si="7"/>
        <v>365.68019071952534</v>
      </c>
      <c r="BH33" s="59">
        <f t="shared" si="8"/>
        <v>659.01352405285866</v>
      </c>
      <c r="BI33" s="59">
        <f ca="1">AVERAGE(OFFSET($BH$3,0,0,'Données projet'!$E$11+1,1))-AVERAGE(OFFSET($H$3,0,0,'Données projet'!$E$11+1,1))</f>
        <v>243.85350804244348</v>
      </c>
      <c r="BJ33" s="59">
        <f t="shared" si="38"/>
        <v>304.60992308960545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4.525836143477882</v>
      </c>
      <c r="BQ33" s="21">
        <f>EXP(-LN(2)/25)*BQ32+(1-EXP(-LN(2)/25))/(LN(2)/25)*Calculateur!BL33*Calculateur!BN33*VLOOKUP('Données projet'!$B$11,Paramètres!$A$1:$I$89,3,0)*0.475*44/12</f>
        <v>17.728900757462476</v>
      </c>
      <c r="BR33" s="21">
        <f>EXP(-LN(2)/2)*BR32+(1-EXP(-LN(2)/2))/(LN(2)/2)*BL33*BO33*VLOOKUP('Données projet'!$B$11,Paramètres!$A$1:$I$89,3,0)*0.475*44/12</f>
        <v>3.7382265272716979</v>
      </c>
      <c r="BS33" s="22">
        <f t="shared" si="9"/>
        <v>25.992963428212057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16.131410256410259</v>
      </c>
      <c r="N34" s="13">
        <f>IF('Données projet'!$A$36&gt;35,N33+M34-V33,IF(A34&lt;'Données projet'!$A$36,$K$205^A34,IF(A34='Données projet'!$A$36,'Données projet'!$B$36,N33+M34-V33)))</f>
        <v>232.92371794871792</v>
      </c>
      <c r="O34" s="13">
        <f>N34*VLOOKUP('Données projet'!$B$9,Paramètres!$A$1:$I$89,3,0)*VLOOKUP('Données projet'!$B$9,Paramètres!$A$1:$I$89,5,0)</f>
        <v>109.00829999999998</v>
      </c>
      <c r="P34" s="13">
        <f t="shared" si="33"/>
        <v>29.097209307093255</v>
      </c>
      <c r="Q34" s="20">
        <f t="shared" si="2"/>
        <v>240.53376204318738</v>
      </c>
      <c r="R34" s="59">
        <f t="shared" si="0"/>
        <v>533.86709537652064</v>
      </c>
      <c r="S34" s="59">
        <f ca="1">AVERAGE(OFFSET($R$3,0,0,'Données projet'!$E$9+1,1))-AVERAGE(OFFSET($H$3,0,0,'Données projet'!$E$9+1,1))</f>
        <v>158.58786357608489</v>
      </c>
      <c r="T34" s="59">
        <f t="shared" si="34"/>
        <v>163.20074068819849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15.7</v>
      </c>
      <c r="AI34" s="13">
        <f>IF('Données projet'!$A$62&gt;35,AI33+AH34-AQ33,IF(A34&lt;'Données projet'!$A$62,$AF$205^A34,IF(A34='Données projet'!$A$62,'Données projet'!$B$62,AI33+AH34-AQ33)))</f>
        <v>155.70000000000005</v>
      </c>
      <c r="AJ34" s="13">
        <f>AI34*VLOOKUP('Données projet'!$B$10,Paramètres!$A$1:$I$89,3,0)*VLOOKUP('Données projet'!$B$10,Paramètres!$A$1:$I$89,5,0)</f>
        <v>93.108600000000038</v>
      </c>
      <c r="AK34" s="13">
        <f t="shared" si="35"/>
        <v>25.313456376926009</v>
      </c>
      <c r="AL34" s="20">
        <f t="shared" si="4"/>
        <v>206.25174818981284</v>
      </c>
      <c r="AM34" s="59">
        <f t="shared" si="5"/>
        <v>499.58508152314619</v>
      </c>
      <c r="AN34" s="59">
        <f ca="1">AVERAGE(OFFSET($AM$3,0,0,'Données projet'!$E$10+1,1))-AVERAGE(OFFSET($H$3,0,0,'Données projet'!$E$10+1,1))</f>
        <v>270.30888762640245</v>
      </c>
      <c r="AO34" s="59">
        <f t="shared" si="36"/>
        <v>202.23783851977691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2.099870186448126</v>
      </c>
      <c r="AV34" s="21">
        <f>EXP(-LN(2)/25)*AV33+(1-EXP(-LN(2)/25))/(LN(2)/25)*Calculateur!AQ34*Calculateur!AS34*VLOOKUP('Données projet'!$B$10,Paramètres!$A$1:$I$89,3,0)*0.475*44/12</f>
        <v>11.958995058193914</v>
      </c>
      <c r="AW34" s="21">
        <f>EXP(-LN(2)/2)*AW33+(1-EXP(-LN(2)/2))/(LN(2)/2)*AQ34*AT34*VLOOKUP('Données projet'!$B$10,Paramètres!$A$1:$I$89,3,0)*0.475*44/12</f>
        <v>13.076248933316267</v>
      </c>
      <c r="AX34" s="21">
        <f t="shared" si="6"/>
        <v>27.135114177958307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19.393589743589743</v>
      </c>
      <c r="BD34" s="12">
        <f>IF('Données projet'!$A$88&gt;35,BD33+BC34-BL33,IF(A34&lt;'Données projet'!$A$88,$BA$205^A34,IF(A34='Données projet'!$A$88,'Données projet'!$B$88,BD33+BC34-BL33)))</f>
        <v>299.39871794871806</v>
      </c>
      <c r="BE34" s="13">
        <f>BD34*VLOOKUP('Données projet'!$B$11,Paramètres!$A$1:$I$89,3,0)*VLOOKUP('Données projet'!$B$11,Paramètres!$A$1:$I$89,5,0)</f>
        <v>179.04043333333343</v>
      </c>
      <c r="BF34" s="13">
        <f t="shared" si="37"/>
        <v>45.108633894312518</v>
      </c>
      <c r="BG34" s="20">
        <f t="shared" si="7"/>
        <v>390.39295875481668</v>
      </c>
      <c r="BH34" s="59">
        <f t="shared" si="8"/>
        <v>683.72629208814999</v>
      </c>
      <c r="BI34" s="59">
        <f ca="1">AVERAGE(OFFSET($BH$3,0,0,'Données projet'!$E$11+1,1))-AVERAGE(OFFSET($H$3,0,0,'Données projet'!$E$11+1,1))</f>
        <v>243.85350804244348</v>
      </c>
      <c r="BJ34" s="59">
        <f t="shared" si="38"/>
        <v>304.60992308960545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4.4370872571917523</v>
      </c>
      <c r="BQ34" s="21">
        <f>EXP(-LN(2)/25)*BQ33+(1-EXP(-LN(2)/25))/(LN(2)/25)*Calculateur!BL34*Calculateur!BN34*VLOOKUP('Données projet'!$B$11,Paramètres!$A$1:$I$89,3,0)*0.475*44/12</f>
        <v>17.244103033927296</v>
      </c>
      <c r="BR34" s="21">
        <f>EXP(-LN(2)/2)*BR33+(1-EXP(-LN(2)/2))/(LN(2)/2)*BL34*BO34*VLOOKUP('Données projet'!$B$11,Paramètres!$A$1:$I$89,3,0)*0.475*44/12</f>
        <v>2.6433253270452561</v>
      </c>
      <c r="BS34" s="22">
        <f t="shared" si="9"/>
        <v>24.324515618164305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16.131410256410259</v>
      </c>
      <c r="N35" s="13">
        <f>IF('Données projet'!$A$36&gt;35,N34+M35-V34,IF(A35&lt;'Données projet'!$A$36,$K$205^A35,IF(A35='Données projet'!$A$36,'Données projet'!$B$36,N34+M35-V34)))</f>
        <v>249.05512820512817</v>
      </c>
      <c r="O35" s="13">
        <f>N35*VLOOKUP('Données projet'!$B$9,Paramètres!$A$1:$I$89,3,0)*VLOOKUP('Données projet'!$B$9,Paramètres!$A$1:$I$89,5,0)</f>
        <v>116.55779999999997</v>
      </c>
      <c r="P35" s="13">
        <f t="shared" si="33"/>
        <v>30.870807833785406</v>
      </c>
      <c r="Q35" s="20">
        <f t="shared" ref="Q35:Q66" si="53">(O35+P35)*0.475*44/12</f>
        <v>256.7714919771762</v>
      </c>
      <c r="R35" s="59">
        <f t="shared" si="0"/>
        <v>550.10482531050957</v>
      </c>
      <c r="S35" s="59">
        <f ca="1">AVERAGE(OFFSET($R$3,0,0,'Données projet'!$E$9+1,1))-AVERAGE(OFFSET($H$3,0,0,'Données projet'!$E$9+1,1))</f>
        <v>158.58786357608489</v>
      </c>
      <c r="T35" s="59">
        <f t="shared" si="34"/>
        <v>163.20074068819849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15.7</v>
      </c>
      <c r="AI35" s="13">
        <f>IF('Données projet'!$A$62&gt;35,AI34+AH35-AQ34,IF(A35&lt;'Données projet'!$A$62,$AF$205^A35,IF(A35='Données projet'!$A$62,'Données projet'!$B$62,AI34+AH35-AQ34)))</f>
        <v>171.40000000000003</v>
      </c>
      <c r="AJ35" s="13">
        <f>AI35*VLOOKUP('Données projet'!$B$10,Paramètres!$A$1:$I$89,3,0)*VLOOKUP('Données projet'!$B$10,Paramètres!$A$1:$I$89,5,0)</f>
        <v>102.49720000000003</v>
      </c>
      <c r="AK35" s="13">
        <f t="shared" si="35"/>
        <v>27.556064299174871</v>
      </c>
      <c r="AL35" s="20">
        <f t="shared" si="4"/>
        <v>226.50943532106294</v>
      </c>
      <c r="AM35" s="59">
        <f t="shared" si="5"/>
        <v>519.8427686543962</v>
      </c>
      <c r="AN35" s="59">
        <f ca="1">AVERAGE(OFFSET($AM$3,0,0,'Données projet'!$E$10+1,1))-AVERAGE(OFFSET($H$3,0,0,'Données projet'!$E$10+1,1))</f>
        <v>270.30888762640245</v>
      </c>
      <c r="AO35" s="59">
        <f t="shared" si="36"/>
        <v>202.23783851977691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2.058693012886224</v>
      </c>
      <c r="AV35" s="21">
        <f>EXP(-LN(2)/25)*AV34+(1-EXP(-LN(2)/25))/(LN(2)/25)*Calculateur!AQ35*Calculateur!AS35*VLOOKUP('Données projet'!$B$10,Paramètres!$A$1:$I$89,3,0)*0.475*44/12</f>
        <v>11.631975709431384</v>
      </c>
      <c r="AW35" s="21">
        <f>EXP(-LN(2)/2)*AW34+(1-EXP(-LN(2)/2))/(LN(2)/2)*AQ35*AT35*VLOOKUP('Données projet'!$B$10,Paramètres!$A$1:$I$89,3,0)*0.475*44/12</f>
        <v>9.246304293231292</v>
      </c>
      <c r="AX35" s="21">
        <f t="shared" si="6"/>
        <v>22.936973015548901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>
        <f>VLOOKUP(A35,'Données projet'!$A$87:$I$107,2,0)</f>
        <v>318.7923076923077</v>
      </c>
      <c r="BB35" s="12">
        <f>VLOOKUP(A35,'Données projet'!$A$87:$I$107,9,0)</f>
        <v>19.393589743589743</v>
      </c>
      <c r="BC35" s="12">
        <f t="array" ref="BC35">INDEX(BB:BB,MIN(IF(ISNUMBER(BB35:BB231),ROW(BB35:BB231),"")))</f>
        <v>19.393589743589743</v>
      </c>
      <c r="BD35" s="12">
        <f>IF('Données projet'!$A$88&gt;35,BD34+BC35-BL34,IF(A35&lt;'Données projet'!$A$88,$BA$205^A35,IF(A35='Données projet'!$A$88,'Données projet'!$B$88,BD34+BC35-BL34)))</f>
        <v>318.79230769230782</v>
      </c>
      <c r="BE35" s="13">
        <f>BD35*VLOOKUP('Données projet'!$B$11,Paramètres!$A$1:$I$89,3,0)*VLOOKUP('Données projet'!$B$11,Paramètres!$A$1:$I$89,5,0)</f>
        <v>190.63780000000008</v>
      </c>
      <c r="BF35" s="13">
        <f t="shared" si="37"/>
        <v>47.680933861376609</v>
      </c>
      <c r="BG35" s="20">
        <f t="shared" si="7"/>
        <v>415.07179480856439</v>
      </c>
      <c r="BH35" s="59">
        <f t="shared" si="8"/>
        <v>708.40512814189765</v>
      </c>
      <c r="BI35" s="59">
        <f ca="1">AVERAGE(OFFSET($BH$3,0,0,'Données projet'!$E$11+1,1))-AVERAGE(OFFSET($H$3,0,0,'Données projet'!$E$11+1,1))</f>
        <v>243.85350804244348</v>
      </c>
      <c r="BJ35" s="59">
        <f t="shared" si="38"/>
        <v>304.60992308960545</v>
      </c>
      <c r="BK35" s="15">
        <f>IF(ISNA(VLOOKUP(A35,'Données projet'!$A$87:$I$107,3,0)),0,VLOOKUP(A35,'Données projet'!$A$87:$I$107,3,0))</f>
        <v>4</v>
      </c>
      <c r="BL35" s="15">
        <f>IF(ISNA(VLOOKUP(A35,'Données projet'!$A$87:$I$107,4,0)),0,VLOOKUP(A35,'Données projet'!$A$87:$I$107,4,0))</f>
        <v>64.523076923076914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4.3500786824342184</v>
      </c>
      <c r="BQ35" s="21">
        <f>EXP(-LN(2)/25)*BQ34+(1-EXP(-LN(2)/25))/(LN(2)/25)*Calculateur!BL35*Calculateur!BN35*VLOOKUP('Données projet'!$B$11,Paramètres!$A$1:$I$89,3,0)*0.475*44/12</f>
        <v>16.772562129636587</v>
      </c>
      <c r="BR35" s="21">
        <f>EXP(-LN(2)/2)*BR34+(1-EXP(-LN(2)/2))/(LN(2)/2)*BL35*BO35*VLOOKUP('Données projet'!$B$11,Paramètres!$A$1:$I$89,3,0)*0.475*44/12</f>
        <v>1.8691132636358492</v>
      </c>
      <c r="BS35" s="22">
        <f t="shared" si="9"/>
        <v>22.991754075706655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16.131410256410259</v>
      </c>
      <c r="N36" s="13">
        <f>IF('Données projet'!$A$36&gt;35,N35+M36-V35,IF(A36&lt;'Données projet'!$A$36,$K$205^A36,IF(A36='Données projet'!$A$36,'Données projet'!$B$36,N35+M36-V35)))</f>
        <v>265.18653846153842</v>
      </c>
      <c r="O36" s="13">
        <f>N36*VLOOKUP('Données projet'!$B$9,Paramètres!$A$1:$I$89,3,0)*VLOOKUP('Données projet'!$B$9,Paramètres!$A$1:$I$89,5,0)</f>
        <v>124.10729999999997</v>
      </c>
      <c r="P36" s="13">
        <f t="shared" si="33"/>
        <v>32.631075149258578</v>
      </c>
      <c r="Q36" s="20">
        <f t="shared" si="53"/>
        <v>272.98600338495862</v>
      </c>
      <c r="R36" s="59">
        <f t="shared" si="0"/>
        <v>566.31933671829188</v>
      </c>
      <c r="S36" s="59">
        <f ca="1">AVERAGE(OFFSET($R$3,0,0,'Données projet'!$E$9+1,1))-AVERAGE(OFFSET($H$3,0,0,'Données projet'!$E$9+1,1))</f>
        <v>158.58786357608489</v>
      </c>
      <c r="T36" s="59">
        <f t="shared" si="34"/>
        <v>163.20074068819849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15.7</v>
      </c>
      <c r="AI36" s="13">
        <f>IF('Données projet'!$A$62&gt;35,AI35+AH36-AQ35,IF(A36&lt;'Données projet'!$A$62,$AF$205^A36,IF(A36='Données projet'!$A$62,'Données projet'!$B$62,AI35+AH36-AQ35)))</f>
        <v>187.10000000000002</v>
      </c>
      <c r="AJ36" s="13">
        <f>AI36*VLOOKUP('Données projet'!$B$10,Paramètres!$A$1:$I$89,3,0)*VLOOKUP('Données projet'!$B$10,Paramètres!$A$1:$I$89,5,0)</f>
        <v>111.88580000000003</v>
      </c>
      <c r="AK36" s="13">
        <f t="shared" si="35"/>
        <v>29.774853250315406</v>
      </c>
      <c r="AL36" s="20">
        <f t="shared" si="4"/>
        <v>246.72563774429935</v>
      </c>
      <c r="AM36" s="59">
        <f t="shared" si="5"/>
        <v>540.05897107763269</v>
      </c>
      <c r="AN36" s="59">
        <f ca="1">AVERAGE(OFFSET($AM$3,0,0,'Données projet'!$E$10+1,1))-AVERAGE(OFFSET($H$3,0,0,'Données projet'!$E$10+1,1))</f>
        <v>270.30888762640245</v>
      </c>
      <c r="AO36" s="59">
        <f t="shared" si="36"/>
        <v>202.23783851977691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2.018323298582275</v>
      </c>
      <c r="AV36" s="21">
        <f>EXP(-LN(2)/25)*AV35+(1-EXP(-LN(2)/25))/(LN(2)/25)*Calculateur!AQ36*Calculateur!AS36*VLOOKUP('Données projet'!$B$10,Paramètres!$A$1:$I$89,3,0)*0.475*44/12</f>
        <v>11.313898721957965</v>
      </c>
      <c r="AW36" s="21">
        <f>EXP(-LN(2)/2)*AW35+(1-EXP(-LN(2)/2))/(LN(2)/2)*AQ36*AT36*VLOOKUP('Données projet'!$B$10,Paramètres!$A$1:$I$89,3,0)*0.475*44/12</f>
        <v>6.5381244666581342</v>
      </c>
      <c r="AX36" s="21">
        <f t="shared" si="6"/>
        <v>19.870346487198375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18.055769230769229</v>
      </c>
      <c r="BD36" s="12">
        <f>IF('Données projet'!$A$88&gt;35,BD35+BC36-BL35,IF(A36&lt;'Données projet'!$A$88,$BA$205^A36,IF(A36='Données projet'!$A$88,'Données projet'!$B$88,BD35+BC36-BL35)))</f>
        <v>272.3250000000001</v>
      </c>
      <c r="BE36" s="13">
        <f>BD36*VLOOKUP('Données projet'!$B$11,Paramètres!$A$1:$I$89,3,0)*VLOOKUP('Données projet'!$B$11,Paramètres!$A$1:$I$89,5,0)</f>
        <v>162.85035000000008</v>
      </c>
      <c r="BF36" s="13">
        <f t="shared" si="37"/>
        <v>41.484757610477807</v>
      </c>
      <c r="BG36" s="20">
        <f t="shared" si="7"/>
        <v>355.88364575491568</v>
      </c>
      <c r="BH36" s="59">
        <f t="shared" si="8"/>
        <v>649.21697908824899</v>
      </c>
      <c r="BI36" s="59">
        <f ca="1">AVERAGE(OFFSET($BH$3,0,0,'Données projet'!$E$11+1,1))-AVERAGE(OFFSET($H$3,0,0,'Données projet'!$E$11+1,1))</f>
        <v>243.85350804244348</v>
      </c>
      <c r="BJ36" s="59">
        <f t="shared" si="38"/>
        <v>304.60992308960545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4.2647762927576895</v>
      </c>
      <c r="BQ36" s="21">
        <f>EXP(-LN(2)/25)*BQ35+(1-EXP(-LN(2)/25))/(LN(2)/25)*Calculateur!BL36*Calculateur!BN36*VLOOKUP('Données projet'!$B$11,Paramètres!$A$1:$I$89,3,0)*0.475*44/12</f>
        <v>16.313915536170967</v>
      </c>
      <c r="BR36" s="21">
        <f>EXP(-LN(2)/2)*BR35+(1-EXP(-LN(2)/2))/(LN(2)/2)*BL36*BO36*VLOOKUP('Données projet'!$B$11,Paramètres!$A$1:$I$89,3,0)*0.475*44/12</f>
        <v>1.3216626635226283</v>
      </c>
      <c r="BS36" s="22">
        <f t="shared" si="9"/>
        <v>21.900354492451282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16.131410256410259</v>
      </c>
      <c r="N37" s="13">
        <f>IF('Données projet'!$A$36&gt;35,N36+M37-V36,IF(A37&lt;'Données projet'!$A$36,$K$205^A37,IF(A37='Données projet'!$A$36,'Données projet'!$B$36,N36+M37-V36)))</f>
        <v>281.3179487179487</v>
      </c>
      <c r="O37" s="13">
        <f>N37*VLOOKUP('Données projet'!$B$9,Paramètres!$A$1:$I$89,3,0)*VLOOKUP('Données projet'!$B$9,Paramètres!$A$1:$I$89,5,0)</f>
        <v>131.65679999999998</v>
      </c>
      <c r="P37" s="13">
        <f t="shared" si="33"/>
        <v>34.378914540413547</v>
      </c>
      <c r="Q37" s="20">
        <f t="shared" si="53"/>
        <v>289.17886949122021</v>
      </c>
      <c r="R37" s="59">
        <f t="shared" si="0"/>
        <v>582.51220282455347</v>
      </c>
      <c r="S37" s="59">
        <f ca="1">AVERAGE(OFFSET($R$3,0,0,'Données projet'!$E$9+1,1))-AVERAGE(OFFSET($H$3,0,0,'Données projet'!$E$9+1,1))</f>
        <v>158.58786357608489</v>
      </c>
      <c r="T37" s="59">
        <f t="shared" si="34"/>
        <v>163.20074068819849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15.7</v>
      </c>
      <c r="AI37" s="13">
        <f>IF('Données projet'!$A$62&gt;35,AI36+AH37-AQ36,IF(A37&lt;'Données projet'!$A$62,$AF$205^A37,IF(A37='Données projet'!$A$62,'Données projet'!$B$62,AI36+AH37-AQ36)))</f>
        <v>202.8</v>
      </c>
      <c r="AJ37" s="13">
        <f>AI37*VLOOKUP('Données projet'!$B$10,Paramètres!$A$1:$I$89,3,0)*VLOOKUP('Données projet'!$B$10,Paramètres!$A$1:$I$89,5,0)</f>
        <v>121.27440000000001</v>
      </c>
      <c r="AK37" s="13">
        <f t="shared" si="35"/>
        <v>31.972049173215385</v>
      </c>
      <c r="AL37" s="20">
        <f t="shared" si="4"/>
        <v>266.90423231001682</v>
      </c>
      <c r="AM37" s="59">
        <f t="shared" si="5"/>
        <v>560.23756564335008</v>
      </c>
      <c r="AN37" s="59">
        <f ca="1">AVERAGE(OFFSET($AM$3,0,0,'Données projet'!$E$10+1,1))-AVERAGE(OFFSET($H$3,0,0,'Données projet'!$E$10+1,1))</f>
        <v>270.30888762640245</v>
      </c>
      <c r="AO37" s="59">
        <f t="shared" si="36"/>
        <v>202.23783851977691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1.978745209752732</v>
      </c>
      <c r="AV37" s="21">
        <f>EXP(-LN(2)/25)*AV36+(1-EXP(-LN(2)/25))/(LN(2)/25)*Calculateur!AQ37*Calculateur!AS37*VLOOKUP('Données projet'!$B$10,Paramètres!$A$1:$I$89,3,0)*0.475*44/12</f>
        <v>11.004519566433949</v>
      </c>
      <c r="AW37" s="21">
        <f>EXP(-LN(2)/2)*AW36+(1-EXP(-LN(2)/2))/(LN(2)/2)*AQ37*AT37*VLOOKUP('Données projet'!$B$10,Paramètres!$A$1:$I$89,3,0)*0.475*44/12</f>
        <v>4.623152146615646</v>
      </c>
      <c r="AX37" s="21">
        <f t="shared" si="6"/>
        <v>17.606416922802328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18.055769230769229</v>
      </c>
      <c r="BD37" s="12">
        <f>IF('Données projet'!$A$88&gt;35,BD36+BC37-BL36,IF(A37&lt;'Données projet'!$A$88,$BA$205^A37,IF(A37='Données projet'!$A$88,'Données projet'!$B$88,BD36+BC37-BL36)))</f>
        <v>290.38076923076932</v>
      </c>
      <c r="BE37" s="13">
        <f>BD37*VLOOKUP('Données projet'!$B$11,Paramètres!$A$1:$I$89,3,0)*VLOOKUP('Données projet'!$B$11,Paramètres!$A$1:$I$89,5,0)</f>
        <v>173.64770000000004</v>
      </c>
      <c r="BF37" s="13">
        <f t="shared" si="37"/>
        <v>43.905974872685142</v>
      </c>
      <c r="BG37" s="20">
        <f t="shared" si="7"/>
        <v>378.90598373659333</v>
      </c>
      <c r="BH37" s="59">
        <f t="shared" si="8"/>
        <v>672.23931706992664</v>
      </c>
      <c r="BI37" s="59">
        <f ca="1">AVERAGE(OFFSET($BH$3,0,0,'Données projet'!$E$11+1,1))-AVERAGE(OFFSET($H$3,0,0,'Données projet'!$E$11+1,1))</f>
        <v>243.85350804244348</v>
      </c>
      <c r="BJ37" s="59">
        <f t="shared" si="38"/>
        <v>304.60992308960545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4.1811466309133971</v>
      </c>
      <c r="BQ37" s="21">
        <f>EXP(-LN(2)/25)*BQ36+(1-EXP(-LN(2)/25))/(LN(2)/25)*Calculateur!BL37*Calculateur!BN37*VLOOKUP('Données projet'!$B$11,Paramètres!$A$1:$I$89,3,0)*0.475*44/12</f>
        <v>15.86781065792284</v>
      </c>
      <c r="BR37" s="21">
        <f>EXP(-LN(2)/2)*BR36+(1-EXP(-LN(2)/2))/(LN(2)/2)*BL37*BO37*VLOOKUP('Données projet'!$B$11,Paramètres!$A$1:$I$89,3,0)*0.475*44/12</f>
        <v>0.93455663181792481</v>
      </c>
      <c r="BS37" s="22">
        <f t="shared" si="9"/>
        <v>20.983513920654161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16.131410256410259</v>
      </c>
      <c r="N38" s="13">
        <f>IF('Données projet'!$A$36&gt;35,N37+M38-V37,IF(A38&lt;'Données projet'!$A$36,$K$205^A38,IF(A38='Données projet'!$A$36,'Données projet'!$B$36,N37+M38-V37)))</f>
        <v>297.44935897435897</v>
      </c>
      <c r="O38" s="13">
        <f>N38*VLOOKUP('Données projet'!$B$9,Paramètres!$A$1:$I$89,3,0)*VLOOKUP('Données projet'!$B$9,Paramètres!$A$1:$I$89,5,0)</f>
        <v>139.2063</v>
      </c>
      <c r="P38" s="13">
        <f t="shared" si="33"/>
        <v>36.115119849784641</v>
      </c>
      <c r="Q38" s="20">
        <f t="shared" si="53"/>
        <v>305.35147290504159</v>
      </c>
      <c r="R38" s="59">
        <f t="shared" si="0"/>
        <v>598.6848062383749</v>
      </c>
      <c r="S38" s="59">
        <f ca="1">AVERAGE(OFFSET($R$3,0,0,'Données projet'!$E$9+1,1))-AVERAGE(OFFSET($H$3,0,0,'Données projet'!$E$9+1,1))</f>
        <v>158.58786357608489</v>
      </c>
      <c r="T38" s="59">
        <f t="shared" si="34"/>
        <v>163.20074068819849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15.7</v>
      </c>
      <c r="AI38" s="13">
        <f>IF('Données projet'!$A$62&gt;35,AI37+AH38-AQ37,IF(A38&lt;'Données projet'!$A$62,$AF$205^A38,IF(A38='Données projet'!$A$62,'Données projet'!$B$62,AI37+AH38-AQ37)))</f>
        <v>218.5</v>
      </c>
      <c r="AJ38" s="13">
        <f>AI38*VLOOKUP('Données projet'!$B$10,Paramètres!$A$1:$I$89,3,0)*VLOOKUP('Données projet'!$B$10,Paramètres!$A$1:$I$89,5,0)</f>
        <v>130.66300000000001</v>
      </c>
      <c r="AK38" s="13">
        <f t="shared" si="35"/>
        <v>34.149513779485744</v>
      </c>
      <c r="AL38" s="20">
        <f t="shared" si="4"/>
        <v>287.04846149927101</v>
      </c>
      <c r="AM38" s="59">
        <f t="shared" si="5"/>
        <v>580.38179483260433</v>
      </c>
      <c r="AN38" s="59">
        <f ca="1">AVERAGE(OFFSET($AM$3,0,0,'Données projet'!$E$10+1,1))-AVERAGE(OFFSET($H$3,0,0,'Données projet'!$E$10+1,1))</f>
        <v>270.30888762640245</v>
      </c>
      <c r="AO38" s="59">
        <f t="shared" si="36"/>
        <v>202.23783851977691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1.9399432231048859</v>
      </c>
      <c r="AV38" s="21">
        <f>EXP(-LN(2)/25)*AV37+(1-EXP(-LN(2)/25))/(LN(2)/25)*Calculateur!AQ38*Calculateur!AS38*VLOOKUP('Données projet'!$B$10,Paramètres!$A$1:$I$89,3,0)*0.475*44/12</f>
        <v>10.70360040018728</v>
      </c>
      <c r="AW38" s="21">
        <f>EXP(-LN(2)/2)*AW37+(1-EXP(-LN(2)/2))/(LN(2)/2)*AQ38*AT38*VLOOKUP('Données projet'!$B$10,Paramètres!$A$1:$I$89,3,0)*0.475*44/12</f>
        <v>3.2690622333290671</v>
      </c>
      <c r="AX38" s="21">
        <f t="shared" si="6"/>
        <v>15.912605856621234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18.055769230769229</v>
      </c>
      <c r="BD38" s="12">
        <f>IF('Données projet'!$A$88&gt;35,BD37+BC38-BL37,IF(A38&lt;'Données projet'!$A$88,$BA$205^A38,IF(A38='Données projet'!$A$88,'Données projet'!$B$88,BD37+BC38-BL37)))</f>
        <v>308.43653846153853</v>
      </c>
      <c r="BE38" s="13">
        <f>BD38*VLOOKUP('Données projet'!$B$11,Paramètres!$A$1:$I$89,3,0)*VLOOKUP('Données projet'!$B$11,Paramètres!$A$1:$I$89,5,0)</f>
        <v>184.44505000000007</v>
      </c>
      <c r="BF38" s="13">
        <f t="shared" si="37"/>
        <v>46.309719450497106</v>
      </c>
      <c r="BG38" s="20">
        <f t="shared" si="7"/>
        <v>401.89789012628256</v>
      </c>
      <c r="BH38" s="59">
        <f t="shared" si="8"/>
        <v>695.23122345961588</v>
      </c>
      <c r="BI38" s="59">
        <f ca="1">AVERAGE(OFFSET($BH$3,0,0,'Données projet'!$E$11+1,1))-AVERAGE(OFFSET($H$3,0,0,'Données projet'!$E$11+1,1))</f>
        <v>243.85350804244348</v>
      </c>
      <c r="BJ38" s="59">
        <f t="shared" si="38"/>
        <v>304.60992308960545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4.0991568957288145</v>
      </c>
      <c r="BQ38" s="21">
        <f>EXP(-LN(2)/25)*BQ37+(1-EXP(-LN(2)/25))/(LN(2)/25)*Calculateur!BL38*Calculateur!BN38*VLOOKUP('Données projet'!$B$11,Paramètres!$A$1:$I$89,3,0)*0.475*44/12</f>
        <v>15.433904541030044</v>
      </c>
      <c r="BR38" s="21">
        <f>EXP(-LN(2)/2)*BR37+(1-EXP(-LN(2)/2))/(LN(2)/2)*BL38*BO38*VLOOKUP('Données projet'!$B$11,Paramètres!$A$1:$I$89,3,0)*0.475*44/12</f>
        <v>0.66083133176131426</v>
      </c>
      <c r="BS38" s="22">
        <f t="shared" si="9"/>
        <v>20.193892768520172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16.131410256410259</v>
      </c>
      <c r="N39" s="13">
        <f>IF('Données projet'!$A$36&gt;35,N38+M39-V38,IF(A39&lt;'Données projet'!$A$36,$K$205^A39,IF(A39='Données projet'!$A$36,'Données projet'!$B$36,N38+M39-V38)))</f>
        <v>313.58076923076925</v>
      </c>
      <c r="O39" s="13">
        <f>N39*VLOOKUP('Données projet'!$B$9,Paramètres!$A$1:$I$89,3,0)*VLOOKUP('Données projet'!$B$9,Paramètres!$A$1:$I$89,5,0)</f>
        <v>146.75580000000002</v>
      </c>
      <c r="P39" s="13">
        <f t="shared" si="33"/>
        <v>37.840393952855997</v>
      </c>
      <c r="Q39" s="20">
        <f t="shared" si="53"/>
        <v>321.5050378012242</v>
      </c>
      <c r="R39" s="59">
        <f t="shared" si="0"/>
        <v>614.83837113455752</v>
      </c>
      <c r="S39" s="59">
        <f ca="1">AVERAGE(OFFSET($R$3,0,0,'Données projet'!$E$9+1,1))-AVERAGE(OFFSET($H$3,0,0,'Données projet'!$E$9+1,1))</f>
        <v>158.58786357608489</v>
      </c>
      <c r="T39" s="59">
        <f t="shared" si="34"/>
        <v>163.20074068819849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15.7</v>
      </c>
      <c r="AI39" s="13">
        <f>IF('Données projet'!$A$62&gt;35,AI38+AH39-AQ38,IF(A39&lt;'Données projet'!$A$62,$AF$205^A39,IF(A39='Données projet'!$A$62,'Données projet'!$B$62,AI38+AH39-AQ38)))</f>
        <v>234.2</v>
      </c>
      <c r="AJ39" s="13">
        <f>AI39*VLOOKUP('Données projet'!$B$10,Paramètres!$A$1:$I$89,3,0)*VLOOKUP('Données projet'!$B$10,Paramètres!$A$1:$I$89,5,0)</f>
        <v>140.05160000000001</v>
      </c>
      <c r="AK39" s="13">
        <f t="shared" si="35"/>
        <v>36.308826076884721</v>
      </c>
      <c r="AL39" s="20">
        <f t="shared" si="4"/>
        <v>307.16107541724091</v>
      </c>
      <c r="AM39" s="59">
        <f t="shared" si="5"/>
        <v>600.49440875057417</v>
      </c>
      <c r="AN39" s="59">
        <f ca="1">AVERAGE(OFFSET($AM$3,0,0,'Données projet'!$E$10+1,1))-AVERAGE(OFFSET($H$3,0,0,'Données projet'!$E$10+1,1))</f>
        <v>270.30888762640245</v>
      </c>
      <c r="AO39" s="59">
        <f t="shared" si="36"/>
        <v>202.23783851977691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1.901902119748329</v>
      </c>
      <c r="AV39" s="21">
        <f>EXP(-LN(2)/25)*AV38+(1-EXP(-LN(2)/25))/(LN(2)/25)*Calculateur!AQ39*Calculateur!AS39*VLOOKUP('Données projet'!$B$10,Paramètres!$A$1:$I$89,3,0)*0.475*44/12</f>
        <v>10.410909884366278</v>
      </c>
      <c r="AW39" s="21">
        <f>EXP(-LN(2)/2)*AW38+(1-EXP(-LN(2)/2))/(LN(2)/2)*AQ39*AT39*VLOOKUP('Données projet'!$B$10,Paramètres!$A$1:$I$89,3,0)*0.475*44/12</f>
        <v>2.311576073307823</v>
      </c>
      <c r="AX39" s="21">
        <f t="shared" si="6"/>
        <v>14.624388077422429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18.055769230769229</v>
      </c>
      <c r="BD39" s="12">
        <f>IF('Données projet'!$A$88&gt;35,BD38+BC39-BL38,IF(A39&lt;'Données projet'!$A$88,$BA$205^A39,IF(A39='Données projet'!$A$88,'Données projet'!$B$88,BD38+BC39-BL38)))</f>
        <v>326.49230769230775</v>
      </c>
      <c r="BE39" s="13">
        <f>BD39*VLOOKUP('Données projet'!$B$11,Paramètres!$A$1:$I$89,3,0)*VLOOKUP('Données projet'!$B$11,Paramètres!$A$1:$I$89,5,0)</f>
        <v>195.24240000000006</v>
      </c>
      <c r="BF39" s="13">
        <f t="shared" si="37"/>
        <v>48.697130705157392</v>
      </c>
      <c r="BG39" s="20">
        <f t="shared" si="7"/>
        <v>424.86134931148257</v>
      </c>
      <c r="BH39" s="59">
        <f t="shared" si="8"/>
        <v>718.19468264481588</v>
      </c>
      <c r="BI39" s="59">
        <f ca="1">AVERAGE(OFFSET($BH$3,0,0,'Données projet'!$E$11+1,1))-AVERAGE(OFFSET($H$3,0,0,'Données projet'!$E$11+1,1))</f>
        <v>243.85350804244348</v>
      </c>
      <c r="BJ39" s="59">
        <f t="shared" si="38"/>
        <v>304.60992308960545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4.0187749292424009</v>
      </c>
      <c r="BQ39" s="21">
        <f>EXP(-LN(2)/25)*BQ38+(1-EXP(-LN(2)/25))/(LN(2)/25)*Calculateur!BL39*Calculateur!BN39*VLOOKUP('Données projet'!$B$11,Paramètres!$A$1:$I$89,3,0)*0.475*44/12</f>
        <v>15.011863609721813</v>
      </c>
      <c r="BR39" s="21">
        <f>EXP(-LN(2)/2)*BR38+(1-EXP(-LN(2)/2))/(LN(2)/2)*BL39*BO39*VLOOKUP('Données projet'!$B$11,Paramètres!$A$1:$I$89,3,0)*0.475*44/12</f>
        <v>0.46727831590896246</v>
      </c>
      <c r="BS39" s="22">
        <f t="shared" si="9"/>
        <v>19.497916854873175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16.131410256410259</v>
      </c>
      <c r="N40" s="13">
        <f>IF('Données projet'!$A$36&gt;35,N39+M40-V39,IF(A40&lt;'Données projet'!$A$36,$K$205^A40,IF(A40='Données projet'!$A$36,'Données projet'!$B$36,N39+M40-V39)))</f>
        <v>329.71217948717953</v>
      </c>
      <c r="O40" s="13">
        <f>N40*VLOOKUP('Données projet'!$B$9,Paramètres!$A$1:$I$89,3,0)*VLOOKUP('Données projet'!$B$9,Paramètres!$A$1:$I$89,5,0)</f>
        <v>154.30530000000002</v>
      </c>
      <c r="P40" s="13">
        <f t="shared" si="33"/>
        <v>39.555363325024224</v>
      </c>
      <c r="Q40" s="20">
        <f t="shared" si="53"/>
        <v>337.64065529108387</v>
      </c>
      <c r="R40" s="59">
        <f t="shared" si="0"/>
        <v>630.97398862441719</v>
      </c>
      <c r="S40" s="59">
        <f ca="1">AVERAGE(OFFSET($R$3,0,0,'Données projet'!$E$9+1,1))-AVERAGE(OFFSET($H$3,0,0,'Données projet'!$E$9+1,1))</f>
        <v>158.58786357608489</v>
      </c>
      <c r="T40" s="59">
        <f t="shared" si="34"/>
        <v>163.20074068819849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15.7</v>
      </c>
      <c r="AI40" s="13">
        <f>IF('Données projet'!$A$62&gt;35,AI39+AH40-AQ39,IF(A40&lt;'Données projet'!$A$62,$AF$205^A40,IF(A40='Données projet'!$A$62,'Données projet'!$B$62,AI39+AH40-AQ39)))</f>
        <v>249.89999999999998</v>
      </c>
      <c r="AJ40" s="13">
        <f>AI40*VLOOKUP('Données projet'!$B$10,Paramètres!$A$1:$I$89,3,0)*VLOOKUP('Données projet'!$B$10,Paramètres!$A$1:$I$89,5,0)</f>
        <v>149.4402</v>
      </c>
      <c r="AK40" s="13">
        <f t="shared" si="35"/>
        <v>38.451341391894722</v>
      </c>
      <c r="AL40" s="20">
        <f t="shared" si="4"/>
        <v>327.24443459088332</v>
      </c>
      <c r="AM40" s="59">
        <f t="shared" si="5"/>
        <v>620.57776792421669</v>
      </c>
      <c r="AN40" s="59">
        <f ca="1">AVERAGE(OFFSET($AM$3,0,0,'Données projet'!$E$10+1,1))-AVERAGE(OFFSET($H$3,0,0,'Données projet'!$E$10+1,1))</f>
        <v>270.30888762640245</v>
      </c>
      <c r="AO40" s="59">
        <f t="shared" si="36"/>
        <v>202.23783851977691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1.8646069792258124</v>
      </c>
      <c r="AV40" s="21">
        <f>EXP(-LN(2)/25)*AV39+(1-EXP(-LN(2)/25))/(LN(2)/25)*Calculateur!AQ40*Calculateur!AS40*VLOOKUP('Données projet'!$B$10,Paramètres!$A$1:$I$89,3,0)*0.475*44/12</f>
        <v>10.126223006092326</v>
      </c>
      <c r="AW40" s="21">
        <f>EXP(-LN(2)/2)*AW39+(1-EXP(-LN(2)/2))/(LN(2)/2)*AQ40*AT40*VLOOKUP('Données projet'!$B$10,Paramètres!$A$1:$I$89,3,0)*0.475*44/12</f>
        <v>1.6345311166645335</v>
      </c>
      <c r="AX40" s="21">
        <f t="shared" si="6"/>
        <v>13.625361101982671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18.055769230769229</v>
      </c>
      <c r="BD40" s="12">
        <f>IF('Données projet'!$A$88&gt;35,BD39+BC40-BL39,IF(A40&lt;'Données projet'!$A$88,$BA$205^A40,IF(A40='Données projet'!$A$88,'Données projet'!$B$88,BD39+BC40-BL39)))</f>
        <v>344.54807692307696</v>
      </c>
      <c r="BE40" s="13">
        <f>BD40*VLOOKUP('Données projet'!$B$11,Paramètres!$A$1:$I$89,3,0)*VLOOKUP('Données projet'!$B$11,Paramètres!$A$1:$I$89,5,0)</f>
        <v>206.03975000000003</v>
      </c>
      <c r="BF40" s="13">
        <f t="shared" si="37"/>
        <v>51.069214862008621</v>
      </c>
      <c r="BG40" s="20">
        <f t="shared" si="7"/>
        <v>447.79811380133168</v>
      </c>
      <c r="BH40" s="59">
        <f t="shared" si="8"/>
        <v>741.131447134665</v>
      </c>
      <c r="BI40" s="59">
        <f ca="1">AVERAGE(OFFSET($BH$3,0,0,'Données projet'!$E$11+1,1))-AVERAGE(OFFSET($H$3,0,0,'Données projet'!$E$11+1,1))</f>
        <v>243.85350804244348</v>
      </c>
      <c r="BJ40" s="59">
        <f t="shared" si="38"/>
        <v>304.60992308960545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3.9399692040906271</v>
      </c>
      <c r="BQ40" s="21">
        <f>EXP(-LN(2)/25)*BQ39+(1-EXP(-LN(2)/25))/(LN(2)/25)*Calculateur!BL40*Calculateur!BN40*VLOOKUP('Données projet'!$B$11,Paramètres!$A$1:$I$89,3,0)*0.475*44/12</f>
        <v>14.601363409874372</v>
      </c>
      <c r="BR40" s="21">
        <f>EXP(-LN(2)/2)*BR39+(1-EXP(-LN(2)/2))/(LN(2)/2)*BL40*BO40*VLOOKUP('Données projet'!$B$11,Paramètres!$A$1:$I$89,3,0)*0.475*44/12</f>
        <v>0.33041566588065718</v>
      </c>
      <c r="BS40" s="22">
        <f t="shared" si="9"/>
        <v>18.871748279845658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16.131410256410259</v>
      </c>
      <c r="N41" s="13">
        <f>IF('Données projet'!$A$36&gt;35,N40+M41-V40,IF(A41&lt;'Données projet'!$A$36,$K$205^A41,IF(A41='Données projet'!$A$36,'Données projet'!$B$36,N40+M41-V40)))</f>
        <v>345.8435897435898</v>
      </c>
      <c r="O41" s="13">
        <f>N41*VLOOKUP('Données projet'!$B$9,Paramètres!$A$1:$I$89,3,0)*VLOOKUP('Données projet'!$B$9,Paramètres!$A$1:$I$89,5,0)</f>
        <v>161.85480000000001</v>
      </c>
      <c r="P41" s="13">
        <f t="shared" si="33"/>
        <v>41.260589676862445</v>
      </c>
      <c r="Q41" s="20">
        <f t="shared" si="53"/>
        <v>353.75930368720213</v>
      </c>
      <c r="R41" s="59">
        <f t="shared" si="0"/>
        <v>647.09263702053545</v>
      </c>
      <c r="S41" s="59">
        <f ca="1">AVERAGE(OFFSET($R$3,0,0,'Données projet'!$E$9+1,1))-AVERAGE(OFFSET($H$3,0,0,'Données projet'!$E$9+1,1))</f>
        <v>158.58786357608489</v>
      </c>
      <c r="T41" s="59">
        <f t="shared" si="34"/>
        <v>163.20074068819849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15.7</v>
      </c>
      <c r="AI41" s="13">
        <f>IF('Données projet'!$A$62&gt;35,AI40+AH41-AQ40,IF(A41&lt;'Données projet'!$A$62,$AF$205^A41,IF(A41='Données projet'!$A$62,'Données projet'!$B$62,AI40+AH41-AQ40)))</f>
        <v>265.59999999999997</v>
      </c>
      <c r="AJ41" s="13">
        <f>AI41*VLOOKUP('Données projet'!$B$10,Paramètres!$A$1:$I$89,3,0)*VLOOKUP('Données projet'!$B$10,Paramètres!$A$1:$I$89,5,0)</f>
        <v>158.8288</v>
      </c>
      <c r="AK41" s="13">
        <f t="shared" si="35"/>
        <v>40.578235128063156</v>
      </c>
      <c r="AL41" s="20">
        <f t="shared" si="4"/>
        <v>347.30058618137667</v>
      </c>
      <c r="AM41" s="59">
        <f t="shared" si="5"/>
        <v>640.63391951470999</v>
      </c>
      <c r="AN41" s="59">
        <f ca="1">AVERAGE(OFFSET($AM$3,0,0,'Données projet'!$E$10+1,1))-AVERAGE(OFFSET($H$3,0,0,'Données projet'!$E$10+1,1))</f>
        <v>270.30888762640245</v>
      </c>
      <c r="AO41" s="59">
        <f t="shared" si="36"/>
        <v>202.23783851977691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1.8280431736611527</v>
      </c>
      <c r="AV41" s="21">
        <f>EXP(-LN(2)/25)*AV40+(1-EXP(-LN(2)/25))/(LN(2)/25)*Calculateur!AQ41*Calculateur!AS41*VLOOKUP('Données projet'!$B$10,Paramètres!$A$1:$I$89,3,0)*0.475*44/12</f>
        <v>9.8493209054758069</v>
      </c>
      <c r="AW41" s="21">
        <f>EXP(-LN(2)/2)*AW40+(1-EXP(-LN(2)/2))/(LN(2)/2)*AQ41*AT41*VLOOKUP('Données projet'!$B$10,Paramètres!$A$1:$I$89,3,0)*0.475*44/12</f>
        <v>1.1557880366539115</v>
      </c>
      <c r="AX41" s="21">
        <f t="shared" si="6"/>
        <v>12.83315211579087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18.055769230769229</v>
      </c>
      <c r="BD41" s="12">
        <f>IF('Données projet'!$A$88&gt;35,BD40+BC41-BL40,IF(A41&lt;'Données projet'!$A$88,$BA$205^A41,IF(A41='Données projet'!$A$88,'Données projet'!$B$88,BD40+BC41-BL40)))</f>
        <v>362.60384615384618</v>
      </c>
      <c r="BE41" s="13">
        <f>BD41*VLOOKUP('Données projet'!$B$11,Paramètres!$A$1:$I$89,3,0)*VLOOKUP('Données projet'!$B$11,Paramètres!$A$1:$I$89,5,0)</f>
        <v>216.83710000000005</v>
      </c>
      <c r="BF41" s="13">
        <f t="shared" si="37"/>
        <v>53.426866729052094</v>
      </c>
      <c r="BG41" s="20">
        <f t="shared" si="7"/>
        <v>470.70974205309909</v>
      </c>
      <c r="BH41" s="59">
        <f t="shared" si="8"/>
        <v>764.04307538643241</v>
      </c>
      <c r="BI41" s="59">
        <f ca="1">AVERAGE(OFFSET($BH$3,0,0,'Données projet'!$E$11+1,1))-AVERAGE(OFFSET($H$3,0,0,'Données projet'!$E$11+1,1))</f>
        <v>243.85350804244348</v>
      </c>
      <c r="BJ41" s="59">
        <f t="shared" si="38"/>
        <v>304.60992308960545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3.8627088111423338</v>
      </c>
      <c r="BQ41" s="21">
        <f>EXP(-LN(2)/25)*BQ40+(1-EXP(-LN(2)/25))/(LN(2)/25)*Calculateur!BL41*Calculateur!BN41*VLOOKUP('Données projet'!$B$11,Paramètres!$A$1:$I$89,3,0)*0.475*44/12</f>
        <v>14.202088359579028</v>
      </c>
      <c r="BR41" s="21">
        <f>EXP(-LN(2)/2)*BR40+(1-EXP(-LN(2)/2))/(LN(2)/2)*BL41*BO41*VLOOKUP('Données projet'!$B$11,Paramètres!$A$1:$I$89,3,0)*0.475*44/12</f>
        <v>0.23363915795448126</v>
      </c>
      <c r="BS41" s="22">
        <f t="shared" si="9"/>
        <v>18.298436328675844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16.131410256410259</v>
      </c>
      <c r="N42" s="13">
        <f>IF('Données projet'!$A$36&gt;35,N41+M42-V41,IF(A42&lt;'Données projet'!$A$36,$K$205^A42,IF(A42='Données projet'!$A$36,'Données projet'!$B$36,N41+M42-V41)))</f>
        <v>361.97500000000008</v>
      </c>
      <c r="O42" s="13">
        <f>N42*VLOOKUP('Données projet'!$B$9,Paramètres!$A$1:$I$89,3,0)*VLOOKUP('Données projet'!$B$9,Paramètres!$A$1:$I$89,5,0)</f>
        <v>169.40430000000006</v>
      </c>
      <c r="P42" s="13">
        <f t="shared" si="33"/>
        <v>42.956579357099159</v>
      </c>
      <c r="Q42" s="20">
        <f t="shared" si="53"/>
        <v>369.86186488028119</v>
      </c>
      <c r="R42" s="59">
        <f t="shared" si="0"/>
        <v>663.1951982136145</v>
      </c>
      <c r="S42" s="59">
        <f ca="1">AVERAGE(OFFSET($R$3,0,0,'Données projet'!$E$9+1,1))-AVERAGE(OFFSET($H$3,0,0,'Données projet'!$E$9+1,1))</f>
        <v>158.58786357608489</v>
      </c>
      <c r="T42" s="59">
        <f t="shared" si="34"/>
        <v>163.20074068819849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15.7</v>
      </c>
      <c r="AI42" s="13">
        <f>IF('Données projet'!$A$62&gt;35,AI41+AH42-AQ41,IF(A42&lt;'Données projet'!$A$62,$AF$205^A42,IF(A42='Données projet'!$A$62,'Données projet'!$B$62,AI41+AH42-AQ41)))</f>
        <v>281.29999999999995</v>
      </c>
      <c r="AJ42" s="13">
        <f>AI42*VLOOKUP('Données projet'!$B$10,Paramètres!$A$1:$I$89,3,0)*VLOOKUP('Données projet'!$B$10,Paramètres!$A$1:$I$89,5,0)</f>
        <v>168.2174</v>
      </c>
      <c r="AK42" s="13">
        <f t="shared" si="35"/>
        <v>42.690535879167591</v>
      </c>
      <c r="AL42" s="20">
        <f t="shared" si="4"/>
        <v>367.33132165621686</v>
      </c>
      <c r="AM42" s="59">
        <f t="shared" si="5"/>
        <v>660.66465498955017</v>
      </c>
      <c r="AN42" s="59">
        <f ca="1">AVERAGE(OFFSET($AM$3,0,0,'Données projet'!$E$10+1,1))-AVERAGE(OFFSET($H$3,0,0,'Données projet'!$E$10+1,1))</f>
        <v>270.30888762640245</v>
      </c>
      <c r="AO42" s="59">
        <f t="shared" si="36"/>
        <v>202.23783851977691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1.7921963620218966</v>
      </c>
      <c r="AV42" s="21">
        <f>EXP(-LN(2)/25)*AV41+(1-EXP(-LN(2)/25))/(LN(2)/25)*Calculateur!AQ42*Calculateur!AS42*VLOOKUP('Données projet'!$B$10,Paramètres!$A$1:$I$89,3,0)*0.475*44/12</f>
        <v>9.5799907073622954</v>
      </c>
      <c r="AW42" s="21">
        <f>EXP(-LN(2)/2)*AW41+(1-EXP(-LN(2)/2))/(LN(2)/2)*AQ42*AT42*VLOOKUP('Données projet'!$B$10,Paramètres!$A$1:$I$89,3,0)*0.475*44/12</f>
        <v>0.81726555833226677</v>
      </c>
      <c r="AX42" s="21">
        <f t="shared" si="6"/>
        <v>12.189452627716459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18.055769230769229</v>
      </c>
      <c r="BD42" s="12">
        <f>IF('Données projet'!$A$88&gt;35,BD41+BC42-BL41,IF(A42&lt;'Données projet'!$A$88,$BA$205^A42,IF(A42='Données projet'!$A$88,'Données projet'!$B$88,BD41+BC42-BL41)))</f>
        <v>380.65961538461539</v>
      </c>
      <c r="BE42" s="13">
        <f>BD42*VLOOKUP('Données projet'!$B$11,Paramètres!$A$1:$I$89,3,0)*VLOOKUP('Données projet'!$B$11,Paramètres!$A$1:$I$89,5,0)</f>
        <v>227.63445000000002</v>
      </c>
      <c r="BF42" s="13">
        <f t="shared" si="37"/>
        <v>55.770886966725193</v>
      </c>
      <c r="BG42" s="20">
        <f t="shared" si="7"/>
        <v>493.59762855037974</v>
      </c>
      <c r="BH42" s="59">
        <f t="shared" si="8"/>
        <v>786.93096188371305</v>
      </c>
      <c r="BI42" s="59">
        <f ca="1">AVERAGE(OFFSET($BH$3,0,0,'Données projet'!$E$11+1,1))-AVERAGE(OFFSET($H$3,0,0,'Données projet'!$E$11+1,1))</f>
        <v>243.85350804244348</v>
      </c>
      <c r="BJ42" s="59">
        <f t="shared" si="38"/>
        <v>304.60992308960545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3.78696344737557</v>
      </c>
      <c r="BQ42" s="21">
        <f>EXP(-LN(2)/25)*BQ41+(1-EXP(-LN(2)/25))/(LN(2)/25)*Calculateur!BL42*Calculateur!BN42*VLOOKUP('Données projet'!$B$11,Paramètres!$A$1:$I$89,3,0)*0.475*44/12</f>
        <v>13.813731506530972</v>
      </c>
      <c r="BR42" s="21">
        <f>EXP(-LN(2)/2)*BR41+(1-EXP(-LN(2)/2))/(LN(2)/2)*BL42*BO42*VLOOKUP('Données projet'!$B$11,Paramètres!$A$1:$I$89,3,0)*0.475*44/12</f>
        <v>0.16520783294032859</v>
      </c>
      <c r="BS42" s="22">
        <f t="shared" si="9"/>
        <v>17.765902786846873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16.131410256410259</v>
      </c>
      <c r="N43" s="13">
        <f>IF('Données projet'!$A$36&gt;35,N42+M43-V42,IF(A43&lt;'Données projet'!$A$36,$K$205^A43,IF(A43='Données projet'!$A$36,'Données projet'!$B$36,N42+M43-V42)))</f>
        <v>378.10641025641036</v>
      </c>
      <c r="O43" s="13">
        <f>N43*VLOOKUP('Données projet'!$B$9,Paramètres!$A$1:$I$89,3,0)*VLOOKUP('Données projet'!$B$9,Paramètres!$A$1:$I$89,5,0)</f>
        <v>176.95380000000006</v>
      </c>
      <c r="P43" s="13">
        <f t="shared" si="33"/>
        <v>44.643791032081154</v>
      </c>
      <c r="Q43" s="20">
        <f t="shared" si="53"/>
        <v>385.94913771420806</v>
      </c>
      <c r="R43" s="59">
        <f t="shared" si="0"/>
        <v>679.28247104754132</v>
      </c>
      <c r="S43" s="59">
        <f ca="1">AVERAGE(OFFSET($R$3,0,0,'Données projet'!$E$9+1,1))-AVERAGE(OFFSET($H$3,0,0,'Données projet'!$E$9+1,1))</f>
        <v>158.58786357608489</v>
      </c>
      <c r="T43" s="59">
        <f t="shared" si="34"/>
        <v>163.20074068819849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297</v>
      </c>
      <c r="AG43" s="12">
        <f>VLOOKUP(A43,'Données projet'!$A$61:$I$81,9,0)</f>
        <v>15.7</v>
      </c>
      <c r="AH43" s="12">
        <f t="array" ref="AH43">INDEX(AG:AG,MIN(IF(ISNUMBER(AG43:AG239),ROW(AG43:AG239),"")))</f>
        <v>15.7</v>
      </c>
      <c r="AI43" s="13">
        <f>IF('Données projet'!$A$62&gt;35,AI42+AH43-AQ42,IF(A43&lt;'Données projet'!$A$62,$AF$205^A43,IF(A43='Données projet'!$A$62,'Données projet'!$B$62,AI42+AH43-AQ42)))</f>
        <v>296.99999999999994</v>
      </c>
      <c r="AJ43" s="13">
        <f>AI43*VLOOKUP('Données projet'!$B$10,Paramètres!$A$1:$I$89,3,0)*VLOOKUP('Données projet'!$B$10,Paramètres!$A$1:$I$89,5,0)</f>
        <v>177.60599999999997</v>
      </c>
      <c r="AK43" s="13">
        <f t="shared" si="35"/>
        <v>44.789150937858665</v>
      </c>
      <c r="AL43" s="20">
        <f t="shared" si="4"/>
        <v>387.33822121677048</v>
      </c>
      <c r="AM43" s="59">
        <f t="shared" si="5"/>
        <v>680.67155455010379</v>
      </c>
      <c r="AN43" s="59">
        <f ca="1">AVERAGE(OFFSET($AM$3,0,0,'Données projet'!$E$10+1,1))-AVERAGE(OFFSET($H$3,0,0,'Données projet'!$E$10+1,1))</f>
        <v>270.30888762640245</v>
      </c>
      <c r="AO43" s="59">
        <f t="shared" si="36"/>
        <v>202.23783851977691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79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1.7570524844944901</v>
      </c>
      <c r="AV43" s="21">
        <f>EXP(-LN(2)/25)*AV42+(1-EXP(-LN(2)/25))/(LN(2)/25)*Calculateur!AQ43*Calculateur!AS43*VLOOKUP('Données projet'!$B$10,Paramètres!$A$1:$I$89,3,0)*0.475*44/12</f>
        <v>9.318025357679657</v>
      </c>
      <c r="AW43" s="21">
        <f>EXP(-LN(2)/2)*AW42+(1-EXP(-LN(2)/2))/(LN(2)/2)*AQ43*AT43*VLOOKUP('Données projet'!$B$10,Paramètres!$A$1:$I$89,3,0)*0.475*44/12</f>
        <v>0.57789401832695575</v>
      </c>
      <c r="AX43" s="21">
        <f t="shared" si="6"/>
        <v>11.652971860501104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398.71538461538461</v>
      </c>
      <c r="BB43" s="12">
        <f>VLOOKUP(A43,'Données projet'!$A$87:$I$107,9,0)</f>
        <v>18.055769230769229</v>
      </c>
      <c r="BC43" s="12">
        <f t="array" ref="BC43">INDEX(BB:BB,MIN(IF(ISNUMBER(BB43:BB239),ROW(BB43:BB239),"")))</f>
        <v>18.055769230769229</v>
      </c>
      <c r="BD43" s="12">
        <f>IF('Données projet'!$A$88&gt;35,BD42+BC43-BL42,IF(A43&lt;'Données projet'!$A$88,$BA$205^A43,IF(A43='Données projet'!$A$88,'Données projet'!$B$88,BD42+BC43-BL42)))</f>
        <v>398.71538461538461</v>
      </c>
      <c r="BE43" s="13">
        <f>BD43*VLOOKUP('Données projet'!$B$11,Paramètres!$A$1:$I$89,3,0)*VLOOKUP('Données projet'!$B$11,Paramètres!$A$1:$I$89,5,0)</f>
        <v>238.43180000000001</v>
      </c>
      <c r="BF43" s="13">
        <f t="shared" si="37"/>
        <v>58.101995988242535</v>
      </c>
      <c r="BG43" s="20">
        <f t="shared" si="7"/>
        <v>516.46302801285583</v>
      </c>
      <c r="BH43" s="59">
        <f t="shared" si="8"/>
        <v>809.79636134618909</v>
      </c>
      <c r="BI43" s="59">
        <f ca="1">AVERAGE(OFFSET($BH$3,0,0,'Données projet'!$E$11+1,1))-AVERAGE(OFFSET($H$3,0,0,'Données projet'!$E$11+1,1))</f>
        <v>243.85350804244348</v>
      </c>
      <c r="BJ43" s="59">
        <f t="shared" si="38"/>
        <v>304.60992308960545</v>
      </c>
      <c r="BK43" s="15">
        <f>IF(ISNA(VLOOKUP(A43,'Données projet'!$A$87:$I$107,3,0)),0,VLOOKUP(A43,'Données projet'!$A$87:$I$107,3,0))</f>
        <v>5</v>
      </c>
      <c r="BL43" s="15">
        <f>IF(ISNA(VLOOKUP(A43,'Données projet'!$A$87:$I$107,4,0)),0,VLOOKUP(A43,'Données projet'!$A$87:$I$107,4,0))</f>
        <v>92.661538461538456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3.7127034039921623</v>
      </c>
      <c r="BQ43" s="21">
        <f>EXP(-LN(2)/25)*BQ42+(1-EXP(-LN(2)/25))/(LN(2)/25)*Calculateur!BL43*Calculateur!BN43*VLOOKUP('Données projet'!$B$11,Paramètres!$A$1:$I$89,3,0)*0.475*44/12</f>
        <v>13.435994292052316</v>
      </c>
      <c r="BR43" s="21">
        <f>EXP(-LN(2)/2)*BR42+(1-EXP(-LN(2)/2))/(LN(2)/2)*BL43*BO43*VLOOKUP('Données projet'!$B$11,Paramètres!$A$1:$I$89,3,0)*0.475*44/12</f>
        <v>0.11681957897724063</v>
      </c>
      <c r="BS43" s="22">
        <f t="shared" si="9"/>
        <v>17.265517275021718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16.131410256410259</v>
      </c>
      <c r="N44" s="13">
        <f>IF('Données projet'!$A$36&gt;35,N43+M44-V43,IF(A44&lt;'Données projet'!$A$36,$K$205^A44,IF(A44='Données projet'!$A$36,'Données projet'!$B$36,N43+M44-V43)))</f>
        <v>394.23782051282063</v>
      </c>
      <c r="O44" s="13">
        <f>N44*VLOOKUP('Données projet'!$B$9,Paramètres!$A$1:$I$89,3,0)*VLOOKUP('Données projet'!$B$9,Paramètres!$A$1:$I$89,5,0)</f>
        <v>184.50330000000005</v>
      </c>
      <c r="P44" s="13">
        <f t="shared" si="33"/>
        <v>46.32264201774467</v>
      </c>
      <c r="Q44" s="20">
        <f t="shared" si="53"/>
        <v>402.02184901423874</v>
      </c>
      <c r="R44" s="59">
        <f t="shared" si="0"/>
        <v>695.35518234757205</v>
      </c>
      <c r="S44" s="59">
        <f ca="1">AVERAGE(OFFSET($R$3,0,0,'Données projet'!$E$9+1,1))-AVERAGE(OFFSET($H$3,0,0,'Données projet'!$E$9+1,1))</f>
        <v>158.58786357608489</v>
      </c>
      <c r="T44" s="59">
        <f t="shared" si="34"/>
        <v>163.20074068819849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16.2</v>
      </c>
      <c r="AI44" s="13">
        <f>IF('Données projet'!$A$62&gt;35,AI43+AH44-AQ43,IF(A44&lt;'Données projet'!$A$62,$AF$205^A44,IF(A44='Données projet'!$A$62,'Données projet'!$B$62,AI43+AH44-AQ43)))</f>
        <v>234.19999999999993</v>
      </c>
      <c r="AJ44" s="13">
        <f>AI44*VLOOKUP('Données projet'!$B$10,Paramètres!$A$1:$I$89,3,0)*VLOOKUP('Données projet'!$B$10,Paramètres!$A$1:$I$89,5,0)</f>
        <v>140.05159999999998</v>
      </c>
      <c r="AK44" s="13">
        <f t="shared" si="35"/>
        <v>36.308826076884692</v>
      </c>
      <c r="AL44" s="20">
        <f t="shared" si="4"/>
        <v>307.1610754172408</v>
      </c>
      <c r="AM44" s="59">
        <f t="shared" si="5"/>
        <v>600.49440875057417</v>
      </c>
      <c r="AN44" s="59">
        <f ca="1">AVERAGE(OFFSET($AM$3,0,0,'Données projet'!$E$10+1,1))-AVERAGE(OFFSET($H$3,0,0,'Données projet'!$E$10+1,1))</f>
        <v>270.30888762640245</v>
      </c>
      <c r="AO44" s="59">
        <f t="shared" si="36"/>
        <v>202.23783851977691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1.7225977569697475</v>
      </c>
      <c r="AV44" s="21">
        <f>EXP(-LN(2)/25)*AV43+(1-EXP(-LN(2)/25))/(LN(2)/25)*Calculateur!AQ44*Calculateur!AS44*VLOOKUP('Données projet'!$B$10,Paramètres!$A$1:$I$89,3,0)*0.475*44/12</f>
        <v>9.0632234642602505</v>
      </c>
      <c r="AW44" s="21">
        <f>EXP(-LN(2)/2)*AW43+(1-EXP(-LN(2)/2))/(LN(2)/2)*AQ44*AT44*VLOOKUP('Données projet'!$B$10,Paramètres!$A$1:$I$89,3,0)*0.475*44/12</f>
        <v>0.40863277916613339</v>
      </c>
      <c r="AX44" s="21">
        <f t="shared" si="6"/>
        <v>11.194454000396131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15.21153846153846</v>
      </c>
      <c r="BD44" s="12">
        <f>IF('Données projet'!$A$88&gt;35,BD43+BC44-BL43,IF(A44&lt;'Données projet'!$A$88,$BA$205^A44,IF(A44='Données projet'!$A$88,'Données projet'!$B$88,BD43+BC44-BL43)))</f>
        <v>321.26538461538462</v>
      </c>
      <c r="BE44" s="13">
        <f>BD44*VLOOKUP('Données projet'!$B$11,Paramètres!$A$1:$I$89,3,0)*VLOOKUP('Données projet'!$B$11,Paramètres!$A$1:$I$89,5,0)</f>
        <v>192.11670000000004</v>
      </c>
      <c r="BF44" s="13">
        <f t="shared" si="37"/>
        <v>48.007622995174927</v>
      </c>
      <c r="BG44" s="20">
        <f t="shared" si="7"/>
        <v>418.21652921659637</v>
      </c>
      <c r="BH44" s="59">
        <f t="shared" si="8"/>
        <v>711.54986254992968</v>
      </c>
      <c r="BI44" s="59">
        <f ca="1">AVERAGE(OFFSET($BH$3,0,0,'Données projet'!$E$11+1,1))-AVERAGE(OFFSET($H$3,0,0,'Données projet'!$E$11+1,1))</f>
        <v>243.85350804244348</v>
      </c>
      <c r="BJ44" s="59">
        <f t="shared" si="38"/>
        <v>304.60992308960545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3.639899554765349</v>
      </c>
      <c r="BQ44" s="21">
        <f>EXP(-LN(2)/25)*BQ43+(1-EXP(-LN(2)/25))/(LN(2)/25)*Calculateur!BL44*Calculateur!BN44*VLOOKUP('Données projet'!$B$11,Paramètres!$A$1:$I$89,3,0)*0.475*44/12</f>
        <v>13.068586321567913</v>
      </c>
      <c r="BR44" s="21">
        <f>EXP(-LN(2)/2)*BR43+(1-EXP(-LN(2)/2))/(LN(2)/2)*BL44*BO44*VLOOKUP('Données projet'!$B$11,Paramètres!$A$1:$I$89,3,0)*0.475*44/12</f>
        <v>8.2603916470164296E-2</v>
      </c>
      <c r="BS44" s="22">
        <f t="shared" si="9"/>
        <v>16.791089792803426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410.3692307692308</v>
      </c>
      <c r="L45" s="12">
        <f>VLOOKUP(A45,'Données projet'!$A$35:$I$55,9,0)</f>
        <v>16.131410256410259</v>
      </c>
      <c r="M45" s="12">
        <f t="array" ref="M45">INDEX(L:L,MIN(IF(ISNUMBER(L45:L241),ROW(L45:L241),"")))</f>
        <v>16.131410256410259</v>
      </c>
      <c r="N45" s="13">
        <f>IF('Données projet'!$A$36&gt;35,N44+M45-V44,IF(A45&lt;'Données projet'!$A$36,$K$205^A45,IF(A45='Données projet'!$A$36,'Données projet'!$B$36,N44+M45-V44)))</f>
        <v>410.36923076923091</v>
      </c>
      <c r="O45" s="13">
        <f>N45*VLOOKUP('Données projet'!$B$9,Paramètres!$A$1:$I$89,3,0)*VLOOKUP('Données projet'!$B$9,Paramètres!$A$1:$I$89,5,0)</f>
        <v>192.05280000000008</v>
      </c>
      <c r="P45" s="13">
        <f t="shared" si="33"/>
        <v>47.993513546032311</v>
      </c>
      <c r="Q45" s="20">
        <f t="shared" si="53"/>
        <v>418.08066275933976</v>
      </c>
      <c r="R45" s="59">
        <f t="shared" si="0"/>
        <v>711.41399609267307</v>
      </c>
      <c r="S45" s="59">
        <f ca="1">AVERAGE(OFFSET($R$3,0,0,'Données projet'!$E$9+1,1))-AVERAGE(OFFSET($H$3,0,0,'Données projet'!$E$9+1,1))</f>
        <v>158.58786357608489</v>
      </c>
      <c r="T45" s="59">
        <f t="shared" si="34"/>
        <v>163.20074068819849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179.84615384615384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16.2</v>
      </c>
      <c r="AI45" s="13">
        <f>IF('Données projet'!$A$62&gt;35,AI44+AH45-AQ44,IF(A45&lt;'Données projet'!$A$62,$AF$205^A45,IF(A45='Données projet'!$A$62,'Données projet'!$B$62,AI44+AH45-AQ44)))</f>
        <v>250.39999999999992</v>
      </c>
      <c r="AJ45" s="13">
        <f>AI45*VLOOKUP('Données projet'!$B$10,Paramètres!$A$1:$I$89,3,0)*VLOOKUP('Données projet'!$B$10,Paramètres!$A$1:$I$89,5,0)</f>
        <v>149.73919999999995</v>
      </c>
      <c r="AK45" s="13">
        <f t="shared" si="35"/>
        <v>38.51931188379853</v>
      </c>
      <c r="AL45" s="20">
        <f t="shared" si="4"/>
        <v>327.88357486428237</v>
      </c>
      <c r="AM45" s="59">
        <f t="shared" si="5"/>
        <v>621.21690819761568</v>
      </c>
      <c r="AN45" s="59">
        <f ca="1">AVERAGE(OFFSET($AM$3,0,0,'Données projet'!$E$10+1,1))-AVERAGE(OFFSET($H$3,0,0,'Données projet'!$E$10+1,1))</f>
        <v>270.30888762640245</v>
      </c>
      <c r="AO45" s="59">
        <f t="shared" si="36"/>
        <v>202.23783851977691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1.6888186656364563</v>
      </c>
      <c r="AV45" s="21">
        <f>EXP(-LN(2)/25)*AV44+(1-EXP(-LN(2)/25))/(LN(2)/25)*Calculateur!AQ45*Calculateur!AS45*VLOOKUP('Données projet'!$B$10,Paramètres!$A$1:$I$89,3,0)*0.475*44/12</f>
        <v>8.8153891420158459</v>
      </c>
      <c r="AW45" s="21">
        <f>EXP(-LN(2)/2)*AW44+(1-EXP(-LN(2)/2))/(LN(2)/2)*AQ45*AT45*VLOOKUP('Données projet'!$B$10,Paramètres!$A$1:$I$89,3,0)*0.475*44/12</f>
        <v>0.28894700916347787</v>
      </c>
      <c r="AX45" s="21">
        <f t="shared" si="6"/>
        <v>10.793154816815779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15.21153846153846</v>
      </c>
      <c r="BD45" s="12">
        <f>IF('Données projet'!$A$88&gt;35,BD44+BC45-BL44,IF(A45&lt;'Données projet'!$A$88,$BA$205^A45,IF(A45='Données projet'!$A$88,'Données projet'!$B$88,BD44+BC45-BL44)))</f>
        <v>336.47692307692307</v>
      </c>
      <c r="BE45" s="13">
        <f>BD45*VLOOKUP('Données projet'!$B$11,Paramètres!$A$1:$I$89,3,0)*VLOOKUP('Données projet'!$B$11,Paramètres!$A$1:$I$89,5,0)</f>
        <v>201.21320000000003</v>
      </c>
      <c r="BF45" s="13">
        <f t="shared" si="37"/>
        <v>50.010698447793764</v>
      </c>
      <c r="BG45" s="20">
        <f t="shared" si="7"/>
        <v>437.54828979657418</v>
      </c>
      <c r="BH45" s="59">
        <f t="shared" si="8"/>
        <v>730.88162312990744</v>
      </c>
      <c r="BI45" s="59">
        <f ca="1">AVERAGE(OFFSET($BH$3,0,0,'Données projet'!$E$11+1,1))-AVERAGE(OFFSET($H$3,0,0,'Données projet'!$E$11+1,1))</f>
        <v>243.85350804244348</v>
      </c>
      <c r="BJ45" s="59">
        <f t="shared" si="38"/>
        <v>304.60992308960545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3.5685233446159104</v>
      </c>
      <c r="BQ45" s="21">
        <f>EXP(-LN(2)/25)*BQ44+(1-EXP(-LN(2)/25))/(LN(2)/25)*Calculateur!BL45*Calculateur!BN45*VLOOKUP('Données projet'!$B$11,Paramètres!$A$1:$I$89,3,0)*0.475*44/12</f>
        <v>12.711225141357552</v>
      </c>
      <c r="BR45" s="21">
        <f>EXP(-LN(2)/2)*BR44+(1-EXP(-LN(2)/2))/(LN(2)/2)*BL45*BO45*VLOOKUP('Données projet'!$B$11,Paramètres!$A$1:$I$89,3,0)*0.475*44/12</f>
        <v>5.8409789488620315E-2</v>
      </c>
      <c r="BS45" s="22">
        <f t="shared" si="9"/>
        <v>16.338158275462085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15.618681318681309</v>
      </c>
      <c r="N46" s="13">
        <f>IF('Données projet'!$A$36&gt;35,N45+M46-V45,IF(A46&lt;'Données projet'!$A$36,$K$205^A46,IF(A46='Données projet'!$A$36,'Données projet'!$B$36,N45+M46-V45)))</f>
        <v>246.14175824175837</v>
      </c>
      <c r="O46" s="13">
        <f>N46*VLOOKUP('Données projet'!$B$9,Paramètres!$A$1:$I$89,3,0)*VLOOKUP('Données projet'!$B$9,Paramètres!$A$1:$I$89,5,0)</f>
        <v>115.19434285714291</v>
      </c>
      <c r="P46" s="13">
        <f t="shared" si="33"/>
        <v>30.5515065129288</v>
      </c>
      <c r="Q46" s="20">
        <f t="shared" si="53"/>
        <v>253.84068765287489</v>
      </c>
      <c r="R46" s="59">
        <f t="shared" si="0"/>
        <v>547.17402098620823</v>
      </c>
      <c r="S46" s="59">
        <f ca="1">AVERAGE(OFFSET($R$3,0,0,'Données projet'!$E$9+1,1))-AVERAGE(OFFSET($H$3,0,0,'Données projet'!$E$9+1,1))</f>
        <v>158.58786357608489</v>
      </c>
      <c r="T46" s="59">
        <f t="shared" si="34"/>
        <v>163.20074068819849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16.2</v>
      </c>
      <c r="AI46" s="13">
        <f>IF('Données projet'!$A$62&gt;35,AI45+AH46-AQ45,IF(A46&lt;'Données projet'!$A$62,$AF$205^A46,IF(A46='Données projet'!$A$62,'Données projet'!$B$62,AI45+AH46-AQ45)))</f>
        <v>266.59999999999991</v>
      </c>
      <c r="AJ46" s="13">
        <f>AI46*VLOOKUP('Données projet'!$B$10,Paramètres!$A$1:$I$89,3,0)*VLOOKUP('Données projet'!$B$10,Paramètres!$A$1:$I$89,5,0)</f>
        <v>159.42679999999996</v>
      </c>
      <c r="AK46" s="13">
        <f t="shared" si="35"/>
        <v>40.713201554193425</v>
      </c>
      <c r="AL46" s="20">
        <f t="shared" si="4"/>
        <v>348.57716937355349</v>
      </c>
      <c r="AM46" s="59">
        <f t="shared" si="5"/>
        <v>641.91050270688675</v>
      </c>
      <c r="AN46" s="59">
        <f ca="1">AVERAGE(OFFSET($AM$3,0,0,'Données projet'!$E$10+1,1))-AVERAGE(OFFSET($H$3,0,0,'Données projet'!$E$10+1,1))</f>
        <v>270.30888762640245</v>
      </c>
      <c r="AO46" s="59">
        <f t="shared" si="36"/>
        <v>202.23783851977691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1.6557019616809998</v>
      </c>
      <c r="AV46" s="21">
        <f>EXP(-LN(2)/25)*AV45+(1-EXP(-LN(2)/25))/(LN(2)/25)*Calculateur!AQ46*Calculateur!AS46*VLOOKUP('Données projet'!$B$10,Paramètres!$A$1:$I$89,3,0)*0.475*44/12</f>
        <v>8.5743318623462557</v>
      </c>
      <c r="AW46" s="21">
        <f>EXP(-LN(2)/2)*AW45+(1-EXP(-LN(2)/2))/(LN(2)/2)*AQ46*AT46*VLOOKUP('Données projet'!$B$10,Paramètres!$A$1:$I$89,3,0)*0.475*44/12</f>
        <v>0.20431638958306669</v>
      </c>
      <c r="AX46" s="21">
        <f t="shared" si="6"/>
        <v>10.434350213610323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15.21153846153846</v>
      </c>
      <c r="BD46" s="12">
        <f>IF('Données projet'!$A$88&gt;35,BD45+BC46-BL45,IF(A46&lt;'Données projet'!$A$88,$BA$205^A46,IF(A46='Données projet'!$A$88,'Données projet'!$B$88,BD45+BC46-BL45)))</f>
        <v>351.68846153846152</v>
      </c>
      <c r="BE46" s="13">
        <f>BD46*VLOOKUP('Données projet'!$B$11,Paramètres!$A$1:$I$89,3,0)*VLOOKUP('Données projet'!$B$11,Paramètres!$A$1:$I$89,5,0)</f>
        <v>210.30970000000002</v>
      </c>
      <c r="BF46" s="13">
        <f t="shared" si="37"/>
        <v>52.003257134609832</v>
      </c>
      <c r="BG46" s="20">
        <f t="shared" si="7"/>
        <v>456.86173367611218</v>
      </c>
      <c r="BH46" s="59">
        <f t="shared" si="8"/>
        <v>750.19506700944544</v>
      </c>
      <c r="BI46" s="59">
        <f ca="1">AVERAGE(OFFSET($BH$3,0,0,'Données projet'!$E$11+1,1))-AVERAGE(OFFSET($H$3,0,0,'Données projet'!$E$11+1,1))</f>
        <v>243.85350804244348</v>
      </c>
      <c r="BJ46" s="59">
        <f t="shared" si="38"/>
        <v>304.60992308960545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3.4985467784123125</v>
      </c>
      <c r="BQ46" s="21">
        <f>EXP(-LN(2)/25)*BQ45+(1-EXP(-LN(2)/25))/(LN(2)/25)*Calculateur!BL46*Calculateur!BN46*VLOOKUP('Données projet'!$B$11,Paramètres!$A$1:$I$89,3,0)*0.475*44/12</f>
        <v>12.363636021412852</v>
      </c>
      <c r="BR46" s="21">
        <f>EXP(-LN(2)/2)*BR45+(1-EXP(-LN(2)/2))/(LN(2)/2)*BL46*BO46*VLOOKUP('Données projet'!$B$11,Paramètres!$A$1:$I$89,3,0)*0.475*44/12</f>
        <v>4.1301958235082148E-2</v>
      </c>
      <c r="BS46" s="22">
        <f t="shared" si="9"/>
        <v>15.903484758060245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15.618681318681309</v>
      </c>
      <c r="N47" s="13">
        <f>IF('Données projet'!$A$36&gt;35,N46+M47-V46,IF(A47&lt;'Données projet'!$A$36,$K$205^A47,IF(A47='Données projet'!$A$36,'Données projet'!$B$36,N46+M47-V46)))</f>
        <v>261.76043956043969</v>
      </c>
      <c r="O47" s="13">
        <f>N47*VLOOKUP('Données projet'!$B$9,Paramètres!$A$1:$I$89,3,0)*VLOOKUP('Données projet'!$B$9,Paramètres!$A$1:$I$89,5,0)</f>
        <v>122.50388571428577</v>
      </c>
      <c r="P47" s="13">
        <f t="shared" si="33"/>
        <v>32.258285776503719</v>
      </c>
      <c r="Q47" s="20">
        <f t="shared" si="53"/>
        <v>269.54411534645834</v>
      </c>
      <c r="R47" s="59">
        <f t="shared" si="0"/>
        <v>562.87744867979166</v>
      </c>
      <c r="S47" s="59">
        <f ca="1">AVERAGE(OFFSET($R$3,0,0,'Données projet'!$E$9+1,1))-AVERAGE(OFFSET($H$3,0,0,'Données projet'!$E$9+1,1))</f>
        <v>158.58786357608489</v>
      </c>
      <c r="T47" s="59">
        <f t="shared" si="34"/>
        <v>163.20074068819849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16.2</v>
      </c>
      <c r="AI47" s="13">
        <f>IF('Données projet'!$A$62&gt;35,AI46+AH47-AQ46,IF(A47&lt;'Données projet'!$A$62,$AF$205^A47,IF(A47='Données projet'!$A$62,'Données projet'!$B$62,AI46+AH47-AQ46)))</f>
        <v>282.7999999999999</v>
      </c>
      <c r="AJ47" s="13">
        <f>AI47*VLOOKUP('Données projet'!$B$10,Paramètres!$A$1:$I$89,3,0)*VLOOKUP('Données projet'!$B$10,Paramètres!$A$1:$I$89,5,0)</f>
        <v>169.11439999999996</v>
      </c>
      <c r="AK47" s="13">
        <f t="shared" si="35"/>
        <v>42.891618392708978</v>
      </c>
      <c r="AL47" s="20">
        <f t="shared" si="4"/>
        <v>369.24381536730135</v>
      </c>
      <c r="AM47" s="59">
        <f t="shared" si="5"/>
        <v>662.57714870063467</v>
      </c>
      <c r="AN47" s="59">
        <f ca="1">AVERAGE(OFFSET($AM$3,0,0,'Données projet'!$E$10+1,1))-AVERAGE(OFFSET($H$3,0,0,'Données projet'!$E$10+1,1))</f>
        <v>270.30888762640245</v>
      </c>
      <c r="AO47" s="59">
        <f t="shared" si="36"/>
        <v>202.23783851977691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1.6232346560909148</v>
      </c>
      <c r="AV47" s="21">
        <f>EXP(-LN(2)/25)*AV46+(1-EXP(-LN(2)/25))/(LN(2)/25)*Calculateur!AQ47*Calculateur!AS47*VLOOKUP('Données projet'!$B$10,Paramètres!$A$1:$I$89,3,0)*0.475*44/12</f>
        <v>8.3398663066658809</v>
      </c>
      <c r="AW47" s="21">
        <f>EXP(-LN(2)/2)*AW46+(1-EXP(-LN(2)/2))/(LN(2)/2)*AQ47*AT47*VLOOKUP('Données projet'!$B$10,Paramètres!$A$1:$I$89,3,0)*0.475*44/12</f>
        <v>0.14447350458173894</v>
      </c>
      <c r="AX47" s="21">
        <f t="shared" si="6"/>
        <v>10.107574467338535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15.21153846153846</v>
      </c>
      <c r="BD47" s="12">
        <f>IF('Données projet'!$A$88&gt;35,BD46+BC47-BL46,IF(A47&lt;'Données projet'!$A$88,$BA$205^A47,IF(A47='Données projet'!$A$88,'Données projet'!$B$88,BD46+BC47-BL46)))</f>
        <v>366.9</v>
      </c>
      <c r="BE47" s="13">
        <f>BD47*VLOOKUP('Données projet'!$B$11,Paramètres!$A$1:$I$89,3,0)*VLOOKUP('Données projet'!$B$11,Paramètres!$A$1:$I$89,5,0)</f>
        <v>219.40620000000001</v>
      </c>
      <c r="BF47" s="13">
        <f t="shared" si="37"/>
        <v>53.985805930473333</v>
      </c>
      <c r="BG47" s="20">
        <f t="shared" si="7"/>
        <v>476.15774366224105</v>
      </c>
      <c r="BH47" s="59">
        <f t="shared" si="8"/>
        <v>769.4910769955743</v>
      </c>
      <c r="BI47" s="59">
        <f ca="1">AVERAGE(OFFSET($BH$3,0,0,'Données projet'!$E$11+1,1))-AVERAGE(OFFSET($H$3,0,0,'Données projet'!$E$11+1,1))</f>
        <v>243.85350804244348</v>
      </c>
      <c r="BJ47" s="59">
        <f t="shared" si="38"/>
        <v>304.60992308960545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3.4299424099904767</v>
      </c>
      <c r="BQ47" s="21">
        <f>EXP(-LN(2)/25)*BQ46+(1-EXP(-LN(2)/25))/(LN(2)/25)*Calculateur!BL47*Calculateur!BN47*VLOOKUP('Données projet'!$B$11,Paramètres!$A$1:$I$89,3,0)*0.475*44/12</f>
        <v>12.025551744231956</v>
      </c>
      <c r="BR47" s="21">
        <f>EXP(-LN(2)/2)*BR46+(1-EXP(-LN(2)/2))/(LN(2)/2)*BL47*BO47*VLOOKUP('Données projet'!$B$11,Paramètres!$A$1:$I$89,3,0)*0.475*44/12</f>
        <v>2.9204894744310157E-2</v>
      </c>
      <c r="BS47" s="22">
        <f t="shared" si="9"/>
        <v>15.484699048966743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15.618681318681309</v>
      </c>
      <c r="N48" s="13">
        <f>IF('Données projet'!$A$36&gt;35,N47+M48-V47,IF(A48&lt;'Données projet'!$A$36,$K$205^A48,IF(A48='Données projet'!$A$36,'Données projet'!$B$36,N47+M48-V47)))</f>
        <v>277.37912087912099</v>
      </c>
      <c r="O48" s="13">
        <f>N48*VLOOKUP('Données projet'!$B$9,Paramètres!$A$1:$I$89,3,0)*VLOOKUP('Données projet'!$B$9,Paramètres!$A$1:$I$89,5,0)</f>
        <v>129.81342857142863</v>
      </c>
      <c r="P48" s="13">
        <f t="shared" si="33"/>
        <v>33.953244550224326</v>
      </c>
      <c r="Q48" s="20">
        <f t="shared" si="53"/>
        <v>285.22695568687891</v>
      </c>
      <c r="R48" s="59">
        <f t="shared" si="0"/>
        <v>578.56028902021217</v>
      </c>
      <c r="S48" s="59">
        <f ca="1">AVERAGE(OFFSET($R$3,0,0,'Données projet'!$E$9+1,1))-AVERAGE(OFFSET($H$3,0,0,'Données projet'!$E$9+1,1))</f>
        <v>158.58786357608489</v>
      </c>
      <c r="T48" s="59">
        <f t="shared" si="34"/>
        <v>163.20074068819849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16.2</v>
      </c>
      <c r="AI48" s="13">
        <f>IF('Données projet'!$A$62&gt;35,AI47+AH48-AQ47,IF(A48&lt;'Données projet'!$A$62,$AF$205^A48,IF(A48='Données projet'!$A$62,'Données projet'!$B$62,AI47+AH48-AQ47)))</f>
        <v>298.99999999999989</v>
      </c>
      <c r="AJ48" s="13">
        <f>AI48*VLOOKUP('Données projet'!$B$10,Paramètres!$A$1:$I$89,3,0)*VLOOKUP('Données projet'!$B$10,Paramètres!$A$1:$I$89,5,0)</f>
        <v>178.80199999999996</v>
      </c>
      <c r="AK48" s="13">
        <f t="shared" si="35"/>
        <v>45.055549739375898</v>
      </c>
      <c r="AL48" s="20">
        <f t="shared" si="4"/>
        <v>389.88523246274627</v>
      </c>
      <c r="AM48" s="59">
        <f t="shared" si="5"/>
        <v>683.21856579607959</v>
      </c>
      <c r="AN48" s="59">
        <f ca="1">AVERAGE(OFFSET($AM$3,0,0,'Données projet'!$E$10+1,1))-AVERAGE(OFFSET($H$3,0,0,'Données projet'!$E$10+1,1))</f>
        <v>270.30888762640245</v>
      </c>
      <c r="AO48" s="59">
        <f t="shared" si="36"/>
        <v>202.23783851977691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1.5914040145603503</v>
      </c>
      <c r="AV48" s="21">
        <f>EXP(-LN(2)/25)*AV47+(1-EXP(-LN(2)/25))/(LN(2)/25)*Calculateur!AQ48*Calculateur!AS48*VLOOKUP('Données projet'!$B$10,Paramètres!$A$1:$I$89,3,0)*0.475*44/12</f>
        <v>8.1118122239355941</v>
      </c>
      <c r="AW48" s="21">
        <f>EXP(-LN(2)/2)*AW47+(1-EXP(-LN(2)/2))/(LN(2)/2)*AQ48*AT48*VLOOKUP('Données projet'!$B$10,Paramètres!$A$1:$I$89,3,0)*0.475*44/12</f>
        <v>0.10215819479153335</v>
      </c>
      <c r="AX48" s="21">
        <f t="shared" si="6"/>
        <v>9.8053744332874775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15.21153846153846</v>
      </c>
      <c r="BD48" s="12">
        <f>IF('Données projet'!$A$88&gt;35,BD47+BC48-BL47,IF(A48&lt;'Données projet'!$A$88,$BA$205^A48,IF(A48='Données projet'!$A$88,'Données projet'!$B$88,BD47+BC48-BL47)))</f>
        <v>382.11153846153843</v>
      </c>
      <c r="BE48" s="13">
        <f>BD48*VLOOKUP('Données projet'!$B$11,Paramètres!$A$1:$I$89,3,0)*VLOOKUP('Données projet'!$B$11,Paramètres!$A$1:$I$89,5,0)</f>
        <v>228.5027</v>
      </c>
      <c r="BF48" s="13">
        <f t="shared" si="37"/>
        <v>55.958807302542631</v>
      </c>
      <c r="BG48" s="20">
        <f t="shared" si="7"/>
        <v>495.4371252185951</v>
      </c>
      <c r="BH48" s="59">
        <f t="shared" si="8"/>
        <v>788.77045855192841</v>
      </c>
      <c r="BI48" s="59">
        <f ca="1">AVERAGE(OFFSET($BH$3,0,0,'Données projet'!$E$11+1,1))-AVERAGE(OFFSET($H$3,0,0,'Données projet'!$E$11+1,1))</f>
        <v>243.85350804244348</v>
      </c>
      <c r="BJ48" s="59">
        <f t="shared" si="38"/>
        <v>304.60992308960545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3.36268333138886</v>
      </c>
      <c r="BQ48" s="21">
        <f>EXP(-LN(2)/25)*BQ47+(1-EXP(-LN(2)/25))/(LN(2)/25)*Calculateur!BL48*Calculateur!BN48*VLOOKUP('Données projet'!$B$11,Paramètres!$A$1:$I$89,3,0)*0.475*44/12</f>
        <v>11.696712399389652</v>
      </c>
      <c r="BR48" s="21">
        <f>EXP(-LN(2)/2)*BR47+(1-EXP(-LN(2)/2))/(LN(2)/2)*BL48*BO48*VLOOKUP('Données projet'!$B$11,Paramètres!$A$1:$I$89,3,0)*0.475*44/12</f>
        <v>2.0650979117541074E-2</v>
      </c>
      <c r="BS48" s="22">
        <f t="shared" si="9"/>
        <v>15.080046709896052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15.618681318681309</v>
      </c>
      <c r="N49" s="13">
        <f>IF('Données projet'!$A$36&gt;35,N48+M49-V48,IF(A49&lt;'Données projet'!$A$36,$K$205^A49,IF(A49='Données projet'!$A$36,'Données projet'!$B$36,N48+M49-V48)))</f>
        <v>292.99780219780229</v>
      </c>
      <c r="O49" s="13">
        <f>N49*VLOOKUP('Données projet'!$B$9,Paramètres!$A$1:$I$89,3,0)*VLOOKUP('Données projet'!$B$9,Paramètres!$A$1:$I$89,5,0)</f>
        <v>137.12297142857147</v>
      </c>
      <c r="P49" s="13">
        <f t="shared" si="33"/>
        <v>35.63712427284996</v>
      </c>
      <c r="Q49" s="20">
        <f t="shared" si="53"/>
        <v>300.89050001330901</v>
      </c>
      <c r="R49" s="59">
        <f t="shared" si="0"/>
        <v>594.22383334664232</v>
      </c>
      <c r="S49" s="59">
        <f ca="1">AVERAGE(OFFSET($R$3,0,0,'Données projet'!$E$9+1,1))-AVERAGE(OFFSET($H$3,0,0,'Données projet'!$E$9+1,1))</f>
        <v>158.58786357608489</v>
      </c>
      <c r="T49" s="59">
        <f t="shared" si="34"/>
        <v>163.20074068819849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16.2</v>
      </c>
      <c r="AI49" s="13">
        <f>IF('Données projet'!$A$62&gt;35,AI48+AH49-AQ48,IF(A49&lt;'Données projet'!$A$62,$AF$205^A49,IF(A49='Données projet'!$A$62,'Données projet'!$B$62,AI48+AH49-AQ48)))</f>
        <v>315.19999999999987</v>
      </c>
      <c r="AJ49" s="13">
        <f>AI49*VLOOKUP('Données projet'!$B$10,Paramètres!$A$1:$I$89,3,0)*VLOOKUP('Données projet'!$B$10,Paramètres!$A$1:$I$89,5,0)</f>
        <v>188.48959999999997</v>
      </c>
      <c r="AK49" s="13">
        <f t="shared" si="35"/>
        <v>47.205869902326455</v>
      </c>
      <c r="AL49" s="20">
        <f t="shared" si="4"/>
        <v>410.50294341321847</v>
      </c>
      <c r="AM49" s="59">
        <f t="shared" si="5"/>
        <v>703.83627674655179</v>
      </c>
      <c r="AN49" s="59">
        <f ca="1">AVERAGE(OFFSET($AM$3,0,0,'Données projet'!$E$10+1,1))-AVERAGE(OFFSET($H$3,0,0,'Données projet'!$E$10+1,1))</f>
        <v>270.30888762640245</v>
      </c>
      <c r="AO49" s="59">
        <f t="shared" si="36"/>
        <v>202.23783851977691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1.5601975524954259</v>
      </c>
      <c r="AV49" s="21">
        <f>EXP(-LN(2)/25)*AV48+(1-EXP(-LN(2)/25))/(LN(2)/25)*Calculateur!AQ49*Calculateur!AS49*VLOOKUP('Données projet'!$B$10,Paramètres!$A$1:$I$89,3,0)*0.475*44/12</f>
        <v>7.8899942920904103</v>
      </c>
      <c r="AW49" s="21">
        <f>EXP(-LN(2)/2)*AW48+(1-EXP(-LN(2)/2))/(LN(2)/2)*AQ49*AT49*VLOOKUP('Données projet'!$B$10,Paramètres!$A$1:$I$89,3,0)*0.475*44/12</f>
        <v>7.2236752290869469E-2</v>
      </c>
      <c r="AX49" s="21">
        <f t="shared" si="6"/>
        <v>9.522428596876706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15.21153846153846</v>
      </c>
      <c r="BD49" s="12">
        <f>IF('Données projet'!$A$88&gt;35,BD48+BC49-BL48,IF(A49&lt;'Données projet'!$A$88,$BA$205^A49,IF(A49='Données projet'!$A$88,'Données projet'!$B$88,BD48+BC49-BL48)))</f>
        <v>397.32307692307688</v>
      </c>
      <c r="BE49" s="13">
        <f>BD49*VLOOKUP('Données projet'!$B$11,Paramètres!$A$1:$I$89,3,0)*VLOOKUP('Données projet'!$B$11,Paramètres!$A$1:$I$89,5,0)</f>
        <v>237.5992</v>
      </c>
      <c r="BF49" s="13">
        <f t="shared" si="37"/>
        <v>57.922684812819405</v>
      </c>
      <c r="BG49" s="20">
        <f t="shared" si="7"/>
        <v>514.70061604899377</v>
      </c>
      <c r="BH49" s="59">
        <f t="shared" si="8"/>
        <v>808.03394938232714</v>
      </c>
      <c r="BI49" s="59">
        <f ca="1">AVERAGE(OFFSET($BH$3,0,0,'Données projet'!$E$11+1,1))-AVERAGE(OFFSET($H$3,0,0,'Données projet'!$E$11+1,1))</f>
        <v>243.85350804244348</v>
      </c>
      <c r="BJ49" s="59">
        <f t="shared" si="38"/>
        <v>304.60992308960545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3.2967431622946339</v>
      </c>
      <c r="BQ49" s="21">
        <f>EXP(-LN(2)/25)*BQ48+(1-EXP(-LN(2)/25))/(LN(2)/25)*Calculateur!BL49*Calculateur!BN49*VLOOKUP('Données projet'!$B$11,Paramètres!$A$1:$I$89,3,0)*0.475*44/12</f>
        <v>11.37686518372497</v>
      </c>
      <c r="BR49" s="21">
        <f>EXP(-LN(2)/2)*BR48+(1-EXP(-LN(2)/2))/(LN(2)/2)*BL49*BO49*VLOOKUP('Données projet'!$B$11,Paramètres!$A$1:$I$89,3,0)*0.475*44/12</f>
        <v>1.4602447372155079E-2</v>
      </c>
      <c r="BS49" s="22">
        <f t="shared" si="9"/>
        <v>14.688210793391759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15.618681318681309</v>
      </c>
      <c r="N50" s="13">
        <f>IF('Données projet'!$A$36&gt;35,N49+M50-V49,IF(A50&lt;'Données projet'!$A$36,$K$205^A50,IF(A50='Données projet'!$A$36,'Données projet'!$B$36,N49+M50-V49)))</f>
        <v>308.61648351648358</v>
      </c>
      <c r="O50" s="13">
        <f>N50*VLOOKUP('Données projet'!$B$9,Paramètres!$A$1:$I$89,3,0)*VLOOKUP('Données projet'!$B$9,Paramètres!$A$1:$I$89,5,0)</f>
        <v>144.43251428571432</v>
      </c>
      <c r="P50" s="13">
        <f t="shared" si="33"/>
        <v>37.310582871696397</v>
      </c>
      <c r="Q50" s="20">
        <f t="shared" si="53"/>
        <v>316.5358942158237</v>
      </c>
      <c r="R50" s="59">
        <f t="shared" si="0"/>
        <v>609.86922754915702</v>
      </c>
      <c r="S50" s="59">
        <f ca="1">AVERAGE(OFFSET($R$3,0,0,'Données projet'!$E$9+1,1))-AVERAGE(OFFSET($H$3,0,0,'Données projet'!$E$9+1,1))</f>
        <v>158.58786357608489</v>
      </c>
      <c r="T50" s="59">
        <f t="shared" si="34"/>
        <v>163.20074068819849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16.2</v>
      </c>
      <c r="AI50" s="13">
        <f>IF('Données projet'!$A$62&gt;35,AI49+AH50-AQ49,IF(A50&lt;'Données projet'!$A$62,$AF$205^A50,IF(A50='Données projet'!$A$62,'Données projet'!$B$62,AI49+AH50-AQ49)))</f>
        <v>331.39999999999986</v>
      </c>
      <c r="AJ50" s="13">
        <f>AI50*VLOOKUP('Données projet'!$B$10,Paramètres!$A$1:$I$89,3,0)*VLOOKUP('Données projet'!$B$10,Paramètres!$A$1:$I$89,5,0)</f>
        <v>198.17719999999991</v>
      </c>
      <c r="AK50" s="13">
        <f t="shared" si="35"/>
        <v>49.343358241667282</v>
      </c>
      <c r="AL50" s="20">
        <f t="shared" si="4"/>
        <v>431.09830560423705</v>
      </c>
      <c r="AM50" s="59">
        <f t="shared" si="5"/>
        <v>724.43163893757037</v>
      </c>
      <c r="AN50" s="59">
        <f ca="1">AVERAGE(OFFSET($AM$3,0,0,'Données projet'!$E$10+1,1))-AVERAGE(OFFSET($H$3,0,0,'Données projet'!$E$10+1,1))</f>
        <v>270.30888762640245</v>
      </c>
      <c r="AO50" s="59">
        <f t="shared" si="36"/>
        <v>202.23783851977691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1.5296030301175323</v>
      </c>
      <c r="AV50" s="21">
        <f>EXP(-LN(2)/25)*AV49+(1-EXP(-LN(2)/25))/(LN(2)/25)*Calculateur!AQ50*Calculateur!AS50*VLOOKUP('Données projet'!$B$10,Paramètres!$A$1:$I$89,3,0)*0.475*44/12</f>
        <v>7.6742419832564313</v>
      </c>
      <c r="AW50" s="21">
        <f>EXP(-LN(2)/2)*AW49+(1-EXP(-LN(2)/2))/(LN(2)/2)*AQ50*AT50*VLOOKUP('Données projet'!$B$10,Paramètres!$A$1:$I$89,3,0)*0.475*44/12</f>
        <v>5.1079097395766673E-2</v>
      </c>
      <c r="AX50" s="21">
        <f t="shared" si="6"/>
        <v>9.254924110769732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15.21153846153846</v>
      </c>
      <c r="BD50" s="12">
        <f>IF('Données projet'!$A$88&gt;35,BD49+BC50-BL49,IF(A50&lt;'Données projet'!$A$88,$BA$205^A50,IF(A50='Données projet'!$A$88,'Données projet'!$B$88,BD49+BC50-BL49)))</f>
        <v>412.53461538461534</v>
      </c>
      <c r="BE50" s="13">
        <f>BD50*VLOOKUP('Données projet'!$B$11,Paramètres!$A$1:$I$89,3,0)*VLOOKUP('Données projet'!$B$11,Paramètres!$A$1:$I$89,5,0)</f>
        <v>246.69569999999999</v>
      </c>
      <c r="BF50" s="13">
        <f t="shared" si="37"/>
        <v>59.877827754324372</v>
      </c>
      <c r="BG50" s="20">
        <f t="shared" si="7"/>
        <v>533.94889417211482</v>
      </c>
      <c r="BH50" s="59">
        <f t="shared" si="8"/>
        <v>827.28222750544819</v>
      </c>
      <c r="BI50" s="59">
        <f ca="1">AVERAGE(OFFSET($BH$3,0,0,'Données projet'!$E$11+1,1))-AVERAGE(OFFSET($H$3,0,0,'Données projet'!$E$11+1,1))</f>
        <v>243.85350804244348</v>
      </c>
      <c r="BJ50" s="59">
        <f t="shared" si="38"/>
        <v>304.60992308960545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3.2320960396968137</v>
      </c>
      <c r="BQ50" s="21">
        <f>EXP(-LN(2)/25)*BQ49+(1-EXP(-LN(2)/25))/(LN(2)/25)*Calculateur!BL50*Calculateur!BN50*VLOOKUP('Données projet'!$B$11,Paramètres!$A$1:$I$89,3,0)*0.475*44/12</f>
        <v>11.065764206992673</v>
      </c>
      <c r="BR50" s="21">
        <f>EXP(-LN(2)/2)*BR49+(1-EXP(-LN(2)/2))/(LN(2)/2)*BL50*BO50*VLOOKUP('Données projet'!$B$11,Paramètres!$A$1:$I$89,3,0)*0.475*44/12</f>
        <v>1.0325489558770537E-2</v>
      </c>
      <c r="BS50" s="22">
        <f t="shared" si="9"/>
        <v>14.308185736248257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15.618681318681309</v>
      </c>
      <c r="N51" s="13">
        <f>IF('Données projet'!$A$36&gt;35,N50+M51-V50,IF(A51&lt;'Données projet'!$A$36,$K$205^A51,IF(A51='Données projet'!$A$36,'Données projet'!$B$36,N50+M51-V50)))</f>
        <v>324.23516483516488</v>
      </c>
      <c r="O51" s="13">
        <f>N51*VLOOKUP('Données projet'!$B$9,Paramètres!$A$1:$I$89,3,0)*VLOOKUP('Données projet'!$B$9,Paramètres!$A$1:$I$89,5,0)</f>
        <v>151.74205714285716</v>
      </c>
      <c r="P51" s="13">
        <f t="shared" si="33"/>
        <v>38.974207918733512</v>
      </c>
      <c r="Q51" s="20">
        <f t="shared" si="53"/>
        <v>332.16416164893707</v>
      </c>
      <c r="R51" s="59">
        <f t="shared" si="0"/>
        <v>625.49749498227038</v>
      </c>
      <c r="S51" s="59">
        <f ca="1">AVERAGE(OFFSET($R$3,0,0,'Données projet'!$E$9+1,1))-AVERAGE(OFFSET($H$3,0,0,'Données projet'!$E$9+1,1))</f>
        <v>158.58786357608489</v>
      </c>
      <c r="T51" s="59">
        <f t="shared" si="34"/>
        <v>163.20074068819849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16.2</v>
      </c>
      <c r="AI51" s="13">
        <f>IF('Données projet'!$A$62&gt;35,AI50+AH51-AQ50,IF(A51&lt;'Données projet'!$A$62,$AF$205^A51,IF(A51='Données projet'!$A$62,'Données projet'!$B$62,AI50+AH51-AQ50)))</f>
        <v>347.59999999999985</v>
      </c>
      <c r="AJ51" s="13">
        <f>AI51*VLOOKUP('Données projet'!$B$10,Paramètres!$A$1:$I$89,3,0)*VLOOKUP('Données projet'!$B$10,Paramètres!$A$1:$I$89,5,0)</f>
        <v>207.86479999999992</v>
      </c>
      <c r="AK51" s="13">
        <f t="shared" si="35"/>
        <v>51.468713616997725</v>
      </c>
      <c r="AL51" s="20">
        <f t="shared" si="4"/>
        <v>451.67253621627088</v>
      </c>
      <c r="AM51" s="59">
        <f t="shared" si="5"/>
        <v>745.0058695496042</v>
      </c>
      <c r="AN51" s="59">
        <f ca="1">AVERAGE(OFFSET($AM$3,0,0,'Données projet'!$E$10+1,1))-AVERAGE(OFFSET($H$3,0,0,'Données projet'!$E$10+1,1))</f>
        <v>270.30888762640245</v>
      </c>
      <c r="AO51" s="59">
        <f t="shared" si="36"/>
        <v>202.23783851977691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1.4996084476626532</v>
      </c>
      <c r="AV51" s="21">
        <f>EXP(-LN(2)/25)*AV50+(1-EXP(-LN(2)/25))/(LN(2)/25)*Calculateur!AQ51*Calculateur!AS51*VLOOKUP('Données projet'!$B$10,Paramètres!$A$1:$I$89,3,0)*0.475*44/12</f>
        <v>7.4643894326534381</v>
      </c>
      <c r="AW51" s="21">
        <f>EXP(-LN(2)/2)*AW50+(1-EXP(-LN(2)/2))/(LN(2)/2)*AQ51*AT51*VLOOKUP('Données projet'!$B$10,Paramètres!$A$1:$I$89,3,0)*0.475*44/12</f>
        <v>3.6118376145434734E-2</v>
      </c>
      <c r="AX51" s="21">
        <f t="shared" si="6"/>
        <v>9.000116256461526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427.74615384615385</v>
      </c>
      <c r="BB51" s="12">
        <f>VLOOKUP(A51,'Données projet'!$A$87:$I$107,9,0)</f>
        <v>15.21153846153846</v>
      </c>
      <c r="BC51" s="12">
        <f t="array" ref="BC51">INDEX(BB:BB,MIN(IF(ISNUMBER(BB51:BB247),ROW(BB51:BB247),"")))</f>
        <v>15.21153846153846</v>
      </c>
      <c r="BD51" s="12">
        <f>IF('Données projet'!$A$88&gt;35,BD50+BC51-BL50,IF(A51&lt;'Données projet'!$A$88,$BA$205^A51,IF(A51='Données projet'!$A$88,'Données projet'!$B$88,BD50+BC51-BL50)))</f>
        <v>427.74615384615379</v>
      </c>
      <c r="BE51" s="13">
        <f>BD51*VLOOKUP('Données projet'!$B$11,Paramètres!$A$1:$I$89,3,0)*VLOOKUP('Données projet'!$B$11,Paramètres!$A$1:$I$89,5,0)</f>
        <v>255.79219999999998</v>
      </c>
      <c r="BF51" s="13">
        <f t="shared" si="37"/>
        <v>61.824595084245523</v>
      </c>
      <c r="BG51" s="20">
        <f t="shared" si="7"/>
        <v>553.18258477172765</v>
      </c>
      <c r="BH51" s="59">
        <f t="shared" si="8"/>
        <v>846.51591810506102</v>
      </c>
      <c r="BI51" s="59">
        <f ca="1">AVERAGE(OFFSET($BH$3,0,0,'Données projet'!$E$11+1,1))-AVERAGE(OFFSET($H$3,0,0,'Données projet'!$E$11+1,1))</f>
        <v>243.85350804244348</v>
      </c>
      <c r="BJ51" s="59">
        <f t="shared" si="38"/>
        <v>304.60992308960545</v>
      </c>
      <c r="BK51" s="15">
        <f>IF(ISNA(VLOOKUP(A51,'Données projet'!$A$87:$I$107,3,0)),0,VLOOKUP(A51,'Données projet'!$A$87:$I$107,3,0))</f>
        <v>6</v>
      </c>
      <c r="BL51" s="15">
        <f>IF(ISNA(VLOOKUP(A51,'Données projet'!$A$87:$I$107,4,0)),0,VLOOKUP(A51,'Données projet'!$A$87:$I$107,4,0))</f>
        <v>83.969230769230762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3.1687166077422853</v>
      </c>
      <c r="BQ51" s="21">
        <f>EXP(-LN(2)/25)*BQ50+(1-EXP(-LN(2)/25))/(LN(2)/25)*Calculateur!BL51*Calculateur!BN51*VLOOKUP('Données projet'!$B$11,Paramètres!$A$1:$I$89,3,0)*0.475*44/12</f>
        <v>10.763170302829209</v>
      </c>
      <c r="BR51" s="21">
        <f>EXP(-LN(2)/2)*BR50+(1-EXP(-LN(2)/2))/(LN(2)/2)*BL51*BO51*VLOOKUP('Données projet'!$B$11,Paramètres!$A$1:$I$89,3,0)*0.475*44/12</f>
        <v>7.3012236860775393E-3</v>
      </c>
      <c r="BS51" s="22">
        <f t="shared" si="9"/>
        <v>13.939188134257572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339.85384615384612</v>
      </c>
      <c r="L52" s="12">
        <f>VLOOKUP(A52,'Données projet'!$A$35:$I$55,9,0)</f>
        <v>15.618681318681309</v>
      </c>
      <c r="M52" s="12">
        <f t="array" ref="M52">INDEX(L:L,MIN(IF(ISNUMBER(L52:L248),ROW(L52:L248),"")))</f>
        <v>15.618681318681309</v>
      </c>
      <c r="N52" s="13">
        <f>IF('Données projet'!$A$36&gt;35,N51+M52-V51,IF(A52&lt;'Données projet'!$A$36,$K$205^A52,IF(A52='Données projet'!$A$36,'Données projet'!$B$36,N51+M52-V51)))</f>
        <v>339.85384615384618</v>
      </c>
      <c r="O52" s="13">
        <f>N52*VLOOKUP('Données projet'!$B$9,Paramètres!$A$1:$I$89,3,0)*VLOOKUP('Données projet'!$B$9,Paramètres!$A$1:$I$89,5,0)</f>
        <v>159.05160000000001</v>
      </c>
      <c r="P52" s="13">
        <f t="shared" si="33"/>
        <v>40.628527179850586</v>
      </c>
      <c r="Q52" s="20">
        <f t="shared" si="53"/>
        <v>347.77622150490646</v>
      </c>
      <c r="R52" s="59">
        <f t="shared" si="0"/>
        <v>641.10955483823977</v>
      </c>
      <c r="S52" s="59">
        <f ca="1">AVERAGE(OFFSET($R$3,0,0,'Données projet'!$E$9+1,1))-AVERAGE(OFFSET($H$3,0,0,'Données projet'!$E$9+1,1))</f>
        <v>158.58786357608489</v>
      </c>
      <c r="T52" s="59">
        <f t="shared" si="34"/>
        <v>163.20074068819849</v>
      </c>
      <c r="U52" s="15">
        <f>IF(ISNA(VLOOKUP(A52,'Données projet'!$A$35:$I$55,3,0)),0,VLOOKUP(A52,'Données projet'!$A$35:$I$55,3,0))</f>
        <v>2</v>
      </c>
      <c r="V52" s="15">
        <f>IF(ISNA(VLOOKUP(A52,'Données projet'!$A$35:$I$55,4,0)),0,VLOOKUP(A52,'Données projet'!$A$35:$I$55,4,0))</f>
        <v>94.476923076923072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16.2</v>
      </c>
      <c r="AI52" s="13">
        <f>IF('Données projet'!$A$62&gt;35,AI51+AH52-AQ51,IF(A52&lt;'Données projet'!$A$62,$AF$205^A52,IF(A52='Données projet'!$A$62,'Données projet'!$B$62,AI51+AH52-AQ51)))</f>
        <v>363.79999999999984</v>
      </c>
      <c r="AJ52" s="13">
        <f>AI52*VLOOKUP('Données projet'!$B$10,Paramètres!$A$1:$I$89,3,0)*VLOOKUP('Données projet'!$B$10,Paramètres!$A$1:$I$89,5,0)</f>
        <v>217.55239999999992</v>
      </c>
      <c r="AK52" s="13">
        <f t="shared" si="35"/>
        <v>53.58256606537995</v>
      </c>
      <c r="AL52" s="20">
        <f t="shared" si="4"/>
        <v>472.22673256386997</v>
      </c>
      <c r="AM52" s="59">
        <f t="shared" si="5"/>
        <v>765.56006589720323</v>
      </c>
      <c r="AN52" s="59">
        <f ca="1">AVERAGE(OFFSET($AM$3,0,0,'Données projet'!$E$10+1,1))-AVERAGE(OFFSET($H$3,0,0,'Données projet'!$E$10+1,1))</f>
        <v>270.30888762640245</v>
      </c>
      <c r="AO52" s="59">
        <f t="shared" si="36"/>
        <v>202.23783851977691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1.4702020406748255</v>
      </c>
      <c r="AV52" s="21">
        <f>EXP(-LN(2)/25)*AV51+(1-EXP(-LN(2)/25))/(LN(2)/25)*Calculateur!AQ52*Calculateur!AS52*VLOOKUP('Données projet'!$B$10,Paramètres!$A$1:$I$89,3,0)*0.475*44/12</f>
        <v>7.2602753110823501</v>
      </c>
      <c r="AW52" s="21">
        <f>EXP(-LN(2)/2)*AW51+(1-EXP(-LN(2)/2))/(LN(2)/2)*AQ52*AT52*VLOOKUP('Données projet'!$B$10,Paramètres!$A$1:$I$89,3,0)*0.475*44/12</f>
        <v>2.5539548697883337E-2</v>
      </c>
      <c r="AX52" s="21">
        <f t="shared" si="6"/>
        <v>8.7560169004550588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12.837499999999991</v>
      </c>
      <c r="BD52" s="12">
        <f>IF('Données projet'!$A$88&gt;35,BD51+BC52-BL51,IF(A52&lt;'Données projet'!$A$88,$BA$205^A52,IF(A52='Données projet'!$A$88,'Données projet'!$B$88,BD51+BC52-BL51)))</f>
        <v>356.614423076923</v>
      </c>
      <c r="BE52" s="13">
        <f>BD52*VLOOKUP('Données projet'!$B$11,Paramètres!$A$1:$I$89,3,0)*VLOOKUP('Données projet'!$B$11,Paramètres!$A$1:$I$89,5,0)</f>
        <v>213.25542499999997</v>
      </c>
      <c r="BF52" s="13">
        <f t="shared" si="37"/>
        <v>52.646339807871037</v>
      </c>
      <c r="BG52" s="20">
        <f t="shared" si="7"/>
        <v>463.11224037370863</v>
      </c>
      <c r="BH52" s="59">
        <f t="shared" si="8"/>
        <v>756.44557370704194</v>
      </c>
      <c r="BI52" s="59">
        <f ca="1">AVERAGE(OFFSET($BH$3,0,0,'Données projet'!$E$11+1,1))-AVERAGE(OFFSET($H$3,0,0,'Données projet'!$E$11+1,1))</f>
        <v>243.85350804244348</v>
      </c>
      <c r="BJ52" s="59">
        <f t="shared" si="38"/>
        <v>304.60992308960545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3.1065800077907491</v>
      </c>
      <c r="BQ52" s="21">
        <f>EXP(-LN(2)/25)*BQ51+(1-EXP(-LN(2)/25))/(LN(2)/25)*Calculateur!BL52*Calculateur!BN52*VLOOKUP('Données projet'!$B$11,Paramètres!$A$1:$I$89,3,0)*0.475*44/12</f>
        <v>10.468850844887818</v>
      </c>
      <c r="BR52" s="21">
        <f>EXP(-LN(2)/2)*BR51+(1-EXP(-LN(2)/2))/(LN(2)/2)*BL52*BO52*VLOOKUP('Données projet'!$B$11,Paramètres!$A$1:$I$89,3,0)*0.475*44/12</f>
        <v>5.1627447793852685E-3</v>
      </c>
      <c r="BS52" s="22">
        <f t="shared" si="9"/>
        <v>13.580593597457952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14.668131868131875</v>
      </c>
      <c r="N53" s="13">
        <f>IF('Données projet'!$A$36&gt;35,N52+M53-V52,IF(A53&lt;'Données projet'!$A$36,$K$205^A53,IF(A53='Données projet'!$A$36,'Données projet'!$B$36,N52+M53-V52)))</f>
        <v>260.04505494505497</v>
      </c>
      <c r="O53" s="13">
        <f>N53*VLOOKUP('Données projet'!$B$9,Paramètres!$A$1:$I$89,3,0)*VLOOKUP('Données projet'!$B$9,Paramètres!$A$1:$I$89,5,0)</f>
        <v>121.70108571428571</v>
      </c>
      <c r="P53" s="13">
        <f t="shared" si="33"/>
        <v>32.071423986344442</v>
      </c>
      <c r="Q53" s="20">
        <f t="shared" si="53"/>
        <v>267.82045439526422</v>
      </c>
      <c r="R53" s="59">
        <f t="shared" si="0"/>
        <v>561.15378772859754</v>
      </c>
      <c r="S53" s="59">
        <f ca="1">AVERAGE(OFFSET($R$3,0,0,'Données projet'!$E$9+1,1))-AVERAGE(OFFSET($H$3,0,0,'Données projet'!$E$9+1,1))</f>
        <v>158.58786357608489</v>
      </c>
      <c r="T53" s="59">
        <f t="shared" si="34"/>
        <v>163.20074068819849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380</v>
      </c>
      <c r="AG53" s="12">
        <f>VLOOKUP(A53,'Données projet'!$A$61:$I$81,9,0)</f>
        <v>16.2</v>
      </c>
      <c r="AH53" s="12">
        <f t="array" ref="AH53">INDEX(AG:AG,MIN(IF(ISNUMBER(AG53:AG249),ROW(AG53:AG249),"")))</f>
        <v>16.2</v>
      </c>
      <c r="AI53" s="13">
        <f>IF('Données projet'!$A$62&gt;35,AI52+AH53-AQ52,IF(A53&lt;'Données projet'!$A$62,$AF$205^A53,IF(A53='Données projet'!$A$62,'Données projet'!$B$62,AI52+AH53-AQ52)))</f>
        <v>379.99999999999983</v>
      </c>
      <c r="AJ53" s="13">
        <f>AI53*VLOOKUP('Données projet'!$B$10,Paramètres!$A$1:$I$89,3,0)*VLOOKUP('Données projet'!$B$10,Paramètres!$A$1:$I$89,5,0)</f>
        <v>227.23999999999992</v>
      </c>
      <c r="AK53" s="13">
        <f t="shared" si="35"/>
        <v>55.685486340484204</v>
      </c>
      <c r="AL53" s="20">
        <f t="shared" si="4"/>
        <v>492.76188870967644</v>
      </c>
      <c r="AM53" s="59">
        <f t="shared" si="5"/>
        <v>786.0952220430097</v>
      </c>
      <c r="AN53" s="59">
        <f ca="1">AVERAGE(OFFSET($AM$3,0,0,'Données projet'!$E$10+1,1))-AVERAGE(OFFSET($H$3,0,0,'Données projet'!$E$10+1,1))</f>
        <v>270.30888762640245</v>
      </c>
      <c r="AO53" s="59">
        <f t="shared" si="36"/>
        <v>202.23783851977691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89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1.4413722753918918</v>
      </c>
      <c r="AV53" s="21">
        <f>EXP(-LN(2)/25)*AV52+(1-EXP(-LN(2)/25))/(LN(2)/25)*Calculateur!AQ53*Calculateur!AS53*VLOOKUP('Données projet'!$B$10,Paramètres!$A$1:$I$89,3,0)*0.475*44/12</f>
        <v>7.0617427008995186</v>
      </c>
      <c r="AW53" s="21">
        <f>EXP(-LN(2)/2)*AW52+(1-EXP(-LN(2)/2))/(LN(2)/2)*AQ53*AT53*VLOOKUP('Données projet'!$B$10,Paramètres!$A$1:$I$89,3,0)*0.475*44/12</f>
        <v>1.8059188072717367E-2</v>
      </c>
      <c r="AX53" s="21">
        <f t="shared" si="6"/>
        <v>8.5211741643641279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12.837499999999991</v>
      </c>
      <c r="BD53" s="12">
        <f>IF('Données projet'!$A$88&gt;35,BD52+BC53-BL52,IF(A53&lt;'Données projet'!$A$88,$BA$205^A53,IF(A53='Données projet'!$A$88,'Données projet'!$B$88,BD52+BC53-BL52)))</f>
        <v>369.45192307692298</v>
      </c>
      <c r="BE53" s="13">
        <f>BD53*VLOOKUP('Données projet'!$B$11,Paramètres!$A$1:$I$89,3,0)*VLOOKUP('Données projet'!$B$11,Paramètres!$A$1:$I$89,5,0)</f>
        <v>220.93224999999995</v>
      </c>
      <c r="BF53" s="13">
        <f t="shared" si="37"/>
        <v>54.31745576001893</v>
      </c>
      <c r="BG53" s="20">
        <f t="shared" si="7"/>
        <v>479.3932375320328</v>
      </c>
      <c r="BH53" s="59">
        <f t="shared" si="8"/>
        <v>772.72657086536606</v>
      </c>
      <c r="BI53" s="59">
        <f ca="1">AVERAGE(OFFSET($BH$3,0,0,'Données projet'!$E$11+1,1))-AVERAGE(OFFSET($H$3,0,0,'Données projet'!$E$11+1,1))</f>
        <v>243.85350804244348</v>
      </c>
      <c r="BJ53" s="59">
        <f t="shared" si="38"/>
        <v>304.60992308960545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3.0456618686646788</v>
      </c>
      <c r="BQ53" s="21">
        <f>EXP(-LN(2)/25)*BQ52+(1-EXP(-LN(2)/25))/(LN(2)/25)*Calculateur!BL53*Calculateur!BN53*VLOOKUP('Données projet'!$B$11,Paramètres!$A$1:$I$89,3,0)*0.475*44/12</f>
        <v>10.182579568001422</v>
      </c>
      <c r="BR53" s="21">
        <f>EXP(-LN(2)/2)*BR52+(1-EXP(-LN(2)/2))/(LN(2)/2)*BL53*BO53*VLOOKUP('Données projet'!$B$11,Paramètres!$A$1:$I$89,3,0)*0.475*44/12</f>
        <v>3.6506118430387697E-3</v>
      </c>
      <c r="BS53" s="22">
        <f t="shared" si="9"/>
        <v>13.23189204850914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14.668131868131875</v>
      </c>
      <c r="N54" s="13">
        <f>IF('Données projet'!$A$36&gt;35,N53+M54-V53,IF(A54&lt;'Données projet'!$A$36,$K$205^A54,IF(A54='Données projet'!$A$36,'Données projet'!$B$36,N53+M54-V53)))</f>
        <v>274.71318681318684</v>
      </c>
      <c r="O54" s="13">
        <f>N54*VLOOKUP('Données projet'!$B$9,Paramètres!$A$1:$I$89,3,0)*VLOOKUP('Données projet'!$B$9,Paramètres!$A$1:$I$89,5,0)</f>
        <v>128.56577142857145</v>
      </c>
      <c r="P54" s="13">
        <f t="shared" si="33"/>
        <v>33.664737545838108</v>
      </c>
      <c r="Q54" s="20">
        <f t="shared" si="53"/>
        <v>282.55146979709662</v>
      </c>
      <c r="R54" s="59">
        <f t="shared" si="0"/>
        <v>575.88480313042987</v>
      </c>
      <c r="S54" s="59">
        <f ca="1">AVERAGE(OFFSET($R$3,0,0,'Données projet'!$E$9+1,1))-AVERAGE(OFFSET($H$3,0,0,'Données projet'!$E$9+1,1))</f>
        <v>158.58786357608489</v>
      </c>
      <c r="T54" s="59">
        <f t="shared" si="34"/>
        <v>163.20074068819849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15.6</v>
      </c>
      <c r="AI54" s="13">
        <f>IF('Données projet'!$A$62&gt;35,AI53+AH54-AQ53,IF(A54&lt;'Données projet'!$A$62,$AF$205^A54,IF(A54='Données projet'!$A$62,'Données projet'!$B$62,AI53+AH54-AQ53)))</f>
        <v>306.59999999999985</v>
      </c>
      <c r="AJ54" s="13">
        <f>AI54*VLOOKUP('Données projet'!$B$10,Paramètres!$A$1:$I$89,3,0)*VLOOKUP('Données projet'!$B$10,Paramètres!$A$1:$I$89,5,0)</f>
        <v>183.34679999999994</v>
      </c>
      <c r="AK54" s="13">
        <f t="shared" si="35"/>
        <v>46.06598726946973</v>
      </c>
      <c r="AL54" s="20">
        <f t="shared" si="4"/>
        <v>399.56060449432636</v>
      </c>
      <c r="AM54" s="59">
        <f t="shared" si="5"/>
        <v>692.89393782765967</v>
      </c>
      <c r="AN54" s="59">
        <f ca="1">AVERAGE(OFFSET($AM$3,0,0,'Données projet'!$E$10+1,1))-AVERAGE(OFFSET($H$3,0,0,'Données projet'!$E$10+1,1))</f>
        <v>270.30888762640245</v>
      </c>
      <c r="AO54" s="59">
        <f t="shared" si="36"/>
        <v>202.23783851977691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1.413107844221736</v>
      </c>
      <c r="AV54" s="21">
        <f>EXP(-LN(2)/25)*AV53+(1-EXP(-LN(2)/25))/(LN(2)/25)*Calculateur!AQ54*Calculateur!AS54*VLOOKUP('Données projet'!$B$10,Paramètres!$A$1:$I$89,3,0)*0.475*44/12</f>
        <v>6.8686389753825123</v>
      </c>
      <c r="AW54" s="21">
        <f>EXP(-LN(2)/2)*AW53+(1-EXP(-LN(2)/2))/(LN(2)/2)*AQ54*AT54*VLOOKUP('Données projet'!$B$10,Paramètres!$A$1:$I$89,3,0)*0.475*44/12</f>
        <v>1.2769774348941668E-2</v>
      </c>
      <c r="AX54" s="21">
        <f t="shared" si="6"/>
        <v>8.2945165939531886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12.837499999999991</v>
      </c>
      <c r="BD54" s="12">
        <f>IF('Données projet'!$A$88&gt;35,BD53+BC54-BL53,IF(A54&lt;'Données projet'!$A$88,$BA$205^A54,IF(A54='Données projet'!$A$88,'Données projet'!$B$88,BD53+BC54-BL53)))</f>
        <v>382.28942307692296</v>
      </c>
      <c r="BE54" s="13">
        <f>BD54*VLOOKUP('Données projet'!$B$11,Paramètres!$A$1:$I$89,3,0)*VLOOKUP('Données projet'!$B$11,Paramètres!$A$1:$I$89,5,0)</f>
        <v>228.60907499999993</v>
      </c>
      <c r="BF54" s="13">
        <f t="shared" si="37"/>
        <v>55.981824933821947</v>
      </c>
      <c r="BG54" s="20">
        <f t="shared" si="7"/>
        <v>495.66248405140641</v>
      </c>
      <c r="BH54" s="59">
        <f t="shared" si="8"/>
        <v>788.99581738473967</v>
      </c>
      <c r="BI54" s="59">
        <f ca="1">AVERAGE(OFFSET($BH$3,0,0,'Données projet'!$E$11+1,1))-AVERAGE(OFFSET($H$3,0,0,'Données projet'!$E$11+1,1))</f>
        <v>243.85350804244348</v>
      </c>
      <c r="BJ54" s="59">
        <f t="shared" si="38"/>
        <v>304.60992308960545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2.9859382970904744</v>
      </c>
      <c r="BQ54" s="21">
        <f>EXP(-LN(2)/25)*BQ53+(1-EXP(-LN(2)/25))/(LN(2)/25)*Calculateur!BL54*Calculateur!BN54*VLOOKUP('Données projet'!$B$11,Paramètres!$A$1:$I$89,3,0)*0.475*44/12</f>
        <v>9.9041363942358362</v>
      </c>
      <c r="BR54" s="21">
        <f>EXP(-LN(2)/2)*BR53+(1-EXP(-LN(2)/2))/(LN(2)/2)*BL54*BO54*VLOOKUP('Données projet'!$B$11,Paramètres!$A$1:$I$89,3,0)*0.475*44/12</f>
        <v>2.5813723896926342E-3</v>
      </c>
      <c r="BS54" s="22">
        <f t="shared" si="9"/>
        <v>12.892656063716004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14.668131868131875</v>
      </c>
      <c r="N55" s="13">
        <f>IF('Données projet'!$A$36&gt;35,N54+M55-V54,IF(A55&lt;'Données projet'!$A$36,$K$205^A55,IF(A55='Données projet'!$A$36,'Données projet'!$B$36,N54+M55-V54)))</f>
        <v>289.3813186813187</v>
      </c>
      <c r="O55" s="13">
        <f>N55*VLOOKUP('Données projet'!$B$9,Paramètres!$A$1:$I$89,3,0)*VLOOKUP('Données projet'!$B$9,Paramètres!$A$1:$I$89,5,0)</f>
        <v>135.43045714285716</v>
      </c>
      <c r="P55" s="13">
        <f t="shared" si="33"/>
        <v>35.248174253598229</v>
      </c>
      <c r="Q55" s="20">
        <f t="shared" si="53"/>
        <v>297.26528301549314</v>
      </c>
      <c r="R55" s="59">
        <f t="shared" si="0"/>
        <v>590.59861634882645</v>
      </c>
      <c r="S55" s="59">
        <f ca="1">AVERAGE(OFFSET($R$3,0,0,'Données projet'!$E$9+1,1))-AVERAGE(OFFSET($H$3,0,0,'Données projet'!$E$9+1,1))</f>
        <v>158.58786357608489</v>
      </c>
      <c r="T55" s="59">
        <f t="shared" si="34"/>
        <v>163.20074068819849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15.6</v>
      </c>
      <c r="AI55" s="13">
        <f>IF('Données projet'!$A$62&gt;35,AI54+AH55-AQ54,IF(A55&lt;'Données projet'!$A$62,$AF$205^A55,IF(A55='Données projet'!$A$62,'Données projet'!$B$62,AI54+AH55-AQ54)))</f>
        <v>322.19999999999987</v>
      </c>
      <c r="AJ55" s="13">
        <f>AI55*VLOOKUP('Données projet'!$B$10,Paramètres!$A$1:$I$89,3,0)*VLOOKUP('Données projet'!$B$10,Paramètres!$A$1:$I$89,5,0)</f>
        <v>192.67559999999995</v>
      </c>
      <c r="AK55" s="13">
        <f t="shared" si="35"/>
        <v>48.131007733172943</v>
      </c>
      <c r="AL55" s="20">
        <f t="shared" si="4"/>
        <v>419.40484180194272</v>
      </c>
      <c r="AM55" s="59">
        <f t="shared" si="5"/>
        <v>712.73817513527604</v>
      </c>
      <c r="AN55" s="59">
        <f ca="1">AVERAGE(OFFSET($AM$3,0,0,'Données projet'!$E$10+1,1))-AVERAGE(OFFSET($H$3,0,0,'Données projet'!$E$10+1,1))</f>
        <v>270.30888762640245</v>
      </c>
      <c r="AO55" s="59">
        <f t="shared" si="36"/>
        <v>202.23783851977691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1.3853976613072261</v>
      </c>
      <c r="AV55" s="21">
        <f>EXP(-LN(2)/25)*AV54+(1-EXP(-LN(2)/25))/(LN(2)/25)*Calculateur!AQ55*Calculateur!AS55*VLOOKUP('Données projet'!$B$10,Paramètres!$A$1:$I$89,3,0)*0.475*44/12</f>
        <v>6.6808156813946526</v>
      </c>
      <c r="AW55" s="21">
        <f>EXP(-LN(2)/2)*AW54+(1-EXP(-LN(2)/2))/(LN(2)/2)*AQ55*AT55*VLOOKUP('Données projet'!$B$10,Paramètres!$A$1:$I$89,3,0)*0.475*44/12</f>
        <v>9.0295940363586836E-3</v>
      </c>
      <c r="AX55" s="21">
        <f t="shared" si="6"/>
        <v>8.0752429367382366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12.837499999999991</v>
      </c>
      <c r="BD55" s="12">
        <f>IF('Données projet'!$A$88&gt;35,BD54+BC55-BL54,IF(A55&lt;'Données projet'!$A$88,$BA$205^A55,IF(A55='Données projet'!$A$88,'Données projet'!$B$88,BD54+BC55-BL54)))</f>
        <v>395.12692307692294</v>
      </c>
      <c r="BE55" s="13">
        <f>BD55*VLOOKUP('Données projet'!$B$11,Paramètres!$A$1:$I$89,3,0)*VLOOKUP('Données projet'!$B$11,Paramètres!$A$1:$I$89,5,0)</f>
        <v>236.28589999999994</v>
      </c>
      <c r="BF55" s="13">
        <f t="shared" si="37"/>
        <v>57.639699864397812</v>
      </c>
      <c r="BG55" s="20">
        <f t="shared" si="7"/>
        <v>511.92041976382615</v>
      </c>
      <c r="BH55" s="59">
        <f t="shared" si="8"/>
        <v>805.25375309715946</v>
      </c>
      <c r="BI55" s="59">
        <f ca="1">AVERAGE(OFFSET($BH$3,0,0,'Données projet'!$E$11+1,1))-AVERAGE(OFFSET($H$3,0,0,'Données projet'!$E$11+1,1))</f>
        <v>243.85350804244348</v>
      </c>
      <c r="BJ55" s="59">
        <f t="shared" si="38"/>
        <v>304.60992308960545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2.9273858683270588</v>
      </c>
      <c r="BQ55" s="21">
        <f>EXP(-LN(2)/25)*BQ54+(1-EXP(-LN(2)/25))/(LN(2)/25)*Calculateur!BL55*Calculateur!BN55*VLOOKUP('Données projet'!$B$11,Paramètres!$A$1:$I$89,3,0)*0.475*44/12</f>
        <v>9.6333072636995603</v>
      </c>
      <c r="BR55" s="21">
        <f>EXP(-LN(2)/2)*BR54+(1-EXP(-LN(2)/2))/(LN(2)/2)*BL55*BO55*VLOOKUP('Données projet'!$B$11,Paramètres!$A$1:$I$89,3,0)*0.475*44/12</f>
        <v>1.8253059215193848E-3</v>
      </c>
      <c r="BS55" s="22">
        <f t="shared" si="9"/>
        <v>12.562518437948139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14.668131868131875</v>
      </c>
      <c r="N56" s="13">
        <f>IF('Données projet'!$A$36&gt;35,N55+M56-V55,IF(A56&lt;'Données projet'!$A$36,$K$205^A56,IF(A56='Données projet'!$A$36,'Données projet'!$B$36,N55+M56-V55)))</f>
        <v>304.04945054945057</v>
      </c>
      <c r="O56" s="13">
        <f>N56*VLOOKUP('Données projet'!$B$9,Paramètres!$A$1:$I$89,3,0)*VLOOKUP('Données projet'!$B$9,Paramètres!$A$1:$I$89,5,0)</f>
        <v>142.29514285714285</v>
      </c>
      <c r="P56" s="13">
        <f t="shared" si="33"/>
        <v>36.822291864436032</v>
      </c>
      <c r="Q56" s="20">
        <f t="shared" si="53"/>
        <v>311.96286547341651</v>
      </c>
      <c r="R56" s="59">
        <f t="shared" si="0"/>
        <v>605.29619880674977</v>
      </c>
      <c r="S56" s="59">
        <f ca="1">AVERAGE(OFFSET($R$3,0,0,'Données projet'!$E$9+1,1))-AVERAGE(OFFSET($H$3,0,0,'Données projet'!$E$9+1,1))</f>
        <v>158.58786357608489</v>
      </c>
      <c r="T56" s="59">
        <f t="shared" si="34"/>
        <v>163.20074068819849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15.6</v>
      </c>
      <c r="AI56" s="13">
        <f>IF('Données projet'!$A$62&gt;35,AI55+AH56-AQ55,IF(A56&lt;'Données projet'!$A$62,$AF$205^A56,IF(A56='Données projet'!$A$62,'Données projet'!$B$62,AI55+AH56-AQ55)))</f>
        <v>337.7999999999999</v>
      </c>
      <c r="AJ56" s="13">
        <f>AI56*VLOOKUP('Données projet'!$B$10,Paramètres!$A$1:$I$89,3,0)*VLOOKUP('Données projet'!$B$10,Paramètres!$A$1:$I$89,5,0)</f>
        <v>202.00439999999995</v>
      </c>
      <c r="AK56" s="13">
        <f t="shared" si="35"/>
        <v>50.184418192658491</v>
      </c>
      <c r="AL56" s="20">
        <f t="shared" si="4"/>
        <v>439.22885835221342</v>
      </c>
      <c r="AM56" s="59">
        <f t="shared" si="5"/>
        <v>732.56219168554674</v>
      </c>
      <c r="AN56" s="59">
        <f ca="1">AVERAGE(OFFSET($AM$3,0,0,'Données projet'!$E$10+1,1))-AVERAGE(OFFSET($H$3,0,0,'Données projet'!$E$10+1,1))</f>
        <v>270.30888762640245</v>
      </c>
      <c r="AO56" s="59">
        <f t="shared" si="36"/>
        <v>202.23783851977691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1.3582308581781271</v>
      </c>
      <c r="AV56" s="21">
        <f>EXP(-LN(2)/25)*AV55+(1-EXP(-LN(2)/25))/(LN(2)/25)*Calculateur!AQ56*Calculateur!AS56*VLOOKUP('Données projet'!$B$10,Paramètres!$A$1:$I$89,3,0)*0.475*44/12</f>
        <v>6.4981284252580886</v>
      </c>
      <c r="AW56" s="21">
        <f>EXP(-LN(2)/2)*AW55+(1-EXP(-LN(2)/2))/(LN(2)/2)*AQ56*AT56*VLOOKUP('Données projet'!$B$10,Paramètres!$A$1:$I$89,3,0)*0.475*44/12</f>
        <v>6.3848871744708342E-3</v>
      </c>
      <c r="AX56" s="21">
        <f t="shared" si="6"/>
        <v>7.8627441706106866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12.837499999999991</v>
      </c>
      <c r="BD56" s="12">
        <f>IF('Données projet'!$A$88&gt;35,BD55+BC56-BL55,IF(A56&lt;'Données projet'!$A$88,$BA$205^A56,IF(A56='Données projet'!$A$88,'Données projet'!$B$88,BD55+BC56-BL55)))</f>
        <v>407.96442307692291</v>
      </c>
      <c r="BE56" s="13">
        <f>BD56*VLOOKUP('Données projet'!$B$11,Paramètres!$A$1:$I$89,3,0)*VLOOKUP('Données projet'!$B$11,Paramètres!$A$1:$I$89,5,0)</f>
        <v>243.96272499999992</v>
      </c>
      <c r="BF56" s="13">
        <f t="shared" si="37"/>
        <v>59.291315745845196</v>
      </c>
      <c r="BG56" s="20">
        <f t="shared" si="7"/>
        <v>528.16745429901368</v>
      </c>
      <c r="BH56" s="59">
        <f t="shared" si="8"/>
        <v>821.50078763234706</v>
      </c>
      <c r="BI56" s="59">
        <f ca="1">AVERAGE(OFFSET($BH$3,0,0,'Données projet'!$E$11+1,1))-AVERAGE(OFFSET($H$3,0,0,'Données projet'!$E$11+1,1))</f>
        <v>243.85350804244348</v>
      </c>
      <c r="BJ56" s="59">
        <f t="shared" si="38"/>
        <v>304.60992308960545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2.8699816169782384</v>
      </c>
      <c r="BQ56" s="21">
        <f>EXP(-LN(2)/25)*BQ55+(1-EXP(-LN(2)/25))/(LN(2)/25)*Calculateur!BL56*Calculateur!BN56*VLOOKUP('Données projet'!$B$11,Paramètres!$A$1:$I$89,3,0)*0.475*44/12</f>
        <v>9.3698839699800835</v>
      </c>
      <c r="BR56" s="21">
        <f>EXP(-LN(2)/2)*BR55+(1-EXP(-LN(2)/2))/(LN(2)/2)*BL56*BO56*VLOOKUP('Données projet'!$B$11,Paramètres!$A$1:$I$89,3,0)*0.475*44/12</f>
        <v>1.2906861948463171E-3</v>
      </c>
      <c r="BS56" s="22">
        <f t="shared" si="9"/>
        <v>12.241156273153168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14.668131868131875</v>
      </c>
      <c r="N57" s="13">
        <f>IF('Données projet'!$A$36&gt;35,N56+M57-V56,IF(A57&lt;'Données projet'!$A$36,$K$205^A57,IF(A57='Données projet'!$A$36,'Données projet'!$B$36,N56+M57-V56)))</f>
        <v>318.71758241758243</v>
      </c>
      <c r="O57" s="13">
        <f>N57*VLOOKUP('Données projet'!$B$9,Paramètres!$A$1:$I$89,3,0)*VLOOKUP('Données projet'!$B$9,Paramètres!$A$1:$I$89,5,0)</f>
        <v>149.15982857142859</v>
      </c>
      <c r="P57" s="13">
        <f t="shared" si="33"/>
        <v>38.387591277502224</v>
      </c>
      <c r="Q57" s="20">
        <f t="shared" si="53"/>
        <v>326.64508957022116</v>
      </c>
      <c r="R57" s="59">
        <f t="shared" si="0"/>
        <v>619.97842290355447</v>
      </c>
      <c r="S57" s="59">
        <f ca="1">AVERAGE(OFFSET($R$3,0,0,'Données projet'!$E$9+1,1))-AVERAGE(OFFSET($H$3,0,0,'Données projet'!$E$9+1,1))</f>
        <v>158.58786357608489</v>
      </c>
      <c r="T57" s="59">
        <f t="shared" si="34"/>
        <v>163.20074068819849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15.6</v>
      </c>
      <c r="AI57" s="13">
        <f>IF('Données projet'!$A$62&gt;35,AI56+AH57-AQ56,IF(A57&lt;'Données projet'!$A$62,$AF$205^A57,IF(A57='Données projet'!$A$62,'Données projet'!$B$62,AI56+AH57-AQ56)))</f>
        <v>353.39999999999992</v>
      </c>
      <c r="AJ57" s="13">
        <f>AI57*VLOOKUP('Données projet'!$B$10,Paramètres!$A$1:$I$89,3,0)*VLOOKUP('Données projet'!$B$10,Paramètres!$A$1:$I$89,5,0)</f>
        <v>211.33319999999995</v>
      </c>
      <c r="AK57" s="13">
        <f t="shared" si="35"/>
        <v>52.226816049120416</v>
      </c>
      <c r="AL57" s="20">
        <f t="shared" si="4"/>
        <v>459.03369461888457</v>
      </c>
      <c r="AM57" s="59">
        <f t="shared" si="5"/>
        <v>752.36702795221788</v>
      </c>
      <c r="AN57" s="59">
        <f ca="1">AVERAGE(OFFSET($AM$3,0,0,'Données projet'!$E$10+1,1))-AVERAGE(OFFSET($H$3,0,0,'Données projet'!$E$10+1,1))</f>
        <v>270.30888762640245</v>
      </c>
      <c r="AO57" s="59">
        <f t="shared" si="36"/>
        <v>202.23783851977691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1.3315967794882759</v>
      </c>
      <c r="AV57" s="21">
        <f>EXP(-LN(2)/25)*AV56+(1-EXP(-LN(2)/25))/(LN(2)/25)*Calculateur!AQ57*Calculateur!AS57*VLOOKUP('Données projet'!$B$10,Paramètres!$A$1:$I$89,3,0)*0.475*44/12</f>
        <v>6.3204367617476844</v>
      </c>
      <c r="AW57" s="21">
        <f>EXP(-LN(2)/2)*AW56+(1-EXP(-LN(2)/2))/(LN(2)/2)*AQ57*AT57*VLOOKUP('Données projet'!$B$10,Paramètres!$A$1:$I$89,3,0)*0.475*44/12</f>
        <v>4.5147970181793418E-3</v>
      </c>
      <c r="AX57" s="21">
        <f t="shared" si="6"/>
        <v>7.6565483382541393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12.837499999999991</v>
      </c>
      <c r="BD57" s="12">
        <f>IF('Données projet'!$A$88&gt;35,BD56+BC57-BL56,IF(A57&lt;'Données projet'!$A$88,$BA$205^A57,IF(A57='Données projet'!$A$88,'Données projet'!$B$88,BD56+BC57-BL56)))</f>
        <v>420.80192307692289</v>
      </c>
      <c r="BE57" s="13">
        <f>BD57*VLOOKUP('Données projet'!$B$11,Paramètres!$A$1:$I$89,3,0)*VLOOKUP('Données projet'!$B$11,Paramètres!$A$1:$I$89,5,0)</f>
        <v>251.63954999999993</v>
      </c>
      <c r="BF57" s="13">
        <f t="shared" si="37"/>
        <v>60.936892129812684</v>
      </c>
      <c r="BG57" s="20">
        <f t="shared" si="7"/>
        <v>544.4039700427569</v>
      </c>
      <c r="BH57" s="59">
        <f t="shared" si="8"/>
        <v>837.73730337609027</v>
      </c>
      <c r="BI57" s="59">
        <f ca="1">AVERAGE(OFFSET($BH$3,0,0,'Données projet'!$E$11+1,1))-AVERAGE(OFFSET($H$3,0,0,'Données projet'!$E$11+1,1))</f>
        <v>243.85350804244348</v>
      </c>
      <c r="BJ57" s="59">
        <f t="shared" si="38"/>
        <v>304.60992308960545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2.8137030279852322</v>
      </c>
      <c r="BQ57" s="21">
        <f>EXP(-LN(2)/25)*BQ56+(1-EXP(-LN(2)/25))/(LN(2)/25)*Calculateur!BL57*Calculateur!BN57*VLOOKUP('Données projet'!$B$11,Paramètres!$A$1:$I$89,3,0)*0.475*44/12</f>
        <v>9.1136640000801954</v>
      </c>
      <c r="BR57" s="21">
        <f>EXP(-LN(2)/2)*BR56+(1-EXP(-LN(2)/2))/(LN(2)/2)*BL57*BO57*VLOOKUP('Données projet'!$B$11,Paramètres!$A$1:$I$89,3,0)*0.475*44/12</f>
        <v>9.1265296075969241E-4</v>
      </c>
      <c r="BS57" s="22">
        <f t="shared" si="9"/>
        <v>11.928279681026186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14.668131868131875</v>
      </c>
      <c r="N58" s="13">
        <f>IF('Données projet'!$A$36&gt;35,N57+M58-V57,IF(A58&lt;'Données projet'!$A$36,$K$205^A58,IF(A58='Données projet'!$A$36,'Données projet'!$B$36,N57+M58-V57)))</f>
        <v>333.3857142857143</v>
      </c>
      <c r="O58" s="13">
        <f>N58*VLOOKUP('Données projet'!$B$9,Paramètres!$A$1:$I$89,3,0)*VLOOKUP('Données projet'!$B$9,Paramètres!$A$1:$I$89,5,0)</f>
        <v>156.0245142857143</v>
      </c>
      <c r="P58" s="13">
        <f t="shared" si="33"/>
        <v>39.944524680961258</v>
      </c>
      <c r="Q58" s="20">
        <f t="shared" si="53"/>
        <v>341.31274286695992</v>
      </c>
      <c r="R58" s="59">
        <f t="shared" si="0"/>
        <v>634.64607620029324</v>
      </c>
      <c r="S58" s="59">
        <f ca="1">AVERAGE(OFFSET($R$3,0,0,'Données projet'!$E$9+1,1))-AVERAGE(OFFSET($H$3,0,0,'Données projet'!$E$9+1,1))</f>
        <v>158.58786357608489</v>
      </c>
      <c r="T58" s="59">
        <f t="shared" si="34"/>
        <v>163.20074068819849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15.6</v>
      </c>
      <c r="AI58" s="13">
        <f>IF('Données projet'!$A$62&gt;35,AI57+AH58-AQ57,IF(A58&lt;'Données projet'!$A$62,$AF$205^A58,IF(A58='Données projet'!$A$62,'Données projet'!$B$62,AI57+AH58-AQ57)))</f>
        <v>368.99999999999994</v>
      </c>
      <c r="AJ58" s="13">
        <f>AI58*VLOOKUP('Données projet'!$B$10,Paramètres!$A$1:$I$89,3,0)*VLOOKUP('Données projet'!$B$10,Paramètres!$A$1:$I$89,5,0)</f>
        <v>220.66199999999998</v>
      </c>
      <c r="AK58" s="13">
        <f t="shared" si="35"/>
        <v>54.258742979954953</v>
      </c>
      <c r="AL58" s="20">
        <f t="shared" si="4"/>
        <v>478.82029402342147</v>
      </c>
      <c r="AM58" s="59">
        <f t="shared" si="5"/>
        <v>772.15362735675478</v>
      </c>
      <c r="AN58" s="59">
        <f ca="1">AVERAGE(OFFSET($AM$3,0,0,'Données projet'!$E$10+1,1))-AVERAGE(OFFSET($H$3,0,0,'Données projet'!$E$10+1,1))</f>
        <v>270.30888762640245</v>
      </c>
      <c r="AO58" s="59">
        <f t="shared" si="36"/>
        <v>202.23783851977691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1.305484978836349</v>
      </c>
      <c r="AV58" s="21">
        <f>EXP(-LN(2)/25)*AV57+(1-EXP(-LN(2)/25))/(LN(2)/25)*Calculateur!AQ58*Calculateur!AS58*VLOOKUP('Données projet'!$B$10,Paramètres!$A$1:$I$89,3,0)*0.475*44/12</f>
        <v>6.1476040861203707</v>
      </c>
      <c r="AW58" s="21">
        <f>EXP(-LN(2)/2)*AW57+(1-EXP(-LN(2)/2))/(LN(2)/2)*AQ58*AT58*VLOOKUP('Données projet'!$B$10,Paramètres!$A$1:$I$89,3,0)*0.475*44/12</f>
        <v>3.1924435872354171E-3</v>
      </c>
      <c r="AX58" s="21">
        <f t="shared" si="6"/>
        <v>7.4562815085439551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12.837499999999991</v>
      </c>
      <c r="BD58" s="12">
        <f>IF('Données projet'!$A$88&gt;35,BD57+BC58-BL57,IF(A58&lt;'Données projet'!$A$88,$BA$205^A58,IF(A58='Données projet'!$A$88,'Données projet'!$B$88,BD57+BC58-BL57)))</f>
        <v>433.63942307692287</v>
      </c>
      <c r="BE58" s="13">
        <f>BD58*VLOOKUP('Données projet'!$B$11,Paramètres!$A$1:$I$89,3,0)*VLOOKUP('Données projet'!$B$11,Paramètres!$A$1:$I$89,5,0)</f>
        <v>259.31637499999988</v>
      </c>
      <c r="BF58" s="13">
        <f t="shared" si="37"/>
        <v>62.576634410968637</v>
      </c>
      <c r="BG58" s="20">
        <f t="shared" si="7"/>
        <v>560.63032472410339</v>
      </c>
      <c r="BH58" s="59">
        <f t="shared" si="8"/>
        <v>853.96365805743676</v>
      </c>
      <c r="BI58" s="59">
        <f ca="1">AVERAGE(OFFSET($BH$3,0,0,'Données projet'!$E$11+1,1))-AVERAGE(OFFSET($H$3,0,0,'Données projet'!$E$11+1,1))</f>
        <v>243.85350804244348</v>
      </c>
      <c r="BJ58" s="59">
        <f t="shared" si="38"/>
        <v>304.60992308960545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2.7585280277958293</v>
      </c>
      <c r="BQ58" s="21">
        <f>EXP(-LN(2)/25)*BQ57+(1-EXP(-LN(2)/25))/(LN(2)/25)*Calculateur!BL58*Calculateur!BN58*VLOOKUP('Données projet'!$B$11,Paramètres!$A$1:$I$89,3,0)*0.475*44/12</f>
        <v>8.8644503787312416</v>
      </c>
      <c r="BR58" s="21">
        <f>EXP(-LN(2)/2)*BR57+(1-EXP(-LN(2)/2))/(LN(2)/2)*BL58*BO58*VLOOKUP('Données projet'!$B$11,Paramètres!$A$1:$I$89,3,0)*0.475*44/12</f>
        <v>6.4534309742315856E-4</v>
      </c>
      <c r="BS58" s="22">
        <f t="shared" si="9"/>
        <v>11.623623749624494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348.05384615384617</v>
      </c>
      <c r="L59" s="12">
        <f>VLOOKUP(A59,'Données projet'!$A$35:$I$55,9,0)</f>
        <v>14.668131868131875</v>
      </c>
      <c r="M59" s="12">
        <f t="array" ref="M59">INDEX(L:L,MIN(IF(ISNUMBER(L59:L255),ROW(L59:L255),"")))</f>
        <v>14.668131868131875</v>
      </c>
      <c r="N59" s="13">
        <f>IF('Données projet'!$A$36&gt;35,N58+M59-V58,IF(A59&lt;'Données projet'!$A$36,$K$205^A59,IF(A59='Données projet'!$A$36,'Données projet'!$B$36,N58+M59-V58)))</f>
        <v>348.05384615384617</v>
      </c>
      <c r="O59" s="13">
        <f>N59*VLOOKUP('Données projet'!$B$9,Paramètres!$A$1:$I$89,3,0)*VLOOKUP('Données projet'!$B$9,Paramètres!$A$1:$I$89,5,0)</f>
        <v>162.88919999999999</v>
      </c>
      <c r="P59" s="13">
        <f t="shared" si="33"/>
        <v>41.493502222820894</v>
      </c>
      <c r="Q59" s="20">
        <f t="shared" si="53"/>
        <v>355.96653970474637</v>
      </c>
      <c r="R59" s="59">
        <f t="shared" si="0"/>
        <v>649.29987303807968</v>
      </c>
      <c r="S59" s="59">
        <f ca="1">AVERAGE(OFFSET($R$3,0,0,'Données projet'!$E$9+1,1))-AVERAGE(OFFSET($H$3,0,0,'Données projet'!$E$9+1,1))</f>
        <v>158.58786357608489</v>
      </c>
      <c r="T59" s="59">
        <f t="shared" si="34"/>
        <v>163.20074068819849</v>
      </c>
      <c r="U59" s="15">
        <f>IF(ISNA(VLOOKUP(A59,'Données projet'!$A$35:$I$55,3,0)),0,VLOOKUP(A59,'Données projet'!$A$35:$I$55,3,0))</f>
        <v>3</v>
      </c>
      <c r="V59" s="15">
        <f>IF(ISNA(VLOOKUP(A59,'Données projet'!$A$35:$I$55,4,0)),0,VLOOKUP(A59,'Données projet'!$A$35:$I$55,4,0))</f>
        <v>72.769230769230759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15.6</v>
      </c>
      <c r="AI59" s="13">
        <f>IF('Données projet'!$A$62&gt;35,AI58+AH59-AQ58,IF(A59&lt;'Données projet'!$A$62,$AF$205^A59,IF(A59='Données projet'!$A$62,'Données projet'!$B$62,AI58+AH59-AQ58)))</f>
        <v>384.59999999999997</v>
      </c>
      <c r="AJ59" s="13">
        <f>AI59*VLOOKUP('Données projet'!$B$10,Paramètres!$A$1:$I$89,3,0)*VLOOKUP('Données projet'!$B$10,Paramètres!$A$1:$I$89,5,0)</f>
        <v>229.99080000000001</v>
      </c>
      <c r="AK59" s="13">
        <f t="shared" si="35"/>
        <v>56.280692271413919</v>
      </c>
      <c r="AL59" s="20">
        <f t="shared" si="4"/>
        <v>498.58951570604586</v>
      </c>
      <c r="AM59" s="59">
        <f t="shared" si="5"/>
        <v>791.92284903937912</v>
      </c>
      <c r="AN59" s="59">
        <f ca="1">AVERAGE(OFFSET($AM$3,0,0,'Données projet'!$E$10+1,1))-AVERAGE(OFFSET($H$3,0,0,'Données projet'!$E$10+1,1))</f>
        <v>270.30888762640245</v>
      </c>
      <c r="AO59" s="59">
        <f t="shared" si="36"/>
        <v>202.23783851977691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1.2798852146685804</v>
      </c>
      <c r="AV59" s="21">
        <f>EXP(-LN(2)/25)*AV58+(1-EXP(-LN(2)/25))/(LN(2)/25)*Calculateur!AQ59*Calculateur!AS59*VLOOKUP('Données projet'!$B$10,Paramètres!$A$1:$I$89,3,0)*0.475*44/12</f>
        <v>5.9794975290969612</v>
      </c>
      <c r="AW59" s="21">
        <f>EXP(-LN(2)/2)*AW58+(1-EXP(-LN(2)/2))/(LN(2)/2)*AQ59*AT59*VLOOKUP('Données projet'!$B$10,Paramètres!$A$1:$I$89,3,0)*0.475*44/12</f>
        <v>2.2573985090896709E-3</v>
      </c>
      <c r="AX59" s="21">
        <f t="shared" si="6"/>
        <v>7.2616401422746319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446.47692307692301</v>
      </c>
      <c r="BB59" s="12">
        <f>VLOOKUP(A59,'Données projet'!$A$87:$I$107,9,0)</f>
        <v>12.837499999999991</v>
      </c>
      <c r="BC59" s="12">
        <f t="array" ref="BC59">INDEX(BB:BB,MIN(IF(ISNUMBER(BB59:BB255),ROW(BB59:BB255),"")))</f>
        <v>12.837499999999991</v>
      </c>
      <c r="BD59" s="12">
        <f>IF('Données projet'!$A$88&gt;35,BD58+BC59-BL58,IF(A59&lt;'Données projet'!$A$88,$BA$205^A59,IF(A59='Données projet'!$A$88,'Données projet'!$B$88,BD58+BC59-BL58)))</f>
        <v>446.47692307692284</v>
      </c>
      <c r="BE59" s="13">
        <f>BD59*VLOOKUP('Données projet'!$B$11,Paramètres!$A$1:$I$89,3,0)*VLOOKUP('Données projet'!$B$11,Paramètres!$A$1:$I$89,5,0)</f>
        <v>266.99319999999989</v>
      </c>
      <c r="BF59" s="13">
        <f t="shared" si="37"/>
        <v>64.210735131625498</v>
      </c>
      <c r="BG59" s="20">
        <f t="shared" si="7"/>
        <v>576.84685368758085</v>
      </c>
      <c r="BH59" s="59">
        <f t="shared" si="8"/>
        <v>870.18018702091422</v>
      </c>
      <c r="BI59" s="59">
        <f ca="1">AVERAGE(OFFSET($BH$3,0,0,'Données projet'!$E$11+1,1))-AVERAGE(OFFSET($H$3,0,0,'Données projet'!$E$11+1,1))</f>
        <v>243.85350804244348</v>
      </c>
      <c r="BJ59" s="59">
        <f t="shared" si="38"/>
        <v>304.60992308960545</v>
      </c>
      <c r="BK59" s="15">
        <f>IF(ISNA(VLOOKUP(A59,'Données projet'!$A$87:$I$107,3,0)),0,VLOOKUP(A59,'Données projet'!$A$87:$I$107,3,0))</f>
        <v>7</v>
      </c>
      <c r="BL59" s="15">
        <f>IF(ISNA(VLOOKUP(A59,'Données projet'!$A$87:$I$107,4,0)),0,VLOOKUP(A59,'Données projet'!$A$87:$I$107,4,0))</f>
        <v>446.47692307692301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2.7044349757067132</v>
      </c>
      <c r="BQ59" s="21">
        <f>EXP(-LN(2)/25)*BQ58+(1-EXP(-LN(2)/25))/(LN(2)/25)*Calculateur!BL59*Calculateur!BN59*VLOOKUP('Données projet'!$B$11,Paramètres!$A$1:$I$89,3,0)*0.475*44/12</f>
        <v>8.6220515169636496</v>
      </c>
      <c r="BR59" s="21">
        <f>EXP(-LN(2)/2)*BR58+(1-EXP(-LN(2)/2))/(LN(2)/2)*BL59*BO59*VLOOKUP('Données projet'!$B$11,Paramètres!$A$1:$I$89,3,0)*0.475*44/12</f>
        <v>4.5632648037984621E-4</v>
      </c>
      <c r="BS59" s="22">
        <f t="shared" si="9"/>
        <v>11.326942819150743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14.270329670329668</v>
      </c>
      <c r="N60" s="13">
        <f>IF('Données projet'!$A$36&gt;35,N59+M60-V59,IF(A60&lt;'Données projet'!$A$36,$K$205^A60,IF(A60='Données projet'!$A$36,'Données projet'!$B$36,N59+M60-V59)))</f>
        <v>289.55494505494505</v>
      </c>
      <c r="O60" s="13">
        <f>N60*VLOOKUP('Données projet'!$B$9,Paramètres!$A$1:$I$89,3,0)*VLOOKUP('Données projet'!$B$9,Paramètres!$A$1:$I$89,5,0)</f>
        <v>135.51171428571428</v>
      </c>
      <c r="P60" s="13">
        <f t="shared" si="33"/>
        <v>35.26686051307076</v>
      </c>
      <c r="Q60" s="20">
        <f t="shared" si="53"/>
        <v>297.43935110788397</v>
      </c>
      <c r="R60" s="59">
        <f t="shared" si="0"/>
        <v>590.77268444121728</v>
      </c>
      <c r="S60" s="59">
        <f ca="1">AVERAGE(OFFSET($R$3,0,0,'Données projet'!$E$9+1,1))-AVERAGE(OFFSET($H$3,0,0,'Données projet'!$E$9+1,1))</f>
        <v>158.58786357608489</v>
      </c>
      <c r="T60" s="59">
        <f t="shared" si="34"/>
        <v>163.20074068819849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15.6</v>
      </c>
      <c r="AI60" s="13">
        <f>IF('Données projet'!$A$62&gt;35,AI59+AH60-AQ59,IF(A60&lt;'Données projet'!$A$62,$AF$205^A60,IF(A60='Données projet'!$A$62,'Données projet'!$B$62,AI59+AH60-AQ59)))</f>
        <v>400.2</v>
      </c>
      <c r="AJ60" s="13">
        <f>AI60*VLOOKUP('Données projet'!$B$10,Paramètres!$A$1:$I$89,3,0)*VLOOKUP('Données projet'!$B$10,Paramètres!$A$1:$I$89,5,0)</f>
        <v>239.31960000000004</v>
      </c>
      <c r="AK60" s="13">
        <f t="shared" si="35"/>
        <v>58.293114928060938</v>
      </c>
      <c r="AL60" s="20">
        <f t="shared" si="4"/>
        <v>518.34214516637292</v>
      </c>
      <c r="AM60" s="59">
        <f t="shared" si="5"/>
        <v>811.67547849970629</v>
      </c>
      <c r="AN60" s="59">
        <f ca="1">AVERAGE(OFFSET($AM$3,0,0,'Données projet'!$E$10+1,1))-AVERAGE(OFFSET($H$3,0,0,'Données projet'!$E$10+1,1))</f>
        <v>270.30888762640245</v>
      </c>
      <c r="AO60" s="59">
        <f t="shared" si="36"/>
        <v>202.23783851977691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1.2547874462618274</v>
      </c>
      <c r="AV60" s="21">
        <f>EXP(-LN(2)/25)*AV59+(1-EXP(-LN(2)/25))/(LN(2)/25)*Calculateur!AQ60*Calculateur!AS60*VLOOKUP('Données projet'!$B$10,Paramètres!$A$1:$I$89,3,0)*0.475*44/12</f>
        <v>5.8159878547156962</v>
      </c>
      <c r="AW60" s="21">
        <f>EXP(-LN(2)/2)*AW59+(1-EXP(-LN(2)/2))/(LN(2)/2)*AQ60*AT60*VLOOKUP('Données projet'!$B$10,Paramètres!$A$1:$I$89,3,0)*0.475*44/12</f>
        <v>1.5962217936177085E-3</v>
      </c>
      <c r="AX60" s="21">
        <f t="shared" si="6"/>
        <v>7.0723715227711406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-1.7053025658242404E-13</v>
      </c>
      <c r="BE60" s="13">
        <f>BD60*VLOOKUP('Données projet'!$B$11,Paramètres!$A$1:$I$89,3,0)*VLOOKUP('Données projet'!$B$11,Paramètres!$A$1:$I$89,5,0)</f>
        <v>-1.0197709343628959E-13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243.85350804244348</v>
      </c>
      <c r="BJ60" s="59">
        <f t="shared" si="38"/>
        <v>304.60992308960545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2.651402655375561</v>
      </c>
      <c r="BQ60" s="21">
        <f>EXP(-LN(2)/25)*BQ59+(1-EXP(-LN(2)/25))/(LN(2)/25)*Calculateur!BL60*Calculateur!BN60*VLOOKUP('Données projet'!$B$11,Paramètres!$A$1:$I$89,3,0)*0.475*44/12</f>
        <v>8.3862810648182951</v>
      </c>
      <c r="BR60" s="21">
        <f>EXP(-LN(2)/2)*BR59+(1-EXP(-LN(2)/2))/(LN(2)/2)*BL60*BO60*VLOOKUP('Données projet'!$B$11,Paramètres!$A$1:$I$89,3,0)*0.475*44/12</f>
        <v>3.2267154871157928E-4</v>
      </c>
      <c r="BS60" s="22">
        <f t="shared" si="9"/>
        <v>11.038006391742568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14.270329670329668</v>
      </c>
      <c r="N61" s="13">
        <f>IF('Données projet'!$A$36&gt;35,N60+M61-V60,IF(A61&lt;'Données projet'!$A$36,$K$205^A61,IF(A61='Données projet'!$A$36,'Données projet'!$B$36,N60+M61-V60)))</f>
        <v>303.82527472527471</v>
      </c>
      <c r="O61" s="13">
        <f>N61*VLOOKUP('Données projet'!$B$9,Paramètres!$A$1:$I$89,3,0)*VLOOKUP('Données projet'!$B$9,Paramètres!$A$1:$I$89,5,0)</f>
        <v>142.19022857142855</v>
      </c>
      <c r="P61" s="13">
        <f t="shared" si="33"/>
        <v>36.798301893816983</v>
      </c>
      <c r="Q61" s="20">
        <f t="shared" si="53"/>
        <v>311.7383572269693</v>
      </c>
      <c r="R61" s="59">
        <f t="shared" si="0"/>
        <v>605.07169056030261</v>
      </c>
      <c r="S61" s="59">
        <f ca="1">AVERAGE(OFFSET($R$3,0,0,'Données projet'!$E$9+1,1))-AVERAGE(OFFSET($H$3,0,0,'Données projet'!$E$9+1,1))</f>
        <v>158.58786357608489</v>
      </c>
      <c r="T61" s="59">
        <f t="shared" si="34"/>
        <v>163.20074068819849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15.6</v>
      </c>
      <c r="AI61" s="13">
        <f>IF('Données projet'!$A$62&gt;35,AI60+AH61-AQ60,IF(A61&lt;'Données projet'!$A$62,$AF$205^A61,IF(A61='Données projet'!$A$62,'Données projet'!$B$62,AI60+AH61-AQ60)))</f>
        <v>415.8</v>
      </c>
      <c r="AJ61" s="13">
        <f>AI61*VLOOKUP('Données projet'!$B$10,Paramètres!$A$1:$I$89,3,0)*VLOOKUP('Données projet'!$B$10,Paramètres!$A$1:$I$89,5,0)</f>
        <v>248.64840000000001</v>
      </c>
      <c r="AK61" s="13">
        <f t="shared" si="35"/>
        <v>60.296424802828774</v>
      </c>
      <c r="AL61" s="20">
        <f t="shared" si="4"/>
        <v>538.07890319826015</v>
      </c>
      <c r="AM61" s="59">
        <f t="shared" si="5"/>
        <v>831.41223653159341</v>
      </c>
      <c r="AN61" s="59">
        <f ca="1">AVERAGE(OFFSET($AM$3,0,0,'Données projet'!$E$10+1,1))-AVERAGE(OFFSET($H$3,0,0,'Données projet'!$E$10+1,1))</f>
        <v>270.30888762640245</v>
      </c>
      <c r="AO61" s="59">
        <f t="shared" si="36"/>
        <v>202.23783851977691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1.2301818297854037</v>
      </c>
      <c r="AV61" s="21">
        <f>EXP(-LN(2)/25)*AV60+(1-EXP(-LN(2)/25))/(LN(2)/25)*Calculateur!AQ61*Calculateur!AS61*VLOOKUP('Données projet'!$B$10,Paramètres!$A$1:$I$89,3,0)*0.475*44/12</f>
        <v>5.6569493609789872</v>
      </c>
      <c r="AW61" s="21">
        <f>EXP(-LN(2)/2)*AW60+(1-EXP(-LN(2)/2))/(LN(2)/2)*AQ61*AT61*VLOOKUP('Données projet'!$B$10,Paramètres!$A$1:$I$89,3,0)*0.475*44/12</f>
        <v>1.1286992545448354E-3</v>
      </c>
      <c r="AX61" s="21">
        <f t="shared" si="6"/>
        <v>6.8882598900189356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-1.7053025658242404E-13</v>
      </c>
      <c r="BE61" s="13">
        <f>BD61*VLOOKUP('Données projet'!$B$11,Paramètres!$A$1:$I$89,3,0)*VLOOKUP('Données projet'!$B$11,Paramètres!$A$1:$I$89,5,0)</f>
        <v>-1.0197709343628959E-13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243.85350804244348</v>
      </c>
      <c r="BJ61" s="59">
        <f t="shared" si="38"/>
        <v>304.60992308960545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2.5994102664995813</v>
      </c>
      <c r="BQ61" s="21">
        <f>EXP(-LN(2)/25)*BQ60+(1-EXP(-LN(2)/25))/(LN(2)/25)*Calculateur!BL61*Calculateur!BN61*VLOOKUP('Données projet'!$B$11,Paramètres!$A$1:$I$89,3,0)*0.475*44/12</f>
        <v>8.1569577680854852</v>
      </c>
      <c r="BR61" s="21">
        <f>EXP(-LN(2)/2)*BR60+(1-EXP(-LN(2)/2))/(LN(2)/2)*BL61*BO61*VLOOKUP('Données projet'!$B$11,Paramètres!$A$1:$I$89,3,0)*0.475*44/12</f>
        <v>2.281632401899231E-4</v>
      </c>
      <c r="BS61" s="22">
        <f t="shared" si="9"/>
        <v>10.756596197825255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14.270329670329668</v>
      </c>
      <c r="N62" s="13">
        <f>IF('Données projet'!$A$36&gt;35,N61+M62-V61,IF(A62&lt;'Données projet'!$A$36,$K$205^A62,IF(A62='Données projet'!$A$36,'Données projet'!$B$36,N61+M62-V61)))</f>
        <v>318.09560439560437</v>
      </c>
      <c r="O62" s="13">
        <f>N62*VLOOKUP('Données projet'!$B$9,Paramètres!$A$1:$I$89,3,0)*VLOOKUP('Données projet'!$B$9,Paramètres!$A$1:$I$89,5,0)</f>
        <v>148.86874285714285</v>
      </c>
      <c r="P62" s="13">
        <f t="shared" si="33"/>
        <v>38.321390217280914</v>
      </c>
      <c r="Q62" s="20">
        <f t="shared" si="53"/>
        <v>326.02281510462137</v>
      </c>
      <c r="R62" s="59">
        <f t="shared" si="0"/>
        <v>619.35614843795474</v>
      </c>
      <c r="S62" s="59">
        <f ca="1">AVERAGE(OFFSET($R$3,0,0,'Données projet'!$E$9+1,1))-AVERAGE(OFFSET($H$3,0,0,'Données projet'!$E$9+1,1))</f>
        <v>158.58786357608489</v>
      </c>
      <c r="T62" s="59">
        <f t="shared" si="34"/>
        <v>163.20074068819849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15.6</v>
      </c>
      <c r="AI62" s="13">
        <f>IF('Données projet'!$A$62&gt;35,AI61+AH62-AQ61,IF(A62&lt;'Données projet'!$A$62,$AF$205^A62,IF(A62='Données projet'!$A$62,'Données projet'!$B$62,AI61+AH62-AQ61)))</f>
        <v>431.40000000000003</v>
      </c>
      <c r="AJ62" s="13">
        <f>AI62*VLOOKUP('Données projet'!$B$10,Paramètres!$A$1:$I$89,3,0)*VLOOKUP('Données projet'!$B$10,Paramètres!$A$1:$I$89,5,0)</f>
        <v>257.97720000000004</v>
      </c>
      <c r="AK62" s="13">
        <f t="shared" si="35"/>
        <v>62.291002935551688</v>
      </c>
      <c r="AL62" s="20">
        <f t="shared" si="4"/>
        <v>557.80045344608595</v>
      </c>
      <c r="AM62" s="59">
        <f t="shared" si="5"/>
        <v>851.13378677941932</v>
      </c>
      <c r="AN62" s="59">
        <f ca="1">AVERAGE(OFFSET($AM$3,0,0,'Données projet'!$E$10+1,1))-AVERAGE(OFFSET($H$3,0,0,'Données projet'!$E$10+1,1))</f>
        <v>270.30888762640245</v>
      </c>
      <c r="AO62" s="59">
        <f t="shared" si="36"/>
        <v>202.23783851977691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1.2060587144401385</v>
      </c>
      <c r="AV62" s="21">
        <f>EXP(-LN(2)/25)*AV61+(1-EXP(-LN(2)/25))/(LN(2)/25)*Calculateur!AQ62*Calculateur!AS62*VLOOKUP('Données projet'!$B$10,Paramètres!$A$1:$I$89,3,0)*0.475*44/12</f>
        <v>5.5022597832169788</v>
      </c>
      <c r="AW62" s="21">
        <f>EXP(-LN(2)/2)*AW61+(1-EXP(-LN(2)/2))/(LN(2)/2)*AQ62*AT62*VLOOKUP('Données projet'!$B$10,Paramètres!$A$1:$I$89,3,0)*0.475*44/12</f>
        <v>7.9811089680885427E-4</v>
      </c>
      <c r="AX62" s="21">
        <f t="shared" si="6"/>
        <v>6.7091166085539262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-1.7053025658242404E-13</v>
      </c>
      <c r="BE62" s="13">
        <f>BD62*VLOOKUP('Données projet'!$B$11,Paramètres!$A$1:$I$89,3,0)*VLOOKUP('Données projet'!$B$11,Paramètres!$A$1:$I$89,5,0)</f>
        <v>-1.0197709343628959E-13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243.85350804244348</v>
      </c>
      <c r="BJ62" s="59">
        <f t="shared" si="38"/>
        <v>304.60992308960545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2.5484374166572334</v>
      </c>
      <c r="BQ62" s="21">
        <f>EXP(-LN(2)/25)*BQ61+(1-EXP(-LN(2)/25))/(LN(2)/25)*Calculateur!BL62*Calculateur!BN62*VLOOKUP('Données projet'!$B$11,Paramètres!$A$1:$I$89,3,0)*0.475*44/12</f>
        <v>7.9339053289614219</v>
      </c>
      <c r="BR62" s="21">
        <f>EXP(-LN(2)/2)*BR61+(1-EXP(-LN(2)/2))/(LN(2)/2)*BL62*BO62*VLOOKUP('Données projet'!$B$11,Paramètres!$A$1:$I$89,3,0)*0.475*44/12</f>
        <v>1.6133577435578964E-4</v>
      </c>
      <c r="BS62" s="22">
        <f t="shared" si="9"/>
        <v>10.482504081393012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14.270329670329668</v>
      </c>
      <c r="N63" s="13">
        <f>IF('Données projet'!$A$36&gt;35,N62+M63-V62,IF(A63&lt;'Données projet'!$A$36,$K$205^A63,IF(A63='Données projet'!$A$36,'Données projet'!$B$36,N62+M63-V62)))</f>
        <v>332.36593406593403</v>
      </c>
      <c r="O63" s="13">
        <f>N63*VLOOKUP('Données projet'!$B$9,Paramètres!$A$1:$I$89,3,0)*VLOOKUP('Données projet'!$B$9,Paramètres!$A$1:$I$89,5,0)</f>
        <v>155.54725714285712</v>
      </c>
      <c r="P63" s="13">
        <f t="shared" si="33"/>
        <v>39.836543030962723</v>
      </c>
      <c r="Q63" s="20">
        <f t="shared" si="53"/>
        <v>340.29345196940289</v>
      </c>
      <c r="R63" s="59">
        <f t="shared" si="0"/>
        <v>633.62678530273615</v>
      </c>
      <c r="S63" s="59">
        <f ca="1">AVERAGE(OFFSET($R$3,0,0,'Données projet'!$E$9+1,1))-AVERAGE(OFFSET($H$3,0,0,'Données projet'!$E$9+1,1))</f>
        <v>158.58786357608489</v>
      </c>
      <c r="T63" s="59">
        <f t="shared" si="34"/>
        <v>163.20074068819849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447</v>
      </c>
      <c r="AG63" s="12">
        <f>VLOOKUP(A63,'Données projet'!$A$61:$I$81,9,0)</f>
        <v>15.6</v>
      </c>
      <c r="AH63" s="12">
        <f t="array" ref="AH63">INDEX(AG:AG,MIN(IF(ISNUMBER(AG63:AG259),ROW(AG63:AG259),"")))</f>
        <v>15.6</v>
      </c>
      <c r="AI63" s="13">
        <f>IF('Données projet'!$A$62&gt;35,AI62+AH63-AQ62,IF(A63&lt;'Données projet'!$A$62,$AF$205^A63,IF(A63='Données projet'!$A$62,'Données projet'!$B$62,AI62+AH63-AQ62)))</f>
        <v>447.00000000000006</v>
      </c>
      <c r="AJ63" s="13">
        <f>AI63*VLOOKUP('Données projet'!$B$10,Paramètres!$A$1:$I$89,3,0)*VLOOKUP('Données projet'!$B$10,Paramètres!$A$1:$I$89,5,0)</f>
        <v>267.30600000000004</v>
      </c>
      <c r="AK63" s="13">
        <f t="shared" si="35"/>
        <v>64.27720124631206</v>
      </c>
      <c r="AL63" s="20">
        <f t="shared" si="4"/>
        <v>577.50740883732692</v>
      </c>
      <c r="AM63" s="59">
        <f t="shared" si="5"/>
        <v>870.84074217066018</v>
      </c>
      <c r="AN63" s="59">
        <f ca="1">AVERAGE(OFFSET($AM$3,0,0,'Données projet'!$E$10+1,1))-AVERAGE(OFFSET($H$3,0,0,'Données projet'!$E$10+1,1))</f>
        <v>270.30888762640245</v>
      </c>
      <c r="AO63" s="59">
        <f t="shared" si="36"/>
        <v>202.23783851977691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90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1.1824086386731465</v>
      </c>
      <c r="AV63" s="21">
        <f>EXP(-LN(2)/25)*AV62+(1-EXP(-LN(2)/25))/(LN(2)/25)*Calculateur!AQ63*Calculateur!AS63*VLOOKUP('Données projet'!$B$10,Paramètres!$A$1:$I$89,3,0)*0.475*44/12</f>
        <v>5.3518002000936438</v>
      </c>
      <c r="AW63" s="21">
        <f>EXP(-LN(2)/2)*AW62+(1-EXP(-LN(2)/2))/(LN(2)/2)*AQ63*AT63*VLOOKUP('Données projet'!$B$10,Paramètres!$A$1:$I$89,3,0)*0.475*44/12</f>
        <v>5.6434962727241772E-4</v>
      </c>
      <c r="AX63" s="21">
        <f t="shared" si="6"/>
        <v>6.5347731883940634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-1.7053025658242404E-13</v>
      </c>
      <c r="BE63" s="13">
        <f>BD63*VLOOKUP('Données projet'!$B$11,Paramètres!$A$1:$I$89,3,0)*VLOOKUP('Données projet'!$B$11,Paramètres!$A$1:$I$89,5,0)</f>
        <v>-1.0197709343628959E-13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243.85350804244348</v>
      </c>
      <c r="BJ63" s="59">
        <f t="shared" si="38"/>
        <v>304.60992308960545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2.4984641133099257</v>
      </c>
      <c r="BQ63" s="21">
        <f>EXP(-LN(2)/25)*BQ62+(1-EXP(-LN(2)/25))/(LN(2)/25)*Calculateur!BL63*Calculateur!BN63*VLOOKUP('Données projet'!$B$11,Paramètres!$A$1:$I$89,3,0)*0.475*44/12</f>
        <v>7.7169522705150237</v>
      </c>
      <c r="BR63" s="21">
        <f>EXP(-LN(2)/2)*BR62+(1-EXP(-LN(2)/2))/(LN(2)/2)*BL63*BO63*VLOOKUP('Données projet'!$B$11,Paramètres!$A$1:$I$89,3,0)*0.475*44/12</f>
        <v>1.1408162009496155E-4</v>
      </c>
      <c r="BS63" s="22">
        <f t="shared" si="9"/>
        <v>10.215530465445045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14.270329670329668</v>
      </c>
      <c r="N64" s="13">
        <f>IF('Données projet'!$A$36&gt;35,N63+M64-V63,IF(A64&lt;'Données projet'!$A$36,$K$205^A64,IF(A64='Données projet'!$A$36,'Données projet'!$B$36,N63+M64-V63)))</f>
        <v>346.63626373626369</v>
      </c>
      <c r="O64" s="13">
        <f>N64*VLOOKUP('Données projet'!$B$9,Paramètres!$A$1:$I$89,3,0)*VLOOKUP('Données projet'!$B$9,Paramètres!$A$1:$I$89,5,0)</f>
        <v>162.22577142857142</v>
      </c>
      <c r="P64" s="13">
        <f t="shared" si="33"/>
        <v>41.344139999178246</v>
      </c>
      <c r="Q64" s="20">
        <f t="shared" si="53"/>
        <v>354.55092906999738</v>
      </c>
      <c r="R64" s="59">
        <f t="shared" si="0"/>
        <v>647.88426240333069</v>
      </c>
      <c r="S64" s="59">
        <f ca="1">AVERAGE(OFFSET($R$3,0,0,'Données projet'!$E$9+1,1))-AVERAGE(OFFSET($H$3,0,0,'Données projet'!$E$9+1,1))</f>
        <v>158.58786357608489</v>
      </c>
      <c r="T64" s="59">
        <f t="shared" si="34"/>
        <v>163.20074068819849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14.1</v>
      </c>
      <c r="AI64" s="13">
        <f>IF('Données projet'!$A$62&gt;35,AI63+AH64-AQ63,IF(A64&lt;'Données projet'!$A$62,$AF$205^A64,IF(A64='Données projet'!$A$62,'Données projet'!$B$62,AI63+AH64-AQ63)))</f>
        <v>371.10000000000008</v>
      </c>
      <c r="AJ64" s="13">
        <f>AI64*VLOOKUP('Données projet'!$B$10,Paramètres!$A$1:$I$89,3,0)*VLOOKUP('Données projet'!$B$10,Paramètres!$A$1:$I$89,5,0)</f>
        <v>221.91780000000006</v>
      </c>
      <c r="AK64" s="13">
        <f t="shared" si="35"/>
        <v>54.531499284124365</v>
      </c>
      <c r="AL64" s="20">
        <f t="shared" si="4"/>
        <v>481.4825295865167</v>
      </c>
      <c r="AM64" s="59">
        <f t="shared" si="5"/>
        <v>774.81586291985002</v>
      </c>
      <c r="AN64" s="59">
        <f ca="1">AVERAGE(OFFSET($AM$3,0,0,'Données projet'!$E$10+1,1))-AVERAGE(OFFSET($H$3,0,0,'Données projet'!$E$10+1,1))</f>
        <v>270.30888762640245</v>
      </c>
      <c r="AO64" s="59">
        <f t="shared" si="36"/>
        <v>202.23783851977691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1.1592223264668233</v>
      </c>
      <c r="AV64" s="21">
        <f>EXP(-LN(2)/25)*AV63+(1-EXP(-LN(2)/25))/(LN(2)/25)*Calculateur!AQ64*Calculateur!AS64*VLOOKUP('Données projet'!$B$10,Paramètres!$A$1:$I$89,3,0)*0.475*44/12</f>
        <v>5.2054549421831426</v>
      </c>
      <c r="AW64" s="21">
        <f>EXP(-LN(2)/2)*AW63+(1-EXP(-LN(2)/2))/(LN(2)/2)*AQ64*AT64*VLOOKUP('Données projet'!$B$10,Paramètres!$A$1:$I$89,3,0)*0.475*44/12</f>
        <v>3.9905544840442714E-4</v>
      </c>
      <c r="AX64" s="21">
        <f t="shared" si="6"/>
        <v>6.3650763240983705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-1.7053025658242404E-13</v>
      </c>
      <c r="BE64" s="13">
        <f>BD64*VLOOKUP('Données projet'!$B$11,Paramètres!$A$1:$I$89,3,0)*VLOOKUP('Données projet'!$B$11,Paramètres!$A$1:$I$89,5,0)</f>
        <v>-1.0197709343628959E-13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243.85350804244348</v>
      </c>
      <c r="BJ64" s="59">
        <f t="shared" si="38"/>
        <v>304.60992308960545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2.4494707559605531</v>
      </c>
      <c r="BQ64" s="21">
        <f>EXP(-LN(2)/25)*BQ63+(1-EXP(-LN(2)/25))/(LN(2)/25)*Calculateur!BL64*Calculateur!BN64*VLOOKUP('Données projet'!$B$11,Paramètres!$A$1:$I$89,3,0)*0.475*44/12</f>
        <v>7.5059318048609081</v>
      </c>
      <c r="BR64" s="21">
        <f>EXP(-LN(2)/2)*BR63+(1-EXP(-LN(2)/2))/(LN(2)/2)*BL64*BO64*VLOOKUP('Données projet'!$B$11,Paramètres!$A$1:$I$89,3,0)*0.475*44/12</f>
        <v>8.066788717789482E-5</v>
      </c>
      <c r="BS64" s="22">
        <f t="shared" si="9"/>
        <v>9.9554832287086388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14.270329670329668</v>
      </c>
      <c r="N65" s="13">
        <f>IF('Données projet'!$A$36&gt;35,N64+M65-V64,IF(A65&lt;'Données projet'!$A$36,$K$205^A65,IF(A65='Données projet'!$A$36,'Données projet'!$B$36,N64+M65-V64)))</f>
        <v>360.90659340659334</v>
      </c>
      <c r="O65" s="13">
        <f>N65*VLOOKUP('Données projet'!$B$9,Paramètres!$A$1:$I$89,3,0)*VLOOKUP('Données projet'!$B$9,Paramètres!$A$1:$I$89,5,0)</f>
        <v>168.90428571428566</v>
      </c>
      <c r="P65" s="13">
        <f t="shared" si="33"/>
        <v>42.844527757373569</v>
      </c>
      <c r="Q65" s="20">
        <f t="shared" si="53"/>
        <v>368.79585012980647</v>
      </c>
      <c r="R65" s="59">
        <f t="shared" si="0"/>
        <v>662.12918346313973</v>
      </c>
      <c r="S65" s="59">
        <f ca="1">AVERAGE(OFFSET($R$3,0,0,'Données projet'!$E$9+1,1))-AVERAGE(OFFSET($H$3,0,0,'Données projet'!$E$9+1,1))</f>
        <v>158.58786357608489</v>
      </c>
      <c r="T65" s="59">
        <f t="shared" si="34"/>
        <v>163.20074068819849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14.1</v>
      </c>
      <c r="AI65" s="13">
        <f>IF('Données projet'!$A$62&gt;35,AI64+AH65-AQ64,IF(A65&lt;'Données projet'!$A$62,$AF$205^A65,IF(A65='Données projet'!$A$62,'Données projet'!$B$62,AI64+AH65-AQ64)))</f>
        <v>385.2000000000001</v>
      </c>
      <c r="AJ65" s="13">
        <f>AI65*VLOOKUP('Données projet'!$B$10,Paramètres!$A$1:$I$89,3,0)*VLOOKUP('Données projet'!$B$10,Paramètres!$A$1:$I$89,5,0)</f>
        <v>230.34960000000009</v>
      </c>
      <c r="AK65" s="13">
        <f t="shared" si="35"/>
        <v>56.35826654142631</v>
      </c>
      <c r="AL65" s="20">
        <f t="shared" si="4"/>
        <v>499.34953422631764</v>
      </c>
      <c r="AM65" s="59">
        <f t="shared" si="5"/>
        <v>792.68286755965096</v>
      </c>
      <c r="AN65" s="59">
        <f ca="1">AVERAGE(OFFSET($AM$3,0,0,'Données projet'!$E$10+1,1))-AVERAGE(OFFSET($H$3,0,0,'Données projet'!$E$10+1,1))</f>
        <v>270.30888762640245</v>
      </c>
      <c r="AO65" s="59">
        <f t="shared" si="36"/>
        <v>202.23783851977691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1.1364906837006121</v>
      </c>
      <c r="AV65" s="21">
        <f>EXP(-LN(2)/25)*AV64+(1-EXP(-LN(2)/25))/(LN(2)/25)*Calculateur!AQ65*Calculateur!AS65*VLOOKUP('Données projet'!$B$10,Paramètres!$A$1:$I$89,3,0)*0.475*44/12</f>
        <v>5.0631115030461666</v>
      </c>
      <c r="AW65" s="21">
        <f>EXP(-LN(2)/2)*AW64+(1-EXP(-LN(2)/2))/(LN(2)/2)*AQ65*AT65*VLOOKUP('Données projet'!$B$10,Paramètres!$A$1:$I$89,3,0)*0.475*44/12</f>
        <v>2.8217481363620886E-4</v>
      </c>
      <c r="AX65" s="21">
        <f t="shared" si="6"/>
        <v>6.1998843615604144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-1.7053025658242404E-13</v>
      </c>
      <c r="BE65" s="13">
        <f>BD65*VLOOKUP('Données projet'!$B$11,Paramètres!$A$1:$I$89,3,0)*VLOOKUP('Données projet'!$B$11,Paramètres!$A$1:$I$89,5,0)</f>
        <v>-1.0197709343628959E-13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243.85350804244348</v>
      </c>
      <c r="BJ65" s="59">
        <f t="shared" si="38"/>
        <v>304.60992308960545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2.4014381284658044</v>
      </c>
      <c r="BQ65" s="21">
        <f>EXP(-LN(2)/25)*BQ64+(1-EXP(-LN(2)/25))/(LN(2)/25)*Calculateur!BL65*Calculateur!BN65*VLOOKUP('Données projet'!$B$11,Paramètres!$A$1:$I$89,3,0)*0.475*44/12</f>
        <v>7.3006817049371877</v>
      </c>
      <c r="BR65" s="21">
        <f>EXP(-LN(2)/2)*BR64+(1-EXP(-LN(2)/2))/(LN(2)/2)*BL65*BO65*VLOOKUP('Données projet'!$B$11,Paramètres!$A$1:$I$89,3,0)*0.475*44/12</f>
        <v>5.7040810047480776E-5</v>
      </c>
      <c r="BS65" s="22">
        <f t="shared" si="9"/>
        <v>9.7021768742130394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375.17692307692306</v>
      </c>
      <c r="L66" s="12">
        <f>VLOOKUP(A66,'Données projet'!$A$35:$I$55,9,0)</f>
        <v>14.270329670329668</v>
      </c>
      <c r="M66" s="12">
        <f t="array" ref="M66">INDEX(L:L,MIN(IF(ISNUMBER(L66:L262),ROW(L66:L262),"")))</f>
        <v>14.270329670329668</v>
      </c>
      <c r="N66" s="13">
        <f>IF('Données projet'!$A$36&gt;35,N65+M66-V65,IF(A66&lt;'Données projet'!$A$36,$K$205^A66,IF(A66='Données projet'!$A$36,'Données projet'!$B$36,N65+M66-V65)))</f>
        <v>375.176923076923</v>
      </c>
      <c r="O66" s="13">
        <f>N66*VLOOKUP('Données projet'!$B$9,Paramètres!$A$1:$I$89,3,0)*VLOOKUP('Données projet'!$B$9,Paramètres!$A$1:$I$89,5,0)</f>
        <v>175.58279999999996</v>
      </c>
      <c r="P66" s="13">
        <f t="shared" si="33"/>
        <v>44.338023977070598</v>
      </c>
      <c r="Q66" s="20">
        <f t="shared" si="53"/>
        <v>383.02876842673123</v>
      </c>
      <c r="R66" s="59">
        <f t="shared" si="0"/>
        <v>676.36210176006455</v>
      </c>
      <c r="S66" s="59">
        <f ca="1">AVERAGE(OFFSET($R$3,0,0,'Données projet'!$E$9+1,1))-AVERAGE(OFFSET($H$3,0,0,'Données projet'!$E$9+1,1))</f>
        <v>158.58786357608489</v>
      </c>
      <c r="T66" s="59">
        <f t="shared" si="34"/>
        <v>163.20074068819849</v>
      </c>
      <c r="U66" s="15">
        <f>IF(ISNA(VLOOKUP(A66,'Données projet'!$A$35:$I$55,3,0)),0,VLOOKUP(A66,'Données projet'!$A$35:$I$55,3,0))</f>
        <v>4</v>
      </c>
      <c r="V66" s="15">
        <f>IF(ISNA(VLOOKUP(A66,'Données projet'!$A$35:$I$55,4,0)),0,VLOOKUP(A66,'Données projet'!$A$35:$I$55,4,0))</f>
        <v>71.123076923076923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14.1</v>
      </c>
      <c r="AI66" s="13">
        <f>IF('Données projet'!$A$62&gt;35,AI65+AH66-AQ65,IF(A66&lt;'Données projet'!$A$62,$AF$205^A66,IF(A66='Données projet'!$A$62,'Données projet'!$B$62,AI65+AH66-AQ65)))</f>
        <v>399.30000000000013</v>
      </c>
      <c r="AJ66" s="13">
        <f>AI66*VLOOKUP('Données projet'!$B$10,Paramètres!$A$1:$I$89,3,0)*VLOOKUP('Données projet'!$B$10,Paramètres!$A$1:$I$89,5,0)</f>
        <v>238.78140000000008</v>
      </c>
      <c r="AK66" s="13">
        <f t="shared" si="35"/>
        <v>58.177265129918027</v>
      </c>
      <c r="AL66" s="20">
        <f t="shared" si="4"/>
        <v>517.20300843460734</v>
      </c>
      <c r="AM66" s="59">
        <f t="shared" si="5"/>
        <v>810.53634176794071</v>
      </c>
      <c r="AN66" s="59">
        <f ca="1">AVERAGE(OFFSET($AM$3,0,0,'Données projet'!$E$10+1,1))-AVERAGE(OFFSET($H$3,0,0,'Données projet'!$E$10+1,1))</f>
        <v>270.30888762640245</v>
      </c>
      <c r="AO66" s="59">
        <f t="shared" si="36"/>
        <v>202.23783851977691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1.1142047945841134</v>
      </c>
      <c r="AV66" s="21">
        <f>EXP(-LN(2)/25)*AV65+(1-EXP(-LN(2)/25))/(LN(2)/25)*Calculateur!AQ66*Calculateur!AS66*VLOOKUP('Données projet'!$B$10,Paramètres!$A$1:$I$89,3,0)*0.475*44/12</f>
        <v>4.924660452737907</v>
      </c>
      <c r="AW66" s="21">
        <f>EXP(-LN(2)/2)*AW65+(1-EXP(-LN(2)/2))/(LN(2)/2)*AQ66*AT66*VLOOKUP('Données projet'!$B$10,Paramètres!$A$1:$I$89,3,0)*0.475*44/12</f>
        <v>1.9952772420221357E-4</v>
      </c>
      <c r="AX66" s="21">
        <f t="shared" si="6"/>
        <v>6.0390647750462225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-1.7053025658242404E-13</v>
      </c>
      <c r="BE66" s="13">
        <f>BD66*VLOOKUP('Données projet'!$B$11,Paramètres!$A$1:$I$89,3,0)*VLOOKUP('Données projet'!$B$11,Paramètres!$A$1:$I$89,5,0)</f>
        <v>-1.0197709343628959E-13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243.85350804244348</v>
      </c>
      <c r="BJ66" s="59">
        <f t="shared" si="38"/>
        <v>304.60992308960545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2.3543473914992181</v>
      </c>
      <c r="BQ66" s="21">
        <f>EXP(-LN(2)/25)*BQ65+(1-EXP(-LN(2)/25))/(LN(2)/25)*Calculateur!BL66*Calculateur!BN66*VLOOKUP('Données projet'!$B$11,Paramètres!$A$1:$I$89,3,0)*0.475*44/12</f>
        <v>7.1010441797895156</v>
      </c>
      <c r="BR66" s="21">
        <f>EXP(-LN(2)/2)*BR65+(1-EXP(-LN(2)/2))/(LN(2)/2)*BL66*BO66*VLOOKUP('Données projet'!$B$11,Paramètres!$A$1:$I$89,3,0)*0.475*44/12</f>
        <v>4.033394358894741E-5</v>
      </c>
      <c r="BS66" s="22">
        <f t="shared" si="9"/>
        <v>9.4554319052323237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13.737499999999997</v>
      </c>
      <c r="N67" s="13">
        <f>IF('Données projet'!$A$36&gt;35,N66+M67-V66,IF(A67&lt;'Données projet'!$A$36,$K$205^A67,IF(A67='Données projet'!$A$36,'Données projet'!$B$36,N66+M67-V66)))</f>
        <v>317.79134615384612</v>
      </c>
      <c r="O67" s="13">
        <f>N67*VLOOKUP('Données projet'!$B$9,Paramètres!$A$1:$I$89,3,0)*VLOOKUP('Données projet'!$B$9,Paramètres!$A$1:$I$89,5,0)</f>
        <v>148.72635</v>
      </c>
      <c r="P67" s="13">
        <f t="shared" si="33"/>
        <v>38.289000598915827</v>
      </c>
      <c r="Q67" s="20">
        <f t="shared" ref="Q67:Q98" si="54">(O67+P67)*0.475*44/12</f>
        <v>325.71840229311169</v>
      </c>
      <c r="R67" s="59">
        <f t="shared" ref="R67:R130" si="55">Q67+(I67+J67)*44/12</f>
        <v>619.05173562644495</v>
      </c>
      <c r="S67" s="59">
        <f ca="1">AVERAGE(OFFSET($R$3,0,0,'Données projet'!$E$9+1,1))-AVERAGE(OFFSET($H$3,0,0,'Données projet'!$E$9+1,1))</f>
        <v>158.58786357608489</v>
      </c>
      <c r="T67" s="59">
        <f t="shared" si="34"/>
        <v>163.20074068819849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14.1</v>
      </c>
      <c r="AI67" s="13">
        <f>IF('Données projet'!$A$62&gt;35,AI66+AH67-AQ66,IF(A67&lt;'Données projet'!$A$62,$AF$205^A67,IF(A67='Données projet'!$A$62,'Données projet'!$B$62,AI66+AH67-AQ66)))</f>
        <v>413.40000000000015</v>
      </c>
      <c r="AJ67" s="13">
        <f>AI67*VLOOKUP('Données projet'!$B$10,Paramètres!$A$1:$I$89,3,0)*VLOOKUP('Données projet'!$B$10,Paramètres!$A$1:$I$89,5,0)</f>
        <v>247.21320000000011</v>
      </c>
      <c r="AK67" s="13">
        <f t="shared" si="35"/>
        <v>59.988800807398761</v>
      </c>
      <c r="AL67" s="20">
        <f t="shared" si="4"/>
        <v>535.04348473955304</v>
      </c>
      <c r="AM67" s="59">
        <f t="shared" si="5"/>
        <v>828.37681807288641</v>
      </c>
      <c r="AN67" s="59">
        <f ca="1">AVERAGE(OFFSET($AM$3,0,0,'Données projet'!$E$10+1,1))-AVERAGE(OFFSET($H$3,0,0,'Données projet'!$E$10+1,1))</f>
        <v>270.30888762640245</v>
      </c>
      <c r="AO67" s="59">
        <f t="shared" si="36"/>
        <v>202.23783851977691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1.092355918160139</v>
      </c>
      <c r="AV67" s="21">
        <f>EXP(-LN(2)/25)*AV66+(1-EXP(-LN(2)/25))/(LN(2)/25)*Calculateur!AQ67*Calculateur!AS67*VLOOKUP('Données projet'!$B$10,Paramètres!$A$1:$I$89,3,0)*0.475*44/12</f>
        <v>4.7899953536811513</v>
      </c>
      <c r="AW67" s="21">
        <f>EXP(-LN(2)/2)*AW66+(1-EXP(-LN(2)/2))/(LN(2)/2)*AQ67*AT67*VLOOKUP('Données projet'!$B$10,Paramètres!$A$1:$I$89,3,0)*0.475*44/12</f>
        <v>1.4108740681810443E-4</v>
      </c>
      <c r="AX67" s="21">
        <f t="shared" si="6"/>
        <v>5.8824923592481086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-1.7053025658242404E-13</v>
      </c>
      <c r="BE67" s="13">
        <f>BD67*VLOOKUP('Données projet'!$B$11,Paramètres!$A$1:$I$89,3,0)*VLOOKUP('Données projet'!$B$11,Paramètres!$A$1:$I$89,5,0)</f>
        <v>-1.0197709343628959E-13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243.85350804244348</v>
      </c>
      <c r="BJ67" s="59">
        <f t="shared" si="38"/>
        <v>304.60992308960545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2.3081800751620332</v>
      </c>
      <c r="BQ67" s="21">
        <f>EXP(-LN(2)/25)*BQ66+(1-EXP(-LN(2)/25))/(LN(2)/25)*Calculateur!BL67*Calculateur!BN67*VLOOKUP('Données projet'!$B$11,Paramètres!$A$1:$I$89,3,0)*0.475*44/12</f>
        <v>6.9068657532654871</v>
      </c>
      <c r="BR67" s="21">
        <f>EXP(-LN(2)/2)*BR66+(1-EXP(-LN(2)/2))/(LN(2)/2)*BL67*BO67*VLOOKUP('Données projet'!$B$11,Paramètres!$A$1:$I$89,3,0)*0.475*44/12</f>
        <v>2.8520405023740388E-5</v>
      </c>
      <c r="BS67" s="22">
        <f t="shared" si="9"/>
        <v>9.2150743488325446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13.737499999999997</v>
      </c>
      <c r="N68" s="13">
        <f>IF('Données projet'!$A$36&gt;35,N67+M68-V67,IF(A68&lt;'Données projet'!$A$36,$K$205^A68,IF(A68='Données projet'!$A$36,'Données projet'!$B$36,N67+M68-V67)))</f>
        <v>331.52884615384613</v>
      </c>
      <c r="O68" s="13">
        <f>N68*VLOOKUP('Données projet'!$B$9,Paramètres!$A$1:$I$89,3,0)*VLOOKUP('Données projet'!$B$9,Paramètres!$A$1:$I$89,5,0)</f>
        <v>155.15549999999999</v>
      </c>
      <c r="P68" s="13">
        <f t="shared" si="33"/>
        <v>39.74787733410745</v>
      </c>
      <c r="Q68" s="20">
        <f t="shared" si="54"/>
        <v>339.45671552357044</v>
      </c>
      <c r="R68" s="59">
        <f t="shared" si="55"/>
        <v>632.7900488569037</v>
      </c>
      <c r="S68" s="59">
        <f ca="1">AVERAGE(OFFSET($R$3,0,0,'Données projet'!$E$9+1,1))-AVERAGE(OFFSET($H$3,0,0,'Données projet'!$E$9+1,1))</f>
        <v>158.58786357608489</v>
      </c>
      <c r="T68" s="59">
        <f t="shared" si="34"/>
        <v>163.20074068819849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14.1</v>
      </c>
      <c r="AI68" s="13">
        <f>IF('Données projet'!$A$62&gt;35,AI67+AH68-AQ67,IF(A68&lt;'Données projet'!$A$62,$AF$205^A68,IF(A68='Données projet'!$A$62,'Données projet'!$B$62,AI67+AH68-AQ67)))</f>
        <v>427.50000000000017</v>
      </c>
      <c r="AJ68" s="13">
        <f>AI68*VLOOKUP('Données projet'!$B$10,Paramètres!$A$1:$I$89,3,0)*VLOOKUP('Données projet'!$B$10,Paramètres!$A$1:$I$89,5,0)</f>
        <v>255.64500000000012</v>
      </c>
      <c r="AK68" s="13">
        <f t="shared" si="35"/>
        <v>61.793157291319226</v>
      </c>
      <c r="AL68" s="20">
        <f t="shared" ref="AL68:AL131" si="58">(AJ68+AK68)*0.475*44/12</f>
        <v>552.87145728238113</v>
      </c>
      <c r="AM68" s="59">
        <f t="shared" ref="AM68:AM131" si="59">AL68+(AD68+AE68)*44/12</f>
        <v>846.2047906157145</v>
      </c>
      <c r="AN68" s="59">
        <f ca="1">AVERAGE(OFFSET($AM$3,0,0,'Données projet'!$E$10+1,1))-AVERAGE(OFFSET($H$3,0,0,'Données projet'!$E$10+1,1))</f>
        <v>270.30888762640245</v>
      </c>
      <c r="AO68" s="59">
        <f t="shared" si="36"/>
        <v>202.23783851977691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1.0709354848763399</v>
      </c>
      <c r="AV68" s="21">
        <f>EXP(-LN(2)/25)*AV67+(1-EXP(-LN(2)/25))/(LN(2)/25)*Calculateur!AQ68*Calculateur!AS68*VLOOKUP('Données projet'!$B$10,Paramètres!$A$1:$I$89,3,0)*0.475*44/12</f>
        <v>4.6590126788398321</v>
      </c>
      <c r="AW68" s="21">
        <f>EXP(-LN(2)/2)*AW67+(1-EXP(-LN(2)/2))/(LN(2)/2)*AQ68*AT68*VLOOKUP('Données projet'!$B$10,Paramètres!$A$1:$I$89,3,0)*0.475*44/12</f>
        <v>9.9763862101106784E-5</v>
      </c>
      <c r="AX68" s="21">
        <f t="shared" ref="AX68:AX131" si="60">SUM(AU68:AW68)</f>
        <v>5.7300479275782727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-1.7053025658242404E-13</v>
      </c>
      <c r="BE68" s="13">
        <f>BD68*VLOOKUP('Données projet'!$B$11,Paramètres!$A$1:$I$89,3,0)*VLOOKUP('Données projet'!$B$11,Paramètres!$A$1:$I$89,5,0)</f>
        <v>-1.0197709343628959E-13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243.85350804244348</v>
      </c>
      <c r="BJ68" s="59">
        <f t="shared" si="38"/>
        <v>304.60992308960545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2.2629180717389379</v>
      </c>
      <c r="BQ68" s="21">
        <f>EXP(-LN(2)/25)*BQ67+(1-EXP(-LN(2)/25))/(LN(2)/25)*Calculateur!BL68*Calculateur!BN68*VLOOKUP('Données projet'!$B$11,Paramètres!$A$1:$I$89,3,0)*0.475*44/12</f>
        <v>6.7179971460261587</v>
      </c>
      <c r="BR68" s="21">
        <f>EXP(-LN(2)/2)*BR67+(1-EXP(-LN(2)/2))/(LN(2)/2)*BL68*BO68*VLOOKUP('Données projet'!$B$11,Paramètres!$A$1:$I$89,3,0)*0.475*44/12</f>
        <v>2.0166971794473705E-5</v>
      </c>
      <c r="BS68" s="22">
        <f t="shared" ref="BS68:BS131" si="63">SUM(BP68:BR68)</f>
        <v>8.98093538473689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13.737499999999997</v>
      </c>
      <c r="N69" s="13">
        <f>IF('Données projet'!$A$36&gt;35,N68+M69-V68,IF(A69&lt;'Données projet'!$A$36,$K$205^A69,IF(A69='Données projet'!$A$36,'Données projet'!$B$36,N68+M69-V68)))</f>
        <v>345.26634615384614</v>
      </c>
      <c r="O69" s="13">
        <f>N69*VLOOKUP('Données projet'!$B$9,Paramètres!$A$1:$I$89,3,0)*VLOOKUP('Données projet'!$B$9,Paramètres!$A$1:$I$89,5,0)</f>
        <v>161.58464999999998</v>
      </c>
      <c r="P69" s="13">
        <f t="shared" ref="P69:P132" si="87">EXP(-1.0587+0.8836*LN(O69)+0.284)</f>
        <v>41.199732368807574</v>
      </c>
      <c r="Q69" s="20">
        <f t="shared" si="54"/>
        <v>353.18279929233978</v>
      </c>
      <c r="R69" s="59">
        <f t="shared" si="55"/>
        <v>646.51613262567309</v>
      </c>
      <c r="S69" s="59">
        <f ca="1">AVERAGE(OFFSET($R$3,0,0,'Données projet'!$E$9+1,1))-AVERAGE(OFFSET($H$3,0,0,'Données projet'!$E$9+1,1))</f>
        <v>158.58786357608489</v>
      </c>
      <c r="T69" s="59">
        <f t="shared" ref="T69:T132" si="88">$T$3</f>
        <v>163.20074068819849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14.1</v>
      </c>
      <c r="AI69" s="13">
        <f>IF('Données projet'!$A$62&gt;35,AI68+AH69-AQ68,IF(A69&lt;'Données projet'!$A$62,$AF$205^A69,IF(A69='Données projet'!$A$62,'Données projet'!$B$62,AI68+AH69-AQ68)))</f>
        <v>441.60000000000019</v>
      </c>
      <c r="AJ69" s="13">
        <f>AI69*VLOOKUP('Données projet'!$B$10,Paramètres!$A$1:$I$89,3,0)*VLOOKUP('Données projet'!$B$10,Paramètres!$A$1:$I$89,5,0)</f>
        <v>264.07680000000016</v>
      </c>
      <c r="AK69" s="13">
        <f t="shared" ref="AK69:AK132" si="89">EXP(-1.0587+0.8836*LN(AJ69)+0.284)</f>
        <v>63.590598521565674</v>
      </c>
      <c r="AL69" s="20">
        <f t="shared" si="58"/>
        <v>570.6873857583937</v>
      </c>
      <c r="AM69" s="59">
        <f t="shared" si="59"/>
        <v>864.02071909172696</v>
      </c>
      <c r="AN69" s="59">
        <f ca="1">AVERAGE(OFFSET($AM$3,0,0,'Données projet'!$E$10+1,1))-AVERAGE(OFFSET($H$3,0,0,'Données projet'!$E$10+1,1))</f>
        <v>270.30888762640245</v>
      </c>
      <c r="AO69" s="59">
        <f t="shared" ref="AO69:AO132" si="90">$AO$3</f>
        <v>202.23783851977691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1.0499350932240619</v>
      </c>
      <c r="AV69" s="21">
        <f>EXP(-LN(2)/25)*AV68+(1-EXP(-LN(2)/25))/(LN(2)/25)*Calculateur!AQ69*Calculateur!AS69*VLOOKUP('Données projet'!$B$10,Paramètres!$A$1:$I$89,3,0)*0.475*44/12</f>
        <v>4.5316117321301288</v>
      </c>
      <c r="AW69" s="21">
        <f>EXP(-LN(2)/2)*AW68+(1-EXP(-LN(2)/2))/(LN(2)/2)*AQ69*AT69*VLOOKUP('Données projet'!$B$10,Paramètres!$A$1:$I$89,3,0)*0.475*44/12</f>
        <v>7.0543703409052216E-5</v>
      </c>
      <c r="AX69" s="21">
        <f t="shared" si="60"/>
        <v>5.5816173690576001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-1.7053025658242404E-13</v>
      </c>
      <c r="BE69" s="13">
        <f>BD69*VLOOKUP('Données projet'!$B$11,Paramètres!$A$1:$I$89,3,0)*VLOOKUP('Données projet'!$B$11,Paramètres!$A$1:$I$89,5,0)</f>
        <v>-1.0197709343628959E-13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243.85350804244348</v>
      </c>
      <c r="BJ69" s="59">
        <f t="shared" ref="BJ69:BJ132" si="92">$BJ$3</f>
        <v>304.60992308960545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2.2185436285958735</v>
      </c>
      <c r="BQ69" s="21">
        <f>EXP(-LN(2)/25)*BQ68+(1-EXP(-LN(2)/25))/(LN(2)/25)*Calculateur!BL69*Calculateur!BN69*VLOOKUP('Données projet'!$B$11,Paramètres!$A$1:$I$89,3,0)*0.475*44/12</f>
        <v>6.5342931607839576</v>
      </c>
      <c r="BR69" s="21">
        <f>EXP(-LN(2)/2)*BR68+(1-EXP(-LN(2)/2))/(LN(2)/2)*BL69*BO69*VLOOKUP('Données projet'!$B$11,Paramètres!$A$1:$I$89,3,0)*0.475*44/12</f>
        <v>1.4260202511870194E-5</v>
      </c>
      <c r="BS69" s="22">
        <f t="shared" si="63"/>
        <v>8.7528510495823433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13.737499999999997</v>
      </c>
      <c r="N70" s="13">
        <f>IF('Données projet'!$A$36&gt;35,N69+M70-V69,IF(A70&lt;'Données projet'!$A$36,$K$205^A70,IF(A70='Données projet'!$A$36,'Données projet'!$B$36,N69+M70-V69)))</f>
        <v>359.00384615384615</v>
      </c>
      <c r="O70" s="13">
        <f>N70*VLOOKUP('Données projet'!$B$9,Paramètres!$A$1:$I$89,3,0)*VLOOKUP('Données projet'!$B$9,Paramètres!$A$1:$I$89,5,0)</f>
        <v>168.0138</v>
      </c>
      <c r="P70" s="13">
        <f t="shared" si="87"/>
        <v>42.644877049412187</v>
      </c>
      <c r="Q70" s="20">
        <f t="shared" si="54"/>
        <v>366.89719586105952</v>
      </c>
      <c r="R70" s="59">
        <f t="shared" si="55"/>
        <v>660.23052919439283</v>
      </c>
      <c r="S70" s="59">
        <f ca="1">AVERAGE(OFFSET($R$3,0,0,'Données projet'!$E$9+1,1))-AVERAGE(OFFSET($H$3,0,0,'Données projet'!$E$9+1,1))</f>
        <v>158.58786357608489</v>
      </c>
      <c r="T70" s="59">
        <f t="shared" si="88"/>
        <v>163.20074068819849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14.1</v>
      </c>
      <c r="AI70" s="13">
        <f>IF('Données projet'!$A$62&gt;35,AI69+AH70-AQ69,IF(A70&lt;'Données projet'!$A$62,$AF$205^A70,IF(A70='Données projet'!$A$62,'Données projet'!$B$62,AI69+AH70-AQ69)))</f>
        <v>455.70000000000022</v>
      </c>
      <c r="AJ70" s="13">
        <f>AI70*VLOOKUP('Données projet'!$B$10,Paramètres!$A$1:$I$89,3,0)*VLOOKUP('Données projet'!$B$10,Paramètres!$A$1:$I$89,5,0)</f>
        <v>272.50860000000011</v>
      </c>
      <c r="AK70" s="13">
        <f t="shared" si="89"/>
        <v>65.381370626128245</v>
      </c>
      <c r="AL70" s="20">
        <f t="shared" si="58"/>
        <v>588.49169884050696</v>
      </c>
      <c r="AM70" s="59">
        <f t="shared" si="59"/>
        <v>881.82503217384033</v>
      </c>
      <c r="AN70" s="59">
        <f ca="1">AVERAGE(OFFSET($AM$3,0,0,'Données projet'!$E$10+1,1))-AVERAGE(OFFSET($H$3,0,0,'Données projet'!$E$10+1,1))</f>
        <v>270.30888762640245</v>
      </c>
      <c r="AO70" s="59">
        <f t="shared" si="90"/>
        <v>202.23783851977691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1.0293465064431109</v>
      </c>
      <c r="AV70" s="21">
        <f>EXP(-LN(2)/25)*AV69+(1-EXP(-LN(2)/25))/(LN(2)/25)*Calculateur!AQ70*Calculateur!AS70*VLOOKUP('Données projet'!$B$10,Paramètres!$A$1:$I$89,3,0)*0.475*44/12</f>
        <v>4.4076945710079265</v>
      </c>
      <c r="AW70" s="21">
        <f>EXP(-LN(2)/2)*AW69+(1-EXP(-LN(2)/2))/(LN(2)/2)*AQ70*AT70*VLOOKUP('Données projet'!$B$10,Paramètres!$A$1:$I$89,3,0)*0.475*44/12</f>
        <v>4.9881931050553392E-5</v>
      </c>
      <c r="AX70" s="21">
        <f t="shared" si="60"/>
        <v>5.437090959382088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-1.7053025658242404E-13</v>
      </c>
      <c r="BE70" s="13">
        <f>BD70*VLOOKUP('Données projet'!$B$11,Paramètres!$A$1:$I$89,3,0)*VLOOKUP('Données projet'!$B$11,Paramètres!$A$1:$I$89,5,0)</f>
        <v>-1.0197709343628959E-13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243.85350804244348</v>
      </c>
      <c r="BJ70" s="59">
        <f t="shared" si="92"/>
        <v>304.60992308960545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2.1750393412171065</v>
      </c>
      <c r="BQ70" s="21">
        <f>EXP(-LN(2)/25)*BQ69+(1-EXP(-LN(2)/25))/(LN(2)/25)*Calculateur!BL70*Calculateur!BN70*VLOOKUP('Données projet'!$B$11,Paramètres!$A$1:$I$89,3,0)*0.475*44/12</f>
        <v>6.3556125706787769</v>
      </c>
      <c r="BR70" s="21">
        <f>EXP(-LN(2)/2)*BR69+(1-EXP(-LN(2)/2))/(LN(2)/2)*BL70*BO70*VLOOKUP('Données projet'!$B$11,Paramètres!$A$1:$I$89,3,0)*0.475*44/12</f>
        <v>1.0083485897236853E-5</v>
      </c>
      <c r="BS70" s="22">
        <f t="shared" si="63"/>
        <v>8.5306619953817808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13.737499999999997</v>
      </c>
      <c r="N71" s="13">
        <f>IF('Données projet'!$A$36&gt;35,N70+M71-V70,IF(A71&lt;'Données projet'!$A$36,$K$205^A71,IF(A71='Données projet'!$A$36,'Données projet'!$B$36,N70+M71-V70)))</f>
        <v>372.74134615384617</v>
      </c>
      <c r="O71" s="13">
        <f>N71*VLOOKUP('Données projet'!$B$9,Paramètres!$A$1:$I$89,3,0)*VLOOKUP('Données projet'!$B$9,Paramètres!$A$1:$I$89,5,0)</f>
        <v>174.44295000000002</v>
      </c>
      <c r="P71" s="13">
        <f t="shared" si="87"/>
        <v>44.083597545116064</v>
      </c>
      <c r="Q71" s="20">
        <f t="shared" si="54"/>
        <v>380.60040364107721</v>
      </c>
      <c r="R71" s="59">
        <f t="shared" si="55"/>
        <v>673.93373697441052</v>
      </c>
      <c r="S71" s="59">
        <f ca="1">AVERAGE(OFFSET($R$3,0,0,'Données projet'!$E$9+1,1))-AVERAGE(OFFSET($H$3,0,0,'Données projet'!$E$9+1,1))</f>
        <v>158.58786357608489</v>
      </c>
      <c r="T71" s="59">
        <f t="shared" si="88"/>
        <v>163.20074068819849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14.1</v>
      </c>
      <c r="AI71" s="13">
        <f>IF('Données projet'!$A$62&gt;35,AI70+AH71-AQ70,IF(A71&lt;'Données projet'!$A$62,$AF$205^A71,IF(A71='Données projet'!$A$62,'Données projet'!$B$62,AI70+AH71-AQ70)))</f>
        <v>469.80000000000024</v>
      </c>
      <c r="AJ71" s="13">
        <f>AI71*VLOOKUP('Données projet'!$B$10,Paramètres!$A$1:$I$89,3,0)*VLOOKUP('Données projet'!$B$10,Paramètres!$A$1:$I$89,5,0)</f>
        <v>280.94040000000018</v>
      </c>
      <c r="AK71" s="13">
        <f t="shared" si="89"/>
        <v>67.165703636653262</v>
      </c>
      <c r="AL71" s="20">
        <f t="shared" si="58"/>
        <v>606.2847971671714</v>
      </c>
      <c r="AM71" s="59">
        <f t="shared" si="59"/>
        <v>899.61813050050478</v>
      </c>
      <c r="AN71" s="59">
        <f ca="1">AVERAGE(OFFSET($AM$3,0,0,'Données projet'!$E$10+1,1))-AVERAGE(OFFSET($H$3,0,0,'Données projet'!$E$10+1,1))</f>
        <v>270.30888762640245</v>
      </c>
      <c r="AO71" s="59">
        <f t="shared" si="90"/>
        <v>202.23783851977691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1.0091616492911364</v>
      </c>
      <c r="AV71" s="21">
        <f>EXP(-LN(2)/25)*AV70+(1-EXP(-LN(2)/25))/(LN(2)/25)*Calculateur!AQ71*Calculateur!AS71*VLOOKUP('Données projet'!$B$10,Paramètres!$A$1:$I$89,3,0)*0.475*44/12</f>
        <v>4.2871659311731314</v>
      </c>
      <c r="AW71" s="21">
        <f>EXP(-LN(2)/2)*AW70+(1-EXP(-LN(2)/2))/(LN(2)/2)*AQ71*AT71*VLOOKUP('Données projet'!$B$10,Paramètres!$A$1:$I$89,3,0)*0.475*44/12</f>
        <v>3.5271851704526108E-5</v>
      </c>
      <c r="AX71" s="21">
        <f t="shared" si="60"/>
        <v>5.2963628523159718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-1.7053025658242404E-13</v>
      </c>
      <c r="BE71" s="13">
        <f>BD71*VLOOKUP('Données projet'!$B$11,Paramètres!$A$1:$I$89,3,0)*VLOOKUP('Données projet'!$B$11,Paramètres!$A$1:$I$89,5,0)</f>
        <v>-1.0197709343628959E-13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243.85350804244348</v>
      </c>
      <c r="BJ71" s="59">
        <f t="shared" si="92"/>
        <v>304.60992308960545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2.1323881463788421</v>
      </c>
      <c r="BQ71" s="21">
        <f>EXP(-LN(2)/25)*BQ70+(1-EXP(-LN(2)/25))/(LN(2)/25)*Calculateur!BL71*Calculateur!BN71*VLOOKUP('Données projet'!$B$11,Paramètres!$A$1:$I$89,3,0)*0.475*44/12</f>
        <v>6.1818180107064267</v>
      </c>
      <c r="BR71" s="21">
        <f>EXP(-LN(2)/2)*BR70+(1-EXP(-LN(2)/2))/(LN(2)/2)*BL71*BO71*VLOOKUP('Données projet'!$B$11,Paramètres!$A$1:$I$89,3,0)*0.475*44/12</f>
        <v>7.130101255935097E-6</v>
      </c>
      <c r="BS71" s="22">
        <f t="shared" si="63"/>
        <v>8.3142132871865257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13.737499999999997</v>
      </c>
      <c r="N72" s="13">
        <f>IF('Données projet'!$A$36&gt;35,N71+M72-V71,IF(A72&lt;'Données projet'!$A$36,$K$205^A72,IF(A72='Données projet'!$A$36,'Données projet'!$B$36,N71+M72-V71)))</f>
        <v>386.47884615384618</v>
      </c>
      <c r="O72" s="13">
        <f>N72*VLOOKUP('Données projet'!$B$9,Paramètres!$A$1:$I$89,3,0)*VLOOKUP('Données projet'!$B$9,Paramètres!$A$1:$I$89,5,0)</f>
        <v>180.87209999999999</v>
      </c>
      <c r="P72" s="13">
        <f t="shared" si="87"/>
        <v>45.516157736157588</v>
      </c>
      <c r="Q72" s="20">
        <f t="shared" si="54"/>
        <v>394.29288222380774</v>
      </c>
      <c r="R72" s="59">
        <f t="shared" si="55"/>
        <v>687.62621555714099</v>
      </c>
      <c r="S72" s="59">
        <f ca="1">AVERAGE(OFFSET($R$3,0,0,'Données projet'!$E$9+1,1))-AVERAGE(OFFSET($H$3,0,0,'Données projet'!$E$9+1,1))</f>
        <v>158.58786357608489</v>
      </c>
      <c r="T72" s="59">
        <f t="shared" si="88"/>
        <v>163.20074068819849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14.1</v>
      </c>
      <c r="AI72" s="13">
        <f>IF('Données projet'!$A$62&gt;35,AI71+AH72-AQ71,IF(A72&lt;'Données projet'!$A$62,$AF$205^A72,IF(A72='Données projet'!$A$62,'Données projet'!$B$62,AI71+AH72-AQ71)))</f>
        <v>483.90000000000026</v>
      </c>
      <c r="AJ72" s="13">
        <f>AI72*VLOOKUP('Données projet'!$B$10,Paramètres!$A$1:$I$89,3,0)*VLOOKUP('Données projet'!$B$10,Paramètres!$A$1:$I$89,5,0)</f>
        <v>289.37220000000019</v>
      </c>
      <c r="AK72" s="13">
        <f t="shared" si="89"/>
        <v>68.943812992253996</v>
      </c>
      <c r="AL72" s="20">
        <f t="shared" si="58"/>
        <v>624.06705596150925</v>
      </c>
      <c r="AM72" s="59">
        <f t="shared" si="59"/>
        <v>917.40038929484263</v>
      </c>
      <c r="AN72" s="59">
        <f ca="1">AVERAGE(OFFSET($AM$3,0,0,'Données projet'!$E$10+1,1))-AVERAGE(OFFSET($H$3,0,0,'Données projet'!$E$10+1,1))</f>
        <v>270.30888762640245</v>
      </c>
      <c r="AO72" s="59">
        <f t="shared" si="90"/>
        <v>202.23783851977691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0.98937260487636491</v>
      </c>
      <c r="AV72" s="21">
        <f>EXP(-LN(2)/25)*AV71+(1-EXP(-LN(2)/25))/(LN(2)/25)*Calculateur!AQ72*Calculateur!AS72*VLOOKUP('Données projet'!$B$10,Paramètres!$A$1:$I$89,3,0)*0.475*44/12</f>
        <v>4.169933153332944</v>
      </c>
      <c r="AW72" s="21">
        <f>EXP(-LN(2)/2)*AW71+(1-EXP(-LN(2)/2))/(LN(2)/2)*AQ72*AT72*VLOOKUP('Données projet'!$B$10,Paramètres!$A$1:$I$89,3,0)*0.475*44/12</f>
        <v>2.4940965525276696E-5</v>
      </c>
      <c r="AX72" s="21">
        <f t="shared" si="60"/>
        <v>5.1593306991748333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-1.7053025658242404E-13</v>
      </c>
      <c r="BE72" s="13">
        <f>BD72*VLOOKUP('Données projet'!$B$11,Paramètres!$A$1:$I$89,3,0)*VLOOKUP('Données projet'!$B$11,Paramètres!$A$1:$I$89,5,0)</f>
        <v>-1.0197709343628959E-13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243.85350804244348</v>
      </c>
      <c r="BJ72" s="59">
        <f t="shared" si="92"/>
        <v>304.60992308960545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2.0905733154566959</v>
      </c>
      <c r="BQ72" s="21">
        <f>EXP(-LN(2)/25)*BQ71+(1-EXP(-LN(2)/25))/(LN(2)/25)*Calculateur!BL72*Calculateur!BN72*VLOOKUP('Données projet'!$B$11,Paramètres!$A$1:$I$89,3,0)*0.475*44/12</f>
        <v>6.012775872115979</v>
      </c>
      <c r="BR72" s="21">
        <f>EXP(-LN(2)/2)*BR71+(1-EXP(-LN(2)/2))/(LN(2)/2)*BL72*BO72*VLOOKUP('Données projet'!$B$11,Paramètres!$A$1:$I$89,3,0)*0.475*44/12</f>
        <v>5.0417429486184263E-6</v>
      </c>
      <c r="BS72" s="22">
        <f t="shared" si="63"/>
        <v>8.1033542293156238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13.737499999999997</v>
      </c>
      <c r="N73" s="13">
        <f>IF('Données projet'!$A$36&gt;35,N72+M73-V72,IF(A73&lt;'Données projet'!$A$36,$K$205^A73,IF(A73='Données projet'!$A$36,'Données projet'!$B$36,N72+M73-V72)))</f>
        <v>400.21634615384619</v>
      </c>
      <c r="O73" s="13">
        <f>N73*VLOOKUP('Données projet'!$B$9,Paramètres!$A$1:$I$89,3,0)*VLOOKUP('Données projet'!$B$9,Paramètres!$A$1:$I$89,5,0)</f>
        <v>187.30125000000001</v>
      </c>
      <c r="P73" s="13">
        <f t="shared" si="87"/>
        <v>46.942801679870392</v>
      </c>
      <c r="Q73" s="20">
        <f t="shared" si="54"/>
        <v>407.97505667577428</v>
      </c>
      <c r="R73" s="59">
        <f t="shared" si="55"/>
        <v>701.3083900091076</v>
      </c>
      <c r="S73" s="59">
        <f ca="1">AVERAGE(OFFSET($R$3,0,0,'Données projet'!$E$9+1,1))-AVERAGE(OFFSET($H$3,0,0,'Données projet'!$E$9+1,1))</f>
        <v>158.58786357608489</v>
      </c>
      <c r="T73" s="59">
        <f t="shared" si="88"/>
        <v>163.20074068819849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498</v>
      </c>
      <c r="AG73" s="12">
        <f>VLOOKUP(A73,'Données projet'!$A$61:$I$81,9,0)</f>
        <v>14.1</v>
      </c>
      <c r="AH73" s="12">
        <f t="array" ref="AH73">INDEX(AG:AG,MIN(IF(ISNUMBER(AG73:AG269),ROW(AG73:AG269),"")))</f>
        <v>14.1</v>
      </c>
      <c r="AI73" s="13">
        <f>IF('Données projet'!$A$62&gt;35,AI72+AH73-AQ72,IF(A73&lt;'Données projet'!$A$62,$AF$205^A73,IF(A73='Données projet'!$A$62,'Données projet'!$B$62,AI72+AH73-AQ72)))</f>
        <v>498.00000000000028</v>
      </c>
      <c r="AJ73" s="13">
        <f>AI73*VLOOKUP('Données projet'!$B$10,Paramètres!$A$1:$I$89,3,0)*VLOOKUP('Données projet'!$B$10,Paramètres!$A$1:$I$89,5,0)</f>
        <v>297.8040000000002</v>
      </c>
      <c r="AK73" s="13">
        <f t="shared" si="89"/>
        <v>70.715900863123025</v>
      </c>
      <c r="AL73" s="20">
        <f t="shared" si="58"/>
        <v>641.8388273366063</v>
      </c>
      <c r="AM73" s="59">
        <f t="shared" si="59"/>
        <v>935.17216066993956</v>
      </c>
      <c r="AN73" s="59">
        <f ca="1">AVERAGE(OFFSET($AM$3,0,0,'Données projet'!$E$10+1,1))-AVERAGE(OFFSET($H$3,0,0,'Données projet'!$E$10+1,1))</f>
        <v>270.30888762640245</v>
      </c>
      <c r="AO73" s="59">
        <f t="shared" si="90"/>
        <v>202.23783851977691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86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0.96997161155244183</v>
      </c>
      <c r="AV73" s="21">
        <f>EXP(-LN(2)/25)*AV72+(1-EXP(-LN(2)/25))/(LN(2)/25)*Calculateur!AQ73*Calculateur!AS73*VLOOKUP('Données projet'!$B$10,Paramètres!$A$1:$I$89,3,0)*0.475*44/12</f>
        <v>4.0559061119678006</v>
      </c>
      <c r="AW73" s="21">
        <f>EXP(-LN(2)/2)*AW72+(1-EXP(-LN(2)/2))/(LN(2)/2)*AQ73*AT73*VLOOKUP('Données projet'!$B$10,Paramètres!$A$1:$I$89,3,0)*0.475*44/12</f>
        <v>1.7635925852263054E-5</v>
      </c>
      <c r="AX73" s="21">
        <f t="shared" si="60"/>
        <v>5.0258953594460944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-1.7053025658242404E-13</v>
      </c>
      <c r="BE73" s="13">
        <f>BD73*VLOOKUP('Données projet'!$B$11,Paramètres!$A$1:$I$89,3,0)*VLOOKUP('Données projet'!$B$11,Paramètres!$A$1:$I$89,5,0)</f>
        <v>-1.0197709343628959E-13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243.85350804244348</v>
      </c>
      <c r="BJ73" s="59">
        <f t="shared" si="92"/>
        <v>304.60992308960545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2.0495784478644046</v>
      </c>
      <c r="BQ73" s="21">
        <f>EXP(-LN(2)/25)*BQ72+(1-EXP(-LN(2)/25))/(LN(2)/25)*Calculateur!BL73*Calculateur!BN73*VLOOKUP('Données projet'!$B$11,Paramètres!$A$1:$I$89,3,0)*0.475*44/12</f>
        <v>5.8483561996948268</v>
      </c>
      <c r="BR73" s="21">
        <f>EXP(-LN(2)/2)*BR72+(1-EXP(-LN(2)/2))/(LN(2)/2)*BL73*BO73*VLOOKUP('Données projet'!$B$11,Paramètres!$A$1:$I$89,3,0)*0.475*44/12</f>
        <v>3.5650506279675485E-6</v>
      </c>
      <c r="BS73" s="22">
        <f t="shared" si="63"/>
        <v>7.8979382126098594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413.95384615384614</v>
      </c>
      <c r="L74" s="12">
        <f>VLOOKUP(A74,'Données projet'!$A$35:$I$55,9,0)</f>
        <v>13.737499999999997</v>
      </c>
      <c r="M74" s="12">
        <f t="array" ref="M74">INDEX(L:L,MIN(IF(ISNUMBER(L74:L270),ROW(L74:L270),"")))</f>
        <v>13.737499999999997</v>
      </c>
      <c r="N74" s="13">
        <f>IF('Données projet'!$A$36&gt;35,N73+M74-V73,IF(A74&lt;'Données projet'!$A$36,$K$205^A74,IF(A74='Données projet'!$A$36,'Données projet'!$B$36,N73+M74-V73)))</f>
        <v>413.9538461538462</v>
      </c>
      <c r="O74" s="13">
        <f>N74*VLOOKUP('Données projet'!$B$9,Paramètres!$A$1:$I$89,3,0)*VLOOKUP('Données projet'!$B$9,Paramètres!$A$1:$I$89,5,0)</f>
        <v>193.73040000000003</v>
      </c>
      <c r="P74" s="13">
        <f t="shared" si="87"/>
        <v>48.363755728631737</v>
      </c>
      <c r="Q74" s="20">
        <f t="shared" si="54"/>
        <v>421.647321227367</v>
      </c>
      <c r="R74" s="59">
        <f t="shared" si="55"/>
        <v>714.98065456070026</v>
      </c>
      <c r="S74" s="59">
        <f ca="1">AVERAGE(OFFSET($R$3,0,0,'Données projet'!$E$9+1,1))-AVERAGE(OFFSET($H$3,0,0,'Données projet'!$E$9+1,1))</f>
        <v>158.58786357608489</v>
      </c>
      <c r="T74" s="59">
        <f t="shared" si="88"/>
        <v>163.20074068819849</v>
      </c>
      <c r="U74" s="15">
        <f>IF(ISNA(VLOOKUP(A74,'Données projet'!$A$35:$I$55,3,0)),0,VLOOKUP(A74,'Données projet'!$A$35:$I$55,3,0))</f>
        <v>5</v>
      </c>
      <c r="V74" s="15">
        <f>IF(ISNA(VLOOKUP(A74,'Données projet'!$A$35:$I$55,4,0)),0,VLOOKUP(A74,'Données projet'!$A$35:$I$55,4,0))</f>
        <v>80.399999999999991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12.5</v>
      </c>
      <c r="AI74" s="13">
        <f>IF('Données projet'!$A$62&gt;35,AI73+AH74-AQ73,IF(A74&lt;'Données projet'!$A$62,$AF$205^A74,IF(A74='Données projet'!$A$62,'Données projet'!$B$62,AI73+AH74-AQ73)))</f>
        <v>424.50000000000028</v>
      </c>
      <c r="AJ74" s="13">
        <f>AI74*VLOOKUP('Données projet'!$B$10,Paramètres!$A$1:$I$89,3,0)*VLOOKUP('Données projet'!$B$10,Paramètres!$A$1:$I$89,5,0)</f>
        <v>253.8510000000002</v>
      </c>
      <c r="AK74" s="13">
        <f t="shared" si="89"/>
        <v>61.409839451305665</v>
      </c>
      <c r="AL74" s="20">
        <f t="shared" si="58"/>
        <v>549.07929537769098</v>
      </c>
      <c r="AM74" s="59">
        <f t="shared" si="59"/>
        <v>842.41262871102435</v>
      </c>
      <c r="AN74" s="59">
        <f ca="1">AVERAGE(OFFSET($AM$3,0,0,'Données projet'!$E$10+1,1))-AVERAGE(OFFSET($H$3,0,0,'Données projet'!$E$10+1,1))</f>
        <v>270.30888762640245</v>
      </c>
      <c r="AO74" s="59">
        <f t="shared" si="90"/>
        <v>202.23783851977691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0.9509510598741634</v>
      </c>
      <c r="AV74" s="21">
        <f>EXP(-LN(2)/25)*AV73+(1-EXP(-LN(2)/25))/(LN(2)/25)*Calculateur!AQ74*Calculateur!AS74*VLOOKUP('Données projet'!$B$10,Paramètres!$A$1:$I$89,3,0)*0.475*44/12</f>
        <v>3.9449971460452087</v>
      </c>
      <c r="AW74" s="21">
        <f>EXP(-LN(2)/2)*AW73+(1-EXP(-LN(2)/2))/(LN(2)/2)*AQ74*AT74*VLOOKUP('Données projet'!$B$10,Paramètres!$A$1:$I$89,3,0)*0.475*44/12</f>
        <v>1.2470482762638348E-5</v>
      </c>
      <c r="AX74" s="21">
        <f t="shared" si="60"/>
        <v>4.8959606764021348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-1.7053025658242404E-13</v>
      </c>
      <c r="BE74" s="13">
        <f>BD74*VLOOKUP('Données projet'!$B$11,Paramètres!$A$1:$I$89,3,0)*VLOOKUP('Données projet'!$B$11,Paramètres!$A$1:$I$89,5,0)</f>
        <v>-1.0197709343628959E-13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243.85350804244348</v>
      </c>
      <c r="BJ74" s="59">
        <f t="shared" si="92"/>
        <v>304.60992308960545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2.0093874646211978</v>
      </c>
      <c r="BQ74" s="21">
        <f>EXP(-LN(2)/25)*BQ73+(1-EXP(-LN(2)/25))/(LN(2)/25)*Calculateur!BL74*Calculateur!BN74*VLOOKUP('Données projet'!$B$11,Paramètres!$A$1:$I$89,3,0)*0.475*44/12</f>
        <v>5.6884325918624858</v>
      </c>
      <c r="BR74" s="21">
        <f>EXP(-LN(2)/2)*BR73+(1-EXP(-LN(2)/2))/(LN(2)/2)*BL74*BO74*VLOOKUP('Données projet'!$B$11,Paramètres!$A$1:$I$89,3,0)*0.475*44/12</f>
        <v>2.5208714743092131E-6</v>
      </c>
      <c r="BS74" s="22">
        <f t="shared" si="63"/>
        <v>7.6978225773551578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12.913461538461533</v>
      </c>
      <c r="N75" s="13">
        <f>IF('Données projet'!$A$36&gt;35,N74+M75-V74,IF(A75&lt;'Données projet'!$A$36,$K$205^A75,IF(A75='Données projet'!$A$36,'Données projet'!$B$36,N74+M75-V74)))</f>
        <v>346.46730769230777</v>
      </c>
      <c r="O75" s="13">
        <f>N75*VLOOKUP('Données projet'!$B$9,Paramètres!$A$1:$I$89,3,0)*VLOOKUP('Données projet'!$B$9,Paramètres!$A$1:$I$89,5,0)</f>
        <v>162.14670000000004</v>
      </c>
      <c r="P75" s="13">
        <f t="shared" si="87"/>
        <v>41.326333369414826</v>
      </c>
      <c r="Q75" s="20">
        <f t="shared" si="54"/>
        <v>354.38219978506419</v>
      </c>
      <c r="R75" s="59">
        <f t="shared" si="55"/>
        <v>647.7155331183975</v>
      </c>
      <c r="S75" s="59">
        <f ca="1">AVERAGE(OFFSET($R$3,0,0,'Données projet'!$E$9+1,1))-AVERAGE(OFFSET($H$3,0,0,'Données projet'!$E$9+1,1))</f>
        <v>158.58786357608489</v>
      </c>
      <c r="T75" s="59">
        <f t="shared" si="88"/>
        <v>163.20074068819849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12.5</v>
      </c>
      <c r="AI75" s="13">
        <f>IF('Données projet'!$A$62&gt;35,AI74+AH75-AQ74,IF(A75&lt;'Données projet'!$A$62,$AF$205^A75,IF(A75='Données projet'!$A$62,'Données projet'!$B$62,AI74+AH75-AQ74)))</f>
        <v>437.00000000000028</v>
      </c>
      <c r="AJ75" s="13">
        <f>AI75*VLOOKUP('Données projet'!$B$10,Paramètres!$A$1:$I$89,3,0)*VLOOKUP('Données projet'!$B$10,Paramètres!$A$1:$I$89,5,0)</f>
        <v>261.32600000000019</v>
      </c>
      <c r="AK75" s="13">
        <f t="shared" si="89"/>
        <v>63.004943834026825</v>
      </c>
      <c r="AL75" s="20">
        <f t="shared" si="58"/>
        <v>564.87639384426382</v>
      </c>
      <c r="AM75" s="59">
        <f t="shared" si="59"/>
        <v>858.20972717759719</v>
      </c>
      <c r="AN75" s="59">
        <f ca="1">AVERAGE(OFFSET($AM$3,0,0,'Données projet'!$E$10+1,1))-AVERAGE(OFFSET($H$3,0,0,'Données projet'!$E$10+1,1))</f>
        <v>270.30888762640245</v>
      </c>
      <c r="AO75" s="59">
        <f t="shared" si="90"/>
        <v>202.23783851977691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0.9323034896129051</v>
      </c>
      <c r="AV75" s="21">
        <f>EXP(-LN(2)/25)*AV74+(1-EXP(-LN(2)/25))/(LN(2)/25)*Calculateur!AQ75*Calculateur!AS75*VLOOKUP('Données projet'!$B$10,Paramètres!$A$1:$I$89,3,0)*0.475*44/12</f>
        <v>3.8371209916282187</v>
      </c>
      <c r="AW75" s="21">
        <f>EXP(-LN(2)/2)*AW74+(1-EXP(-LN(2)/2))/(LN(2)/2)*AQ75*AT75*VLOOKUP('Données projet'!$B$10,Paramètres!$A$1:$I$89,3,0)*0.475*44/12</f>
        <v>8.8179629261315269E-6</v>
      </c>
      <c r="AX75" s="21">
        <f t="shared" si="60"/>
        <v>4.7694332992040502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-1.7053025658242404E-13</v>
      </c>
      <c r="BE75" s="13">
        <f>BD75*VLOOKUP('Données projet'!$B$11,Paramètres!$A$1:$I$89,3,0)*VLOOKUP('Données projet'!$B$11,Paramètres!$A$1:$I$89,5,0)</f>
        <v>-1.0197709343628959E-13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243.85350804244348</v>
      </c>
      <c r="BJ75" s="59">
        <f t="shared" si="92"/>
        <v>304.60992308960545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1.9699846020453111</v>
      </c>
      <c r="BQ75" s="21">
        <f>EXP(-LN(2)/25)*BQ74+(1-EXP(-LN(2)/25))/(LN(2)/25)*Calculateur!BL75*Calculateur!BN75*VLOOKUP('Données projet'!$B$11,Paramètres!$A$1:$I$89,3,0)*0.475*44/12</f>
        <v>5.5328821034963376</v>
      </c>
      <c r="BR75" s="21">
        <f>EXP(-LN(2)/2)*BR74+(1-EXP(-LN(2)/2))/(LN(2)/2)*BL75*BO75*VLOOKUP('Données projet'!$B$11,Paramètres!$A$1:$I$89,3,0)*0.475*44/12</f>
        <v>1.7825253139837742E-6</v>
      </c>
      <c r="BS75" s="22">
        <f t="shared" si="63"/>
        <v>7.5028684880669632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12.913461538461533</v>
      </c>
      <c r="N76" s="13">
        <f>IF('Données projet'!$A$36&gt;35,N75+M76-V75,IF(A76&lt;'Données projet'!$A$36,$K$205^A76,IF(A76='Données projet'!$A$36,'Données projet'!$B$36,N75+M76-V75)))</f>
        <v>359.38076923076932</v>
      </c>
      <c r="O76" s="13">
        <f>N76*VLOOKUP('Données projet'!$B$9,Paramètres!$A$1:$I$89,3,0)*VLOOKUP('Données projet'!$B$9,Paramètres!$A$1:$I$89,5,0)</f>
        <v>168.19020000000003</v>
      </c>
      <c r="P76" s="13">
        <f t="shared" si="87"/>
        <v>42.684436447240749</v>
      </c>
      <c r="Q76" s="20">
        <f t="shared" si="54"/>
        <v>367.27332514561107</v>
      </c>
      <c r="R76" s="59">
        <f t="shared" si="55"/>
        <v>660.60665847894438</v>
      </c>
      <c r="S76" s="59">
        <f ca="1">AVERAGE(OFFSET($R$3,0,0,'Données projet'!$E$9+1,1))-AVERAGE(OFFSET($H$3,0,0,'Données projet'!$E$9+1,1))</f>
        <v>158.58786357608489</v>
      </c>
      <c r="T76" s="59">
        <f t="shared" si="88"/>
        <v>163.20074068819849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12.5</v>
      </c>
      <c r="AI76" s="13">
        <f>IF('Données projet'!$A$62&gt;35,AI75+AH76-AQ75,IF(A76&lt;'Données projet'!$A$62,$AF$205^A76,IF(A76='Données projet'!$A$62,'Données projet'!$B$62,AI75+AH76-AQ75)))</f>
        <v>449.50000000000028</v>
      </c>
      <c r="AJ76" s="13">
        <f>AI76*VLOOKUP('Données projet'!$B$10,Paramètres!$A$1:$I$89,3,0)*VLOOKUP('Données projet'!$B$10,Paramètres!$A$1:$I$89,5,0)</f>
        <v>268.80100000000022</v>
      </c>
      <c r="AK76" s="13">
        <f t="shared" si="89"/>
        <v>64.594745353205028</v>
      </c>
      <c r="AL76" s="20">
        <f t="shared" si="58"/>
        <v>580.66425649016571</v>
      </c>
      <c r="AM76" s="59">
        <f t="shared" si="59"/>
        <v>873.99758982349908</v>
      </c>
      <c r="AN76" s="59">
        <f ca="1">AVERAGE(OFFSET($AM$3,0,0,'Données projet'!$E$10+1,1))-AVERAGE(OFFSET($H$3,0,0,'Données projet'!$E$10+1,1))</f>
        <v>270.30888762640245</v>
      </c>
      <c r="AO76" s="59">
        <f t="shared" si="90"/>
        <v>202.23783851977691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0.91402158683057533</v>
      </c>
      <c r="AV76" s="21">
        <f>EXP(-LN(2)/25)*AV75+(1-EXP(-LN(2)/25))/(LN(2)/25)*Calculateur!AQ76*Calculateur!AS76*VLOOKUP('Données projet'!$B$10,Paramètres!$A$1:$I$89,3,0)*0.475*44/12</f>
        <v>3.7321947163267222</v>
      </c>
      <c r="AW76" s="21">
        <f>EXP(-LN(2)/2)*AW75+(1-EXP(-LN(2)/2))/(LN(2)/2)*AQ76*AT76*VLOOKUP('Données projet'!$B$10,Paramètres!$A$1:$I$89,3,0)*0.475*44/12</f>
        <v>6.235241381319174E-6</v>
      </c>
      <c r="AX76" s="21">
        <f t="shared" si="60"/>
        <v>4.6462225383986784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-1.7053025658242404E-13</v>
      </c>
      <c r="BE76" s="13">
        <f>BD76*VLOOKUP('Données projet'!$B$11,Paramètres!$A$1:$I$89,3,0)*VLOOKUP('Données projet'!$B$11,Paramètres!$A$1:$I$89,5,0)</f>
        <v>-1.0197709343628959E-13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243.85350804244348</v>
      </c>
      <c r="BJ76" s="59">
        <f t="shared" si="92"/>
        <v>304.60992308960545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1.9313544055711644</v>
      </c>
      <c r="BQ76" s="21">
        <f>EXP(-LN(2)/25)*BQ75+(1-EXP(-LN(2)/25))/(LN(2)/25)*Calculateur!BL76*Calculateur!BN76*VLOOKUP('Données projet'!$B$11,Paramètres!$A$1:$I$89,3,0)*0.475*44/12</f>
        <v>5.3815851514146056</v>
      </c>
      <c r="BR76" s="21">
        <f>EXP(-LN(2)/2)*BR75+(1-EXP(-LN(2)/2))/(LN(2)/2)*BL76*BO76*VLOOKUP('Données projet'!$B$11,Paramètres!$A$1:$I$89,3,0)*0.475*44/12</f>
        <v>1.2604357371546066E-6</v>
      </c>
      <c r="BS76" s="22">
        <f t="shared" si="63"/>
        <v>7.3129408174215067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12.913461538461533</v>
      </c>
      <c r="N77" s="13">
        <f>IF('Données projet'!$A$36&gt;35,N76+M77-V76,IF(A77&lt;'Données projet'!$A$36,$K$205^A77,IF(A77='Données projet'!$A$36,'Données projet'!$B$36,N76+M77-V76)))</f>
        <v>372.29423076923086</v>
      </c>
      <c r="O77" s="13">
        <f>N77*VLOOKUP('Données projet'!$B$9,Paramètres!$A$1:$I$89,3,0)*VLOOKUP('Données projet'!$B$9,Paramètres!$A$1:$I$89,5,0)</f>
        <v>174.23370000000006</v>
      </c>
      <c r="P77" s="13">
        <f t="shared" si="87"/>
        <v>44.036869769028705</v>
      </c>
      <c r="Q77" s="20">
        <f t="shared" si="54"/>
        <v>380.15457568105836</v>
      </c>
      <c r="R77" s="59">
        <f t="shared" si="55"/>
        <v>673.48790901439168</v>
      </c>
      <c r="S77" s="59">
        <f ca="1">AVERAGE(OFFSET($R$3,0,0,'Données projet'!$E$9+1,1))-AVERAGE(OFFSET($H$3,0,0,'Données projet'!$E$9+1,1))</f>
        <v>158.58786357608489</v>
      </c>
      <c r="T77" s="59">
        <f t="shared" si="88"/>
        <v>163.20074068819849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12.5</v>
      </c>
      <c r="AI77" s="13">
        <f>IF('Données projet'!$A$62&gt;35,AI76+AH77-AQ76,IF(A77&lt;'Données projet'!$A$62,$AF$205^A77,IF(A77='Données projet'!$A$62,'Données projet'!$B$62,AI76+AH77-AQ76)))</f>
        <v>462.00000000000028</v>
      </c>
      <c r="AJ77" s="13">
        <f>AI77*VLOOKUP('Données projet'!$B$10,Paramètres!$A$1:$I$89,3,0)*VLOOKUP('Données projet'!$B$10,Paramètres!$A$1:$I$89,5,0)</f>
        <v>276.27600000000018</v>
      </c>
      <c r="AK77" s="13">
        <f t="shared" si="89"/>
        <v>66.179408416217214</v>
      </c>
      <c r="AL77" s="20">
        <f t="shared" si="58"/>
        <v>596.44316965824521</v>
      </c>
      <c r="AM77" s="59">
        <f t="shared" si="59"/>
        <v>889.77650299157858</v>
      </c>
      <c r="AN77" s="59">
        <f ca="1">AVERAGE(OFFSET($AM$3,0,0,'Données projet'!$E$10+1,1))-AVERAGE(OFFSET($H$3,0,0,'Données projet'!$E$10+1,1))</f>
        <v>270.30888762640245</v>
      </c>
      <c r="AO77" s="59">
        <f t="shared" si="90"/>
        <v>202.23783851977691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0.89609818101094729</v>
      </c>
      <c r="AV77" s="21">
        <f>EXP(-LN(2)/25)*AV76+(1-EXP(-LN(2)/25))/(LN(2)/25)*Calculateur!AQ77*Calculateur!AS77*VLOOKUP('Données projet'!$B$10,Paramètres!$A$1:$I$89,3,0)*0.475*44/12</f>
        <v>3.6301376555411777</v>
      </c>
      <c r="AW77" s="21">
        <f>EXP(-LN(2)/2)*AW76+(1-EXP(-LN(2)/2))/(LN(2)/2)*AQ77*AT77*VLOOKUP('Données projet'!$B$10,Paramètres!$A$1:$I$89,3,0)*0.475*44/12</f>
        <v>4.4089814630657635E-6</v>
      </c>
      <c r="AX77" s="21">
        <f t="shared" si="60"/>
        <v>4.5262402455335886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-1.7053025658242404E-13</v>
      </c>
      <c r="BE77" s="13">
        <f>BD77*VLOOKUP('Données projet'!$B$11,Paramètres!$A$1:$I$89,3,0)*VLOOKUP('Données projet'!$B$11,Paramètres!$A$1:$I$89,5,0)</f>
        <v>-1.0197709343628959E-13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243.85350804244348</v>
      </c>
      <c r="BJ77" s="59">
        <f t="shared" si="92"/>
        <v>304.60992308960545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1.8934817236877826</v>
      </c>
      <c r="BQ77" s="21">
        <f>EXP(-LN(2)/25)*BQ76+(1-EXP(-LN(2)/25))/(LN(2)/25)*Calculateur!BL77*Calculateur!BN77*VLOOKUP('Données projet'!$B$11,Paramètres!$A$1:$I$89,3,0)*0.475*44/12</f>
        <v>5.23442542244391</v>
      </c>
      <c r="BR77" s="21">
        <f>EXP(-LN(2)/2)*BR76+(1-EXP(-LN(2)/2))/(LN(2)/2)*BL77*BO77*VLOOKUP('Données projet'!$B$11,Paramètres!$A$1:$I$89,3,0)*0.475*44/12</f>
        <v>8.9126265699188712E-7</v>
      </c>
      <c r="BS77" s="22">
        <f t="shared" si="63"/>
        <v>7.1279080373943486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12.913461538461533</v>
      </c>
      <c r="N78" s="13">
        <f>IF('Données projet'!$A$36&gt;35,N77+M78-V77,IF(A78&lt;'Données projet'!$A$36,$K$205^A78,IF(A78='Données projet'!$A$36,'Données projet'!$B$36,N77+M78-V77)))</f>
        <v>385.20769230769241</v>
      </c>
      <c r="O78" s="13">
        <f>N78*VLOOKUP('Données projet'!$B$9,Paramètres!$A$1:$I$89,3,0)*VLOOKUP('Données projet'!$B$9,Paramètres!$A$1:$I$89,5,0)</f>
        <v>180.27720000000005</v>
      </c>
      <c r="P78" s="13">
        <f t="shared" si="87"/>
        <v>45.383852535093837</v>
      </c>
      <c r="Q78" s="20">
        <f t="shared" si="54"/>
        <v>393.02633316528846</v>
      </c>
      <c r="R78" s="59">
        <f t="shared" si="55"/>
        <v>686.35966649862178</v>
      </c>
      <c r="S78" s="59">
        <f ca="1">AVERAGE(OFFSET($R$3,0,0,'Données projet'!$E$9+1,1))-AVERAGE(OFFSET($H$3,0,0,'Données projet'!$E$9+1,1))</f>
        <v>158.58786357608489</v>
      </c>
      <c r="T78" s="59">
        <f t="shared" si="88"/>
        <v>163.20074068819849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0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12.5</v>
      </c>
      <c r="AI78" s="13">
        <f>IF('Données projet'!$A$62&gt;35,AI77+AH78-AQ77,IF(A78&lt;'Données projet'!$A$62,$AF$205^A78,IF(A78='Données projet'!$A$62,'Données projet'!$B$62,AI77+AH78-AQ77)))</f>
        <v>474.50000000000028</v>
      </c>
      <c r="AJ78" s="13">
        <f>AI78*VLOOKUP('Données projet'!$B$10,Paramètres!$A$1:$I$89,3,0)*VLOOKUP('Données projet'!$B$10,Paramètres!$A$1:$I$89,5,0)</f>
        <v>283.7510000000002</v>
      </c>
      <c r="AK78" s="13">
        <f t="shared" si="89"/>
        <v>67.759088027504106</v>
      </c>
      <c r="AL78" s="20">
        <f t="shared" si="58"/>
        <v>612.21340331456997</v>
      </c>
      <c r="AM78" s="59">
        <f t="shared" si="59"/>
        <v>905.54673664790334</v>
      </c>
      <c r="AN78" s="59">
        <f ca="1">AVERAGE(OFFSET($AM$3,0,0,'Données projet'!$E$10+1,1))-AVERAGE(OFFSET($H$3,0,0,'Données projet'!$E$10+1,1))</f>
        <v>270.30888762640245</v>
      </c>
      <c r="AO78" s="59">
        <f t="shared" si="90"/>
        <v>202.23783851977691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0.87852624224724418</v>
      </c>
      <c r="AV78" s="21">
        <f>EXP(-LN(2)/25)*AV77+(1-EXP(-LN(2)/25))/(LN(2)/25)*Calculateur!AQ78*Calculateur!AS78*VLOOKUP('Données projet'!$B$10,Paramètres!$A$1:$I$89,3,0)*0.475*44/12</f>
        <v>3.5308713504497615</v>
      </c>
      <c r="AW78" s="21">
        <f>EXP(-LN(2)/2)*AW77+(1-EXP(-LN(2)/2))/(LN(2)/2)*AQ78*AT78*VLOOKUP('Données projet'!$B$10,Paramètres!$A$1:$I$89,3,0)*0.475*44/12</f>
        <v>3.117620690659587E-6</v>
      </c>
      <c r="AX78" s="21">
        <f t="shared" si="60"/>
        <v>4.409400710317696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-1.7053025658242404E-13</v>
      </c>
      <c r="BE78" s="13">
        <f>BD78*VLOOKUP('Données projet'!$B$11,Paramètres!$A$1:$I$89,3,0)*VLOOKUP('Données projet'!$B$11,Paramètres!$A$1:$I$89,5,0)</f>
        <v>-1.0197709343628959E-13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243.85350804244348</v>
      </c>
      <c r="BJ78" s="59">
        <f t="shared" si="92"/>
        <v>304.60992308960545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1.8563517019960787</v>
      </c>
      <c r="BQ78" s="21">
        <f>EXP(-LN(2)/25)*BQ77+(1-EXP(-LN(2)/25))/(LN(2)/25)*Calculateur!BL78*Calculateur!BN78*VLOOKUP('Données projet'!$B$11,Paramètres!$A$1:$I$89,3,0)*0.475*44/12</f>
        <v>5.0912897840007121</v>
      </c>
      <c r="BR78" s="21">
        <f>EXP(-LN(2)/2)*BR77+(1-EXP(-LN(2)/2))/(LN(2)/2)*BL78*BO78*VLOOKUP('Données projet'!$B$11,Paramètres!$A$1:$I$89,3,0)*0.475*44/12</f>
        <v>6.3021786857730328E-7</v>
      </c>
      <c r="BS78" s="22">
        <f t="shared" si="63"/>
        <v>6.9476421162146593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12.913461538461533</v>
      </c>
      <c r="N79" s="13">
        <f>IF('Données projet'!$A$36&gt;35,N78+M79-V78,IF(A79&lt;'Données projet'!$A$36,$K$205^A79,IF(A79='Données projet'!$A$36,'Données projet'!$B$36,N78+M79-V78)))</f>
        <v>398.12115384615396</v>
      </c>
      <c r="O79" s="13">
        <f>N79*VLOOKUP('Données projet'!$B$9,Paramètres!$A$1:$I$89,3,0)*VLOOKUP('Données projet'!$B$9,Paramètres!$A$1:$I$89,5,0)</f>
        <v>186.32070000000004</v>
      </c>
      <c r="P79" s="13">
        <f t="shared" si="87"/>
        <v>46.725588415193215</v>
      </c>
      <c r="Q79" s="20">
        <f t="shared" si="54"/>
        <v>405.88895232312825</v>
      </c>
      <c r="R79" s="59">
        <f t="shared" si="55"/>
        <v>699.22228565646151</v>
      </c>
      <c r="S79" s="59">
        <f ca="1">AVERAGE(OFFSET($R$3,0,0,'Données projet'!$E$9+1,1))-AVERAGE(OFFSET($H$3,0,0,'Données projet'!$E$9+1,1))</f>
        <v>158.58786357608489</v>
      </c>
      <c r="T79" s="59">
        <f t="shared" si="88"/>
        <v>163.20074068819849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0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12.5</v>
      </c>
      <c r="AI79" s="13">
        <f>IF('Données projet'!$A$62&gt;35,AI78+AH79-AQ78,IF(A79&lt;'Données projet'!$A$62,$AF$205^A79,IF(A79='Données projet'!$A$62,'Données projet'!$B$62,AI78+AH79-AQ78)))</f>
        <v>487.00000000000028</v>
      </c>
      <c r="AJ79" s="13">
        <f>AI79*VLOOKUP('Données projet'!$B$10,Paramètres!$A$1:$I$89,3,0)*VLOOKUP('Données projet'!$B$10,Paramètres!$A$1:$I$89,5,0)</f>
        <v>291.22600000000023</v>
      </c>
      <c r="AK79" s="13">
        <f t="shared" si="89"/>
        <v>69.333930559700164</v>
      </c>
      <c r="AL79" s="20">
        <f t="shared" si="58"/>
        <v>627.97521239147818</v>
      </c>
      <c r="AM79" s="59">
        <f t="shared" si="59"/>
        <v>921.30854572481144</v>
      </c>
      <c r="AN79" s="59">
        <f ca="1">AVERAGE(OFFSET($AM$3,0,0,'Données projet'!$E$10+1,1))-AVERAGE(OFFSET($H$3,0,0,'Données projet'!$E$10+1,1))</f>
        <v>270.30888762640245</v>
      </c>
      <c r="AO79" s="59">
        <f t="shared" si="90"/>
        <v>202.23783851977691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0.86129887848487285</v>
      </c>
      <c r="AV79" s="21">
        <f>EXP(-LN(2)/25)*AV78+(1-EXP(-LN(2)/25))/(LN(2)/25)*Calculateur!AQ79*Calculateur!AS79*VLOOKUP('Données projet'!$B$10,Paramètres!$A$1:$I$89,3,0)*0.475*44/12</f>
        <v>3.4343194876912584</v>
      </c>
      <c r="AW79" s="21">
        <f>EXP(-LN(2)/2)*AW78+(1-EXP(-LN(2)/2))/(LN(2)/2)*AQ79*AT79*VLOOKUP('Données projet'!$B$10,Paramètres!$A$1:$I$89,3,0)*0.475*44/12</f>
        <v>2.2044907315328817E-6</v>
      </c>
      <c r="AX79" s="21">
        <f t="shared" si="60"/>
        <v>4.2956205706668626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-1.7053025658242404E-13</v>
      </c>
      <c r="BE79" s="13">
        <f>BD79*VLOOKUP('Données projet'!$B$11,Paramètres!$A$1:$I$89,3,0)*VLOOKUP('Données projet'!$B$11,Paramètres!$A$1:$I$89,5,0)</f>
        <v>-1.0197709343628959E-13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243.85350804244348</v>
      </c>
      <c r="BJ79" s="59">
        <f t="shared" si="92"/>
        <v>304.60992308960545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1.8199497773826721</v>
      </c>
      <c r="BQ79" s="21">
        <f>EXP(-LN(2)/25)*BQ78+(1-EXP(-LN(2)/25))/(LN(2)/25)*Calculateur!BL79*Calculateur!BN79*VLOOKUP('Données projet'!$B$11,Paramètres!$A$1:$I$89,3,0)*0.475*44/12</f>
        <v>4.952068197117919</v>
      </c>
      <c r="BR79" s="21">
        <f>EXP(-LN(2)/2)*BR78+(1-EXP(-LN(2)/2))/(LN(2)/2)*BL79*BO79*VLOOKUP('Données projet'!$B$11,Paramètres!$A$1:$I$89,3,0)*0.475*44/12</f>
        <v>4.4563132849594356E-7</v>
      </c>
      <c r="BS79" s="22">
        <f t="shared" si="63"/>
        <v>6.7720184201319196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12.913461538461533</v>
      </c>
      <c r="N80" s="13">
        <f>IF('Données projet'!$A$36&gt;35,N79+M80-V79,IF(A80&lt;'Données projet'!$A$36,$K$205^A80,IF(A80='Données projet'!$A$36,'Données projet'!$B$36,N79+M80-V79)))</f>
        <v>411.03461538461551</v>
      </c>
      <c r="O80" s="13">
        <f>N80*VLOOKUP('Données projet'!$B$9,Paramètres!$A$1:$I$89,3,0)*VLOOKUP('Données projet'!$B$9,Paramètres!$A$1:$I$89,5,0)</f>
        <v>192.36420000000004</v>
      </c>
      <c r="P80" s="13">
        <f t="shared" si="87"/>
        <v>48.062267116572606</v>
      </c>
      <c r="Q80" s="20">
        <f t="shared" si="54"/>
        <v>418.74276356136397</v>
      </c>
      <c r="R80" s="59">
        <f t="shared" si="55"/>
        <v>712.07609689469723</v>
      </c>
      <c r="S80" s="59">
        <f ca="1">AVERAGE(OFFSET($R$3,0,0,'Données projet'!$E$9+1,1))-AVERAGE(OFFSET($H$3,0,0,'Données projet'!$E$9+1,1))</f>
        <v>158.58786357608489</v>
      </c>
      <c r="T80" s="59">
        <f t="shared" si="88"/>
        <v>163.20074068819849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0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12.5</v>
      </c>
      <c r="AI80" s="13">
        <f>IF('Données projet'!$A$62&gt;35,AI79+AH80-AQ79,IF(A80&lt;'Données projet'!$A$62,$AF$205^A80,IF(A80='Données projet'!$A$62,'Données projet'!$B$62,AI79+AH80-AQ79)))</f>
        <v>499.50000000000028</v>
      </c>
      <c r="AJ80" s="13">
        <f>AI80*VLOOKUP('Données projet'!$B$10,Paramètres!$A$1:$I$89,3,0)*VLOOKUP('Données projet'!$B$10,Paramètres!$A$1:$I$89,5,0)</f>
        <v>298.70100000000019</v>
      </c>
      <c r="AK80" s="13">
        <f t="shared" si="89"/>
        <v>70.904074443365431</v>
      </c>
      <c r="AL80" s="20">
        <f t="shared" si="58"/>
        <v>643.72883798886176</v>
      </c>
      <c r="AM80" s="59">
        <f t="shared" si="59"/>
        <v>937.06217132219513</v>
      </c>
      <c r="AN80" s="59">
        <f ca="1">AVERAGE(OFFSET($AM$3,0,0,'Données projet'!$E$10+1,1))-AVERAGE(OFFSET($H$3,0,0,'Données projet'!$E$10+1,1))</f>
        <v>270.30888762640245</v>
      </c>
      <c r="AO80" s="59">
        <f t="shared" si="90"/>
        <v>202.23783851977691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0.84440933281822728</v>
      </c>
      <c r="AV80" s="21">
        <f>EXP(-LN(2)/25)*AV79+(1-EXP(-LN(2)/25))/(LN(2)/25)*Calculateur!AQ80*Calculateur!AS80*VLOOKUP('Données projet'!$B$10,Paramètres!$A$1:$I$89,3,0)*0.475*44/12</f>
        <v>3.3404078406973281</v>
      </c>
      <c r="AW80" s="21">
        <f>EXP(-LN(2)/2)*AW79+(1-EXP(-LN(2)/2))/(LN(2)/2)*AQ80*AT80*VLOOKUP('Données projet'!$B$10,Paramètres!$A$1:$I$89,3,0)*0.475*44/12</f>
        <v>1.5588103453297935E-6</v>
      </c>
      <c r="AX80" s="21">
        <f t="shared" si="60"/>
        <v>4.1848187323259012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-1.7053025658242404E-13</v>
      </c>
      <c r="BE80" s="13">
        <f>BD80*VLOOKUP('Données projet'!$B$11,Paramètres!$A$1:$I$89,3,0)*VLOOKUP('Données projet'!$B$11,Paramètres!$A$1:$I$89,5,0)</f>
        <v>-1.0197709343628959E-13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243.85350804244348</v>
      </c>
      <c r="BJ80" s="59">
        <f t="shared" si="92"/>
        <v>304.60992308960545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1.7842616723079527</v>
      </c>
      <c r="BQ80" s="21">
        <f>EXP(-LN(2)/25)*BQ79+(1-EXP(-LN(2)/25))/(LN(2)/25)*Calculateur!BL80*Calculateur!BN80*VLOOKUP('Données projet'!$B$11,Paramètres!$A$1:$I$89,3,0)*0.475*44/12</f>
        <v>4.816653631849781</v>
      </c>
      <c r="BR80" s="21">
        <f>EXP(-LN(2)/2)*BR79+(1-EXP(-LN(2)/2))/(LN(2)/2)*BL80*BO80*VLOOKUP('Données projet'!$B$11,Paramètres!$A$1:$I$89,3,0)*0.475*44/12</f>
        <v>3.1510893428865164E-7</v>
      </c>
      <c r="BS80" s="22">
        <f t="shared" si="63"/>
        <v>6.6009156192666687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12.913461538461533</v>
      </c>
      <c r="N81" s="13">
        <f>IF('Données projet'!$A$36&gt;35,N80+M81-V80,IF(A81&lt;'Données projet'!$A$36,$K$205^A81,IF(A81='Données projet'!$A$36,'Données projet'!$B$36,N80+M81-V80)))</f>
        <v>423.94807692307705</v>
      </c>
      <c r="O81" s="13">
        <f>N81*VLOOKUP('Données projet'!$B$9,Paramètres!$A$1:$I$89,3,0)*VLOOKUP('Données projet'!$B$9,Paramètres!$A$1:$I$89,5,0)</f>
        <v>198.40770000000006</v>
      </c>
      <c r="P81" s="13">
        <f t="shared" si="87"/>
        <v>49.394065749424826</v>
      </c>
      <c r="Q81" s="20">
        <f t="shared" si="54"/>
        <v>431.58807534691499</v>
      </c>
      <c r="R81" s="59">
        <f t="shared" si="55"/>
        <v>724.92140868024831</v>
      </c>
      <c r="S81" s="59">
        <f ca="1">AVERAGE(OFFSET($R$3,0,0,'Données projet'!$E$9+1,1))-AVERAGE(OFFSET($H$3,0,0,'Données projet'!$E$9+1,1))</f>
        <v>158.58786357608489</v>
      </c>
      <c r="T81" s="59">
        <f t="shared" si="88"/>
        <v>163.20074068819849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0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12.5</v>
      </c>
      <c r="AI81" s="13">
        <f>IF('Données projet'!$A$62&gt;35,AI80+AH81-AQ80,IF(A81&lt;'Données projet'!$A$62,$AF$205^A81,IF(A81='Données projet'!$A$62,'Données projet'!$B$62,AI80+AH81-AQ80)))</f>
        <v>512.00000000000023</v>
      </c>
      <c r="AJ81" s="13">
        <f>AI81*VLOOKUP('Données projet'!$B$10,Paramètres!$A$1:$I$89,3,0)*VLOOKUP('Données projet'!$B$10,Paramètres!$A$1:$I$89,5,0)</f>
        <v>306.17600000000016</v>
      </c>
      <c r="AK81" s="13">
        <f t="shared" si="89"/>
        <v>72.469650785730451</v>
      </c>
      <c r="AL81" s="20">
        <f t="shared" si="58"/>
        <v>659.47450845181413</v>
      </c>
      <c r="AM81" s="59">
        <f t="shared" si="59"/>
        <v>952.8078417851475</v>
      </c>
      <c r="AN81" s="59">
        <f ca="1">AVERAGE(OFFSET($AM$3,0,0,'Données projet'!$E$10+1,1))-AVERAGE(OFFSET($H$3,0,0,'Données projet'!$E$10+1,1))</f>
        <v>270.30888762640245</v>
      </c>
      <c r="AO81" s="59">
        <f t="shared" si="90"/>
        <v>202.23783851977691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0.82785098084049902</v>
      </c>
      <c r="AV81" s="21">
        <f>EXP(-LN(2)/25)*AV80+(1-EXP(-LN(2)/25))/(LN(2)/25)*Calculateur!AQ81*Calculateur!AS81*VLOOKUP('Données projet'!$B$10,Paramètres!$A$1:$I$89,3,0)*0.475*44/12</f>
        <v>3.2490642126290461</v>
      </c>
      <c r="AW81" s="21">
        <f>EXP(-LN(2)/2)*AW80+(1-EXP(-LN(2)/2))/(LN(2)/2)*AQ81*AT81*VLOOKUP('Données projet'!$B$10,Paramètres!$A$1:$I$89,3,0)*0.475*44/12</f>
        <v>1.1022453657664409E-6</v>
      </c>
      <c r="AX81" s="21">
        <f t="shared" si="60"/>
        <v>4.076916295714911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-1.7053025658242404E-13</v>
      </c>
      <c r="BE81" s="13">
        <f>BD81*VLOOKUP('Données projet'!$B$11,Paramètres!$A$1:$I$89,3,0)*VLOOKUP('Données projet'!$B$11,Paramètres!$A$1:$I$89,5,0)</f>
        <v>-1.0197709343628959E-13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243.85350804244348</v>
      </c>
      <c r="BJ81" s="59">
        <f t="shared" si="92"/>
        <v>304.60992308960545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1.7492733892061541</v>
      </c>
      <c r="BQ81" s="21">
        <f>EXP(-LN(2)/25)*BQ80+(1-EXP(-LN(2)/25))/(LN(2)/25)*Calculateur!BL81*Calculateur!BN81*VLOOKUP('Données projet'!$B$11,Paramètres!$A$1:$I$89,3,0)*0.475*44/12</f>
        <v>4.6849419849900427</v>
      </c>
      <c r="BR81" s="21">
        <f>EXP(-LN(2)/2)*BR80+(1-EXP(-LN(2)/2))/(LN(2)/2)*BL81*BO81*VLOOKUP('Données projet'!$B$11,Paramètres!$A$1:$I$89,3,0)*0.475*44/12</f>
        <v>2.2281566424797178E-7</v>
      </c>
      <c r="BS81" s="22">
        <f t="shared" si="63"/>
        <v>6.4342155970118613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>
        <f>VLOOKUP(A82,'Données projet'!$A$35:$I$55,2,0)</f>
        <v>436.86153846153843</v>
      </c>
      <c r="L82" s="12">
        <f>VLOOKUP(A82,'Données projet'!$A$35:$I$55,9,0)</f>
        <v>12.913461538461533</v>
      </c>
      <c r="M82" s="12">
        <f t="array" ref="M82">INDEX(L:L,MIN(IF(ISNUMBER(L82:L278),ROW(L82:L278),"")))</f>
        <v>12.913461538461533</v>
      </c>
      <c r="N82" s="13">
        <f>IF('Données projet'!$A$36&gt;35,N81+M82-V81,IF(A82&lt;'Données projet'!$A$36,$K$205^A82,IF(A82='Données projet'!$A$36,'Données projet'!$B$36,N81+M82-V81)))</f>
        <v>436.8615384615386</v>
      </c>
      <c r="O82" s="13">
        <f>N82*VLOOKUP('Données projet'!$B$9,Paramètres!$A$1:$I$89,3,0)*VLOOKUP('Données projet'!$B$9,Paramètres!$A$1:$I$89,5,0)</f>
        <v>204.45120000000009</v>
      </c>
      <c r="P82" s="13">
        <f t="shared" si="87"/>
        <v>50.721150021305952</v>
      </c>
      <c r="Q82" s="20">
        <f t="shared" si="54"/>
        <v>444.42517628710794</v>
      </c>
      <c r="R82" s="59">
        <f t="shared" si="55"/>
        <v>737.75850962044126</v>
      </c>
      <c r="S82" s="59">
        <f ca="1">AVERAGE(OFFSET($R$3,0,0,'Données projet'!$E$9+1,1))-AVERAGE(OFFSET($H$3,0,0,'Données projet'!$E$9+1,1))</f>
        <v>158.58786357608489</v>
      </c>
      <c r="T82" s="59">
        <f t="shared" si="88"/>
        <v>163.20074068819849</v>
      </c>
      <c r="U82" s="15">
        <f>IF(ISNA(VLOOKUP(A82,'Données projet'!$A$35:$I$55,3,0)),0,VLOOKUP(A82,'Données projet'!$A$35:$I$55,3,0))</f>
        <v>6</v>
      </c>
      <c r="V82" s="15">
        <f>IF(ISNA(VLOOKUP(A82,'Données projet'!$A$35:$I$55,4,0)),0,VLOOKUP(A82,'Données projet'!$A$35:$I$55,4,0))</f>
        <v>77.338461538461544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0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12.5</v>
      </c>
      <c r="AI82" s="13">
        <f>IF('Données projet'!$A$62&gt;35,AI81+AH82-AQ81,IF(A82&lt;'Données projet'!$A$62,$AF$205^A82,IF(A82='Données projet'!$A$62,'Données projet'!$B$62,AI81+AH82-AQ81)))</f>
        <v>524.50000000000023</v>
      </c>
      <c r="AJ82" s="13">
        <f>AI82*VLOOKUP('Données projet'!$B$10,Paramètres!$A$1:$I$89,3,0)*VLOOKUP('Données projet'!$B$10,Paramètres!$A$1:$I$89,5,0)</f>
        <v>313.65100000000018</v>
      </c>
      <c r="AK82" s="13">
        <f t="shared" si="89"/>
        <v>74.030783927316818</v>
      </c>
      <c r="AL82" s="20">
        <f t="shared" si="58"/>
        <v>675.21244034007702</v>
      </c>
      <c r="AM82" s="59">
        <f t="shared" si="59"/>
        <v>968.54577367341039</v>
      </c>
      <c r="AN82" s="59">
        <f ca="1">AVERAGE(OFFSET($AM$3,0,0,'Données projet'!$E$10+1,1))-AVERAGE(OFFSET($H$3,0,0,'Données projet'!$E$10+1,1))</f>
        <v>270.30888762640245</v>
      </c>
      <c r="AO82" s="59">
        <f t="shared" si="90"/>
        <v>202.23783851977691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0.8116173280454565</v>
      </c>
      <c r="AV82" s="21">
        <f>EXP(-LN(2)/25)*AV81+(1-EXP(-LN(2)/25))/(LN(2)/25)*Calculateur!AQ82*Calculateur!AS82*VLOOKUP('Données projet'!$B$10,Paramètres!$A$1:$I$89,3,0)*0.475*44/12</f>
        <v>3.1602183808738435</v>
      </c>
      <c r="AW82" s="21">
        <f>EXP(-LN(2)/2)*AW81+(1-EXP(-LN(2)/2))/(LN(2)/2)*AQ82*AT82*VLOOKUP('Données projet'!$B$10,Paramètres!$A$1:$I$89,3,0)*0.475*44/12</f>
        <v>7.7940517266489675E-7</v>
      </c>
      <c r="AX82" s="21">
        <f t="shared" si="60"/>
        <v>3.971836488324473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-1.7053025658242404E-13</v>
      </c>
      <c r="BE82" s="13">
        <f>BD82*VLOOKUP('Données projet'!$B$11,Paramètres!$A$1:$I$89,3,0)*VLOOKUP('Données projet'!$B$11,Paramètres!$A$1:$I$89,5,0)</f>
        <v>-1.0197709343628959E-13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243.85350804244348</v>
      </c>
      <c r="BJ82" s="59">
        <f t="shared" si="92"/>
        <v>304.60992308960545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1.7149712049952361</v>
      </c>
      <c r="BQ82" s="21">
        <f>EXP(-LN(2)/25)*BQ81+(1-EXP(-LN(2)/25))/(LN(2)/25)*Calculateur!BL82*Calculateur!BN82*VLOOKUP('Données projet'!$B$11,Paramètres!$A$1:$I$89,3,0)*0.475*44/12</f>
        <v>4.5568320000400986</v>
      </c>
      <c r="BR82" s="21">
        <f>EXP(-LN(2)/2)*BR81+(1-EXP(-LN(2)/2))/(LN(2)/2)*BL82*BO82*VLOOKUP('Données projet'!$B$11,Paramètres!$A$1:$I$89,3,0)*0.475*44/12</f>
        <v>1.5755446714432582E-7</v>
      </c>
      <c r="BS82" s="22">
        <f t="shared" si="63"/>
        <v>6.271803362589802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12.124038461538468</v>
      </c>
      <c r="N83" s="13">
        <f>IF('Données projet'!$A$36&gt;35,N82+M83-V82,IF(A83&lt;'Données projet'!$A$36,$K$205^A83,IF(A83='Données projet'!$A$36,'Données projet'!$B$36,N82+M83-V82)))</f>
        <v>371.64711538461552</v>
      </c>
      <c r="O83" s="13">
        <f>N83*VLOOKUP('Données projet'!$B$9,Paramètres!$A$1:$I$89,3,0)*VLOOKUP('Données projet'!$B$9,Paramètres!$A$1:$I$89,5,0)</f>
        <v>173.93085000000008</v>
      </c>
      <c r="P83" s="13">
        <f t="shared" si="87"/>
        <v>43.969228534222836</v>
      </c>
      <c r="Q83" s="20">
        <f t="shared" si="54"/>
        <v>379.50930344710491</v>
      </c>
      <c r="R83" s="59">
        <f t="shared" si="55"/>
        <v>672.84263678043817</v>
      </c>
      <c r="S83" s="59">
        <f ca="1">AVERAGE(OFFSET($R$3,0,0,'Données projet'!$E$9+1,1))-AVERAGE(OFFSET($H$3,0,0,'Données projet'!$E$9+1,1))</f>
        <v>158.58786357608489</v>
      </c>
      <c r="T83" s="59">
        <f t="shared" si="88"/>
        <v>163.20074068819849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0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537</v>
      </c>
      <c r="AG83" s="12">
        <f>VLOOKUP(A83,'Données projet'!$A$61:$I$81,9,0)</f>
        <v>12.5</v>
      </c>
      <c r="AH83" s="12">
        <f t="array" ref="AH83">INDEX(AG:AG,MIN(IF(ISNUMBER(AG83:AG279),ROW(AG83:AG279),"")))</f>
        <v>12.5</v>
      </c>
      <c r="AI83" s="13">
        <f>IF('Données projet'!$A$62&gt;35,AI82+AH83-AQ82,IF(A83&lt;'Données projet'!$A$62,$AF$205^A83,IF(A83='Données projet'!$A$62,'Données projet'!$B$62,AI82+AH83-AQ82)))</f>
        <v>537.00000000000023</v>
      </c>
      <c r="AJ83" s="13">
        <f>AI83*VLOOKUP('Données projet'!$B$10,Paramètres!$A$1:$I$89,3,0)*VLOOKUP('Données projet'!$B$10,Paramètres!$A$1:$I$89,5,0)</f>
        <v>321.12600000000015</v>
      </c>
      <c r="AK83" s="13">
        <f t="shared" si="89"/>
        <v>75.587591944000323</v>
      </c>
      <c r="AL83" s="20">
        <f t="shared" si="58"/>
        <v>690.94283930246741</v>
      </c>
      <c r="AM83" s="59">
        <f t="shared" si="59"/>
        <v>984.27617263580078</v>
      </c>
      <c r="AN83" s="59">
        <f ca="1">AVERAGE(OFFSET($AM$3,0,0,'Données projet'!$E$10+1,1))-AVERAGE(OFFSET($H$3,0,0,'Données projet'!$E$10+1,1))</f>
        <v>270.30888762640245</v>
      </c>
      <c r="AO83" s="59">
        <f t="shared" si="90"/>
        <v>202.23783851977691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78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0.79570200728017426</v>
      </c>
      <c r="AV83" s="21">
        <f>EXP(-LN(2)/25)*AV82+(1-EXP(-LN(2)/25))/(LN(2)/25)*Calculateur!AQ83*Calculateur!AS83*VLOOKUP('Données projet'!$B$10,Paramètres!$A$1:$I$89,3,0)*0.475*44/12</f>
        <v>3.0738020430601862</v>
      </c>
      <c r="AW83" s="21">
        <f>EXP(-LN(2)/2)*AW82+(1-EXP(-LN(2)/2))/(LN(2)/2)*AQ83*AT83*VLOOKUP('Données projet'!$B$10,Paramètres!$A$1:$I$89,3,0)*0.475*44/12</f>
        <v>5.5112268288322043E-7</v>
      </c>
      <c r="AX83" s="21">
        <f t="shared" si="60"/>
        <v>3.8695046014630434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-1.7053025658242404E-13</v>
      </c>
      <c r="BE83" s="13">
        <f>BD83*VLOOKUP('Données projet'!$B$11,Paramètres!$A$1:$I$89,3,0)*VLOOKUP('Données projet'!$B$11,Paramètres!$A$1:$I$89,5,0)</f>
        <v>-1.0197709343628959E-13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243.85350804244348</v>
      </c>
      <c r="BJ83" s="59">
        <f t="shared" si="92"/>
        <v>304.60992308960545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1.6813416656944278</v>
      </c>
      <c r="BQ83" s="21">
        <f>EXP(-LN(2)/25)*BQ82+(1-EXP(-LN(2)/25))/(LN(2)/25)*Calculateur!BL83*Calculateur!BN83*VLOOKUP('Données projet'!$B$11,Paramètres!$A$1:$I$89,3,0)*0.475*44/12</f>
        <v>4.4322251893656217</v>
      </c>
      <c r="BR83" s="21">
        <f>EXP(-LN(2)/2)*BR82+(1-EXP(-LN(2)/2))/(LN(2)/2)*BL83*BO83*VLOOKUP('Données projet'!$B$11,Paramètres!$A$1:$I$89,3,0)*0.475*44/12</f>
        <v>1.1140783212398589E-7</v>
      </c>
      <c r="BS83" s="22">
        <f t="shared" si="63"/>
        <v>6.1135669664678822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12.124038461538468</v>
      </c>
      <c r="N84" s="13">
        <f>IF('Données projet'!$A$36&gt;35,N83+M84-V83,IF(A84&lt;'Données projet'!$A$36,$K$205^A84,IF(A84='Données projet'!$A$36,'Données projet'!$B$36,N83+M84-V83)))</f>
        <v>383.77115384615399</v>
      </c>
      <c r="O84" s="13">
        <f>N84*VLOOKUP('Données projet'!$B$9,Paramètres!$A$1:$I$89,3,0)*VLOOKUP('Données projet'!$B$9,Paramètres!$A$1:$I$89,5,0)</f>
        <v>179.60490000000007</v>
      </c>
      <c r="P84" s="13">
        <f t="shared" si="87"/>
        <v>45.234272457213635</v>
      </c>
      <c r="Q84" s="20">
        <f t="shared" si="54"/>
        <v>391.59489202964716</v>
      </c>
      <c r="R84" s="59">
        <f t="shared" si="55"/>
        <v>684.92822536298047</v>
      </c>
      <c r="S84" s="59">
        <f ca="1">AVERAGE(OFFSET($R$3,0,0,'Données projet'!$E$9+1,1))-AVERAGE(OFFSET($H$3,0,0,'Données projet'!$E$9+1,1))</f>
        <v>158.58786357608489</v>
      </c>
      <c r="T84" s="59">
        <f t="shared" si="88"/>
        <v>163.20074068819849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0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10.8</v>
      </c>
      <c r="AI84" s="13">
        <f>IF('Données projet'!$A$62&gt;35,AI83+AH84-AQ83,IF(A84&lt;'Données projet'!$A$62,$AF$205^A84,IF(A84='Données projet'!$A$62,'Données projet'!$B$62,AI83+AH84-AQ83)))</f>
        <v>469.80000000000018</v>
      </c>
      <c r="AJ84" s="13">
        <f>AI84*VLOOKUP('Données projet'!$B$10,Paramètres!$A$1:$I$89,3,0)*VLOOKUP('Données projet'!$B$10,Paramètres!$A$1:$I$89,5,0)</f>
        <v>280.94040000000012</v>
      </c>
      <c r="AK84" s="13">
        <f t="shared" si="89"/>
        <v>67.165703636653262</v>
      </c>
      <c r="AL84" s="20">
        <f t="shared" si="58"/>
        <v>606.2847971671714</v>
      </c>
      <c r="AM84" s="59">
        <f t="shared" si="59"/>
        <v>899.61813050050478</v>
      </c>
      <c r="AN84" s="59">
        <f ca="1">AVERAGE(OFFSET($AM$3,0,0,'Données projet'!$E$10+1,1))-AVERAGE(OFFSET($H$3,0,0,'Données projet'!$E$10+1,1))</f>
        <v>270.30888762640245</v>
      </c>
      <c r="AO84" s="59">
        <f t="shared" si="90"/>
        <v>202.23783851977691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0.78009877624771207</v>
      </c>
      <c r="AV84" s="21">
        <f>EXP(-LN(2)/25)*AV83+(1-EXP(-LN(2)/25))/(LN(2)/25)*Calculateur!AQ84*Calculateur!AS84*VLOOKUP('Données projet'!$B$10,Paramètres!$A$1:$I$89,3,0)*0.475*44/12</f>
        <v>2.989748764548481</v>
      </c>
      <c r="AW84" s="21">
        <f>EXP(-LN(2)/2)*AW83+(1-EXP(-LN(2)/2))/(LN(2)/2)*AQ84*AT84*VLOOKUP('Données projet'!$B$10,Paramètres!$A$1:$I$89,3,0)*0.475*44/12</f>
        <v>3.8970258633244837E-7</v>
      </c>
      <c r="AX84" s="21">
        <f t="shared" si="60"/>
        <v>3.7698479304987793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-1.7053025658242404E-13</v>
      </c>
      <c r="BE84" s="13">
        <f>BD84*VLOOKUP('Données projet'!$B$11,Paramètres!$A$1:$I$89,3,0)*VLOOKUP('Données projet'!$B$11,Paramètres!$A$1:$I$89,5,0)</f>
        <v>-1.0197709343628959E-13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243.85350804244348</v>
      </c>
      <c r="BJ84" s="59">
        <f t="shared" si="92"/>
        <v>304.60992308960545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1.6483715811473147</v>
      </c>
      <c r="BQ84" s="21">
        <f>EXP(-LN(2)/25)*BQ83+(1-EXP(-LN(2)/25))/(LN(2)/25)*Calculateur!BL84*Calculateur!BN84*VLOOKUP('Données projet'!$B$11,Paramètres!$A$1:$I$89,3,0)*0.475*44/12</f>
        <v>4.3110257584818257</v>
      </c>
      <c r="BR84" s="21">
        <f>EXP(-LN(2)/2)*BR83+(1-EXP(-LN(2)/2))/(LN(2)/2)*BL84*BO84*VLOOKUP('Données projet'!$B$11,Paramètres!$A$1:$I$89,3,0)*0.475*44/12</f>
        <v>7.877723357216291E-8</v>
      </c>
      <c r="BS84" s="22">
        <f t="shared" si="63"/>
        <v>5.9593974184063736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12.124038461538468</v>
      </c>
      <c r="N85" s="13">
        <f>IF('Données projet'!$A$36&gt;35,N84+M85-V84,IF(A85&lt;'Données projet'!$A$36,$K$205^A85,IF(A85='Données projet'!$A$36,'Données projet'!$B$36,N84+M85-V84)))</f>
        <v>395.89519230769247</v>
      </c>
      <c r="O85" s="13">
        <f>N85*VLOOKUP('Données projet'!$B$9,Paramètres!$A$1:$I$89,3,0)*VLOOKUP('Données projet'!$B$9,Paramètres!$A$1:$I$89,5,0)</f>
        <v>185.27895000000009</v>
      </c>
      <c r="P85" s="13">
        <f t="shared" si="87"/>
        <v>46.494672172616063</v>
      </c>
      <c r="Q85" s="20">
        <f t="shared" si="54"/>
        <v>403.67239195063979</v>
      </c>
      <c r="R85" s="59">
        <f t="shared" si="55"/>
        <v>697.00572528397311</v>
      </c>
      <c r="S85" s="59">
        <f ca="1">AVERAGE(OFFSET($R$3,0,0,'Données projet'!$E$9+1,1))-AVERAGE(OFFSET($H$3,0,0,'Données projet'!$E$9+1,1))</f>
        <v>158.58786357608489</v>
      </c>
      <c r="T85" s="59">
        <f t="shared" si="88"/>
        <v>163.20074068819849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0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10.8</v>
      </c>
      <c r="AI85" s="13">
        <f>IF('Données projet'!$A$62&gt;35,AI84+AH85-AQ84,IF(A85&lt;'Données projet'!$A$62,$AF$205^A85,IF(A85='Données projet'!$A$62,'Données projet'!$B$62,AI84+AH85-AQ84)))</f>
        <v>480.60000000000019</v>
      </c>
      <c r="AJ85" s="13">
        <f>AI85*VLOOKUP('Données projet'!$B$10,Paramètres!$A$1:$I$89,3,0)*VLOOKUP('Données projet'!$B$10,Paramètres!$A$1:$I$89,5,0)</f>
        <v>287.39880000000016</v>
      </c>
      <c r="AK85" s="13">
        <f t="shared" si="89"/>
        <v>68.528206713592894</v>
      </c>
      <c r="AL85" s="20">
        <f t="shared" si="58"/>
        <v>619.90620335950791</v>
      </c>
      <c r="AM85" s="59">
        <f t="shared" si="59"/>
        <v>913.23953669284128</v>
      </c>
      <c r="AN85" s="59">
        <f ca="1">AVERAGE(OFFSET($AM$3,0,0,'Données projet'!$E$10+1,1))-AVERAGE(OFFSET($H$3,0,0,'Données projet'!$E$10+1,1))</f>
        <v>270.30888762640245</v>
      </c>
      <c r="AO85" s="59">
        <f t="shared" si="90"/>
        <v>202.23783851977691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0.76480151505876526</v>
      </c>
      <c r="AV85" s="21">
        <f>EXP(-LN(2)/25)*AV84+(1-EXP(-LN(2)/25))/(LN(2)/25)*Calculateur!AQ85*Calculateur!AS85*VLOOKUP('Données projet'!$B$10,Paramètres!$A$1:$I$89,3,0)*0.475*44/12</f>
        <v>2.9079939273578486</v>
      </c>
      <c r="AW85" s="21">
        <f>EXP(-LN(2)/2)*AW84+(1-EXP(-LN(2)/2))/(LN(2)/2)*AQ85*AT85*VLOOKUP('Données projet'!$B$10,Paramètres!$A$1:$I$89,3,0)*0.475*44/12</f>
        <v>2.7556134144161022E-7</v>
      </c>
      <c r="AX85" s="21">
        <f t="shared" si="60"/>
        <v>3.6727957179779551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-1.7053025658242404E-13</v>
      </c>
      <c r="BE85" s="13">
        <f>BD85*VLOOKUP('Données projet'!$B$11,Paramètres!$A$1:$I$89,3,0)*VLOOKUP('Données projet'!$B$11,Paramètres!$A$1:$I$89,5,0)</f>
        <v>-1.0197709343628959E-13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243.85350804244348</v>
      </c>
      <c r="BJ85" s="59">
        <f t="shared" si="92"/>
        <v>304.60992308960545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1.6160480198484046</v>
      </c>
      <c r="BQ85" s="21">
        <f>EXP(-LN(2)/25)*BQ84+(1-EXP(-LN(2)/25))/(LN(2)/25)*Calculateur!BL85*Calculateur!BN85*VLOOKUP('Données projet'!$B$11,Paramètres!$A$1:$I$89,3,0)*0.475*44/12</f>
        <v>4.1931405324091484</v>
      </c>
      <c r="BR85" s="21">
        <f>EXP(-LN(2)/2)*BR84+(1-EXP(-LN(2)/2))/(LN(2)/2)*BL85*BO85*VLOOKUP('Données projet'!$B$11,Paramètres!$A$1:$I$89,3,0)*0.475*44/12</f>
        <v>5.5703916061992945E-8</v>
      </c>
      <c r="BS85" s="22">
        <f t="shared" si="63"/>
        <v>5.8091886079614694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12.124038461538468</v>
      </c>
      <c r="N86" s="13">
        <f>IF('Données projet'!$A$36&gt;35,N85+M86-V85,IF(A86&lt;'Données projet'!$A$36,$K$205^A86,IF(A86='Données projet'!$A$36,'Données projet'!$B$36,N85+M86-V85)))</f>
        <v>408.01923076923094</v>
      </c>
      <c r="O86" s="13">
        <f>N86*VLOOKUP('Données projet'!$B$9,Paramètres!$A$1:$I$89,3,0)*VLOOKUP('Données projet'!$B$9,Paramètres!$A$1:$I$89,5,0)</f>
        <v>190.95300000000006</v>
      </c>
      <c r="P86" s="13">
        <f t="shared" si="87"/>
        <v>47.750586229034354</v>
      </c>
      <c r="Q86" s="20">
        <f t="shared" si="54"/>
        <v>415.7420793489016</v>
      </c>
      <c r="R86" s="59">
        <f t="shared" si="55"/>
        <v>709.07541268223486</v>
      </c>
      <c r="S86" s="59">
        <f ca="1">AVERAGE(OFFSET($R$3,0,0,'Données projet'!$E$9+1,1))-AVERAGE(OFFSET($H$3,0,0,'Données projet'!$E$9+1,1))</f>
        <v>158.58786357608489</v>
      </c>
      <c r="T86" s="59">
        <f t="shared" si="88"/>
        <v>163.20074068819849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0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10.8</v>
      </c>
      <c r="AI86" s="13">
        <f>IF('Données projet'!$A$62&gt;35,AI85+AH86-AQ85,IF(A86&lt;'Données projet'!$A$62,$AF$205^A86,IF(A86='Données projet'!$A$62,'Données projet'!$B$62,AI85+AH86-AQ85)))</f>
        <v>491.4000000000002</v>
      </c>
      <c r="AJ86" s="13">
        <f>AI86*VLOOKUP('Données projet'!$B$10,Paramètres!$A$1:$I$89,3,0)*VLOOKUP('Données projet'!$B$10,Paramètres!$A$1:$I$89,5,0)</f>
        <v>293.85720000000015</v>
      </c>
      <c r="AK86" s="13">
        <f t="shared" si="89"/>
        <v>69.887150190339838</v>
      </c>
      <c r="AL86" s="20">
        <f t="shared" si="58"/>
        <v>633.52140991484214</v>
      </c>
      <c r="AM86" s="59">
        <f t="shared" si="59"/>
        <v>926.85474324817551</v>
      </c>
      <c r="AN86" s="59">
        <f ca="1">AVERAGE(OFFSET($AM$3,0,0,'Données projet'!$E$10+1,1))-AVERAGE(OFFSET($H$3,0,0,'Données projet'!$E$10+1,1))</f>
        <v>270.30888762640245</v>
      </c>
      <c r="AO86" s="59">
        <f t="shared" si="90"/>
        <v>202.23783851977691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0.74980422383132572</v>
      </c>
      <c r="AV86" s="21">
        <f>EXP(-LN(2)/25)*AV85+(1-EXP(-LN(2)/25))/(LN(2)/25)*Calculateur!AQ86*Calculateur!AS86*VLOOKUP('Données projet'!$B$10,Paramètres!$A$1:$I$89,3,0)*0.475*44/12</f>
        <v>2.828474680489494</v>
      </c>
      <c r="AW86" s="21">
        <f>EXP(-LN(2)/2)*AW85+(1-EXP(-LN(2)/2))/(LN(2)/2)*AQ86*AT86*VLOOKUP('Données projet'!$B$10,Paramètres!$A$1:$I$89,3,0)*0.475*44/12</f>
        <v>1.9485129316622419E-7</v>
      </c>
      <c r="AX86" s="21">
        <f t="shared" si="60"/>
        <v>3.578279099172113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-1.7053025658242404E-13</v>
      </c>
      <c r="BE86" s="13">
        <f>BD86*VLOOKUP('Données projet'!$B$11,Paramètres!$A$1:$I$89,3,0)*VLOOKUP('Données projet'!$B$11,Paramètres!$A$1:$I$89,5,0)</f>
        <v>-1.0197709343628959E-13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243.85350804244348</v>
      </c>
      <c r="BJ86" s="59">
        <f t="shared" si="92"/>
        <v>304.60992308960545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1.5843583038711406</v>
      </c>
      <c r="BQ86" s="21">
        <f>EXP(-LN(2)/25)*BQ85+(1-EXP(-LN(2)/25))/(LN(2)/25)*Calculateur!BL86*Calculateur!BN86*VLOOKUP('Données projet'!$B$11,Paramètres!$A$1:$I$89,3,0)*0.475*44/12</f>
        <v>4.0784788840427435</v>
      </c>
      <c r="BR86" s="21">
        <f>EXP(-LN(2)/2)*BR85+(1-EXP(-LN(2)/2))/(LN(2)/2)*BL86*BO86*VLOOKUP('Données projet'!$B$11,Paramètres!$A$1:$I$89,3,0)*0.475*44/12</f>
        <v>3.9388616786081455E-8</v>
      </c>
      <c r="BS86" s="22">
        <f t="shared" si="63"/>
        <v>5.6628372273025009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12.124038461538468</v>
      </c>
      <c r="N87" s="13">
        <f>IF('Données projet'!$A$36&gt;35,N86+M87-V86,IF(A87&lt;'Données projet'!$A$36,$K$205^A87,IF(A87='Données projet'!$A$36,'Données projet'!$B$36,N86+M87-V86)))</f>
        <v>420.14326923076942</v>
      </c>
      <c r="O87" s="13">
        <f>N87*VLOOKUP('Données projet'!$B$9,Paramètres!$A$1:$I$89,3,0)*VLOOKUP('Données projet'!$B$9,Paramètres!$A$1:$I$89,5,0)</f>
        <v>196.62705000000008</v>
      </c>
      <c r="P87" s="13">
        <f t="shared" si="87"/>
        <v>49.002163217129386</v>
      </c>
      <c r="Q87" s="20">
        <f t="shared" si="54"/>
        <v>427.80421301983375</v>
      </c>
      <c r="R87" s="59">
        <f t="shared" si="55"/>
        <v>721.13754635316707</v>
      </c>
      <c r="S87" s="59">
        <f ca="1">AVERAGE(OFFSET($R$3,0,0,'Données projet'!$E$9+1,1))-AVERAGE(OFFSET($H$3,0,0,'Données projet'!$E$9+1,1))</f>
        <v>158.58786357608489</v>
      </c>
      <c r="T87" s="59">
        <f t="shared" si="88"/>
        <v>163.20074068819849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0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10.8</v>
      </c>
      <c r="AI87" s="13">
        <f>IF('Données projet'!$A$62&gt;35,AI86+AH87-AQ86,IF(A87&lt;'Données projet'!$A$62,$AF$205^A87,IF(A87='Données projet'!$A$62,'Données projet'!$B$62,AI86+AH87-AQ86)))</f>
        <v>502.20000000000022</v>
      </c>
      <c r="AJ87" s="13">
        <f>AI87*VLOOKUP('Données projet'!$B$10,Paramètres!$A$1:$I$89,3,0)*VLOOKUP('Données projet'!$B$10,Paramètres!$A$1:$I$89,5,0)</f>
        <v>300.31560000000013</v>
      </c>
      <c r="AK87" s="13">
        <f t="shared" si="89"/>
        <v>71.242621308749136</v>
      </c>
      <c r="AL87" s="20">
        <f t="shared" si="58"/>
        <v>647.13056877940483</v>
      </c>
      <c r="AM87" s="59">
        <f t="shared" si="59"/>
        <v>940.4639021127382</v>
      </c>
      <c r="AN87" s="59">
        <f ca="1">AVERAGE(OFFSET($AM$3,0,0,'Données projet'!$E$10+1,1))-AVERAGE(OFFSET($H$3,0,0,'Données projet'!$E$10+1,1))</f>
        <v>270.30888762640245</v>
      </c>
      <c r="AO87" s="59">
        <f t="shared" si="90"/>
        <v>202.23783851977691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0.73510102033741187</v>
      </c>
      <c r="AV87" s="21">
        <f>EXP(-LN(2)/25)*AV86+(1-EXP(-LN(2)/25))/(LN(2)/25)*Calculateur!AQ87*Calculateur!AS87*VLOOKUP('Données projet'!$B$10,Paramètres!$A$1:$I$89,3,0)*0.475*44/12</f>
        <v>2.7511298916084899</v>
      </c>
      <c r="AW87" s="21">
        <f>EXP(-LN(2)/2)*AW86+(1-EXP(-LN(2)/2))/(LN(2)/2)*AQ87*AT87*VLOOKUP('Données projet'!$B$10,Paramètres!$A$1:$I$89,3,0)*0.475*44/12</f>
        <v>1.3778067072080511E-7</v>
      </c>
      <c r="AX87" s="21">
        <f t="shared" si="60"/>
        <v>3.4862310497265727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-1.7053025658242404E-13</v>
      </c>
      <c r="BE87" s="13">
        <f>BD87*VLOOKUP('Données projet'!$B$11,Paramètres!$A$1:$I$89,3,0)*VLOOKUP('Données projet'!$B$11,Paramètres!$A$1:$I$89,5,0)</f>
        <v>-1.0197709343628959E-13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243.85350804244348</v>
      </c>
      <c r="BJ87" s="59">
        <f t="shared" si="92"/>
        <v>304.60992308960545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1.5532900038953725</v>
      </c>
      <c r="BQ87" s="21">
        <f>EXP(-LN(2)/25)*BQ86+(1-EXP(-LN(2)/25))/(LN(2)/25)*Calculateur!BL87*Calculateur!BN87*VLOOKUP('Données projet'!$B$11,Paramètres!$A$1:$I$89,3,0)*0.475*44/12</f>
        <v>3.9669526644807118</v>
      </c>
      <c r="BR87" s="21">
        <f>EXP(-LN(2)/2)*BR86+(1-EXP(-LN(2)/2))/(LN(2)/2)*BL87*BO87*VLOOKUP('Données projet'!$B$11,Paramètres!$A$1:$I$89,3,0)*0.475*44/12</f>
        <v>2.7851958030996473E-8</v>
      </c>
      <c r="BS87" s="22">
        <f t="shared" si="63"/>
        <v>5.5202426962280429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12.124038461538468</v>
      </c>
      <c r="N88" s="13">
        <f>IF('Données projet'!$A$36&gt;35,N87+M88-V87,IF(A88&lt;'Données projet'!$A$36,$K$205^A88,IF(A88='Données projet'!$A$36,'Données projet'!$B$36,N87+M88-V87)))</f>
        <v>432.2673076923079</v>
      </c>
      <c r="O88" s="13">
        <f>N88*VLOOKUP('Données projet'!$B$9,Paramètres!$A$1:$I$89,3,0)*VLOOKUP('Données projet'!$B$9,Paramètres!$A$1:$I$89,5,0)</f>
        <v>202.3011000000001</v>
      </c>
      <c r="P88" s="13">
        <f t="shared" si="87"/>
        <v>50.249542664134772</v>
      </c>
      <c r="Q88" s="20">
        <f t="shared" si="54"/>
        <v>439.85903597336824</v>
      </c>
      <c r="R88" s="59">
        <f t="shared" si="55"/>
        <v>733.19236930670149</v>
      </c>
      <c r="S88" s="59">
        <f ca="1">AVERAGE(OFFSET($R$3,0,0,'Données projet'!$E$9+1,1))-AVERAGE(OFFSET($H$3,0,0,'Données projet'!$E$9+1,1))</f>
        <v>158.58786357608489</v>
      </c>
      <c r="T88" s="59">
        <f t="shared" si="88"/>
        <v>163.20074068819849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0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10.8</v>
      </c>
      <c r="AI88" s="13">
        <f>IF('Données projet'!$A$62&gt;35,AI87+AH88-AQ87,IF(A88&lt;'Données projet'!$A$62,$AF$205^A88,IF(A88='Données projet'!$A$62,'Données projet'!$B$62,AI87+AH88-AQ87)))</f>
        <v>513.00000000000023</v>
      </c>
      <c r="AJ88" s="13">
        <f>AI88*VLOOKUP('Données projet'!$B$10,Paramètres!$A$1:$I$89,3,0)*VLOOKUP('Données projet'!$B$10,Paramètres!$A$1:$I$89,5,0)</f>
        <v>306.77400000000017</v>
      </c>
      <c r="AK88" s="13">
        <f t="shared" si="89"/>
        <v>72.594703343999115</v>
      </c>
      <c r="AL88" s="20">
        <f t="shared" si="58"/>
        <v>660.73382499079878</v>
      </c>
      <c r="AM88" s="59">
        <f t="shared" si="59"/>
        <v>954.06715832413215</v>
      </c>
      <c r="AN88" s="59">
        <f ca="1">AVERAGE(OFFSET($AM$3,0,0,'Données projet'!$E$10+1,1))-AVERAGE(OFFSET($H$3,0,0,'Données projet'!$E$10+1,1))</f>
        <v>270.30888762640245</v>
      </c>
      <c r="AO88" s="59">
        <f t="shared" si="90"/>
        <v>202.23783851977691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0.72068613769594503</v>
      </c>
      <c r="AV88" s="21">
        <f>EXP(-LN(2)/25)*AV87+(1-EXP(-LN(2)/25))/(LN(2)/25)*Calculateur!AQ88*Calculateur!AS88*VLOOKUP('Données projet'!$B$10,Paramètres!$A$1:$I$89,3,0)*0.475*44/12</f>
        <v>2.6759001000468223</v>
      </c>
      <c r="AW88" s="21">
        <f>EXP(-LN(2)/2)*AW87+(1-EXP(-LN(2)/2))/(LN(2)/2)*AQ88*AT88*VLOOKUP('Données projet'!$B$10,Paramètres!$A$1:$I$89,3,0)*0.475*44/12</f>
        <v>9.7425646583112094E-8</v>
      </c>
      <c r="AX88" s="21">
        <f t="shared" si="60"/>
        <v>3.396586335168414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-1.7053025658242404E-13</v>
      </c>
      <c r="BE88" s="13">
        <f>BD88*VLOOKUP('Données projet'!$B$11,Paramètres!$A$1:$I$89,3,0)*VLOOKUP('Données projet'!$B$11,Paramètres!$A$1:$I$89,5,0)</f>
        <v>-1.0197709343628959E-13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243.85350804244348</v>
      </c>
      <c r="BJ88" s="59">
        <f t="shared" si="92"/>
        <v>304.60992308960545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1.5228309343323374</v>
      </c>
      <c r="BQ88" s="21">
        <f>EXP(-LN(2)/25)*BQ87+(1-EXP(-LN(2)/25))/(LN(2)/25)*Calculateur!BL88*Calculateur!BN88*VLOOKUP('Données projet'!$B$11,Paramètres!$A$1:$I$89,3,0)*0.475*44/12</f>
        <v>3.8584761352575128</v>
      </c>
      <c r="BR88" s="21">
        <f>EXP(-LN(2)/2)*BR87+(1-EXP(-LN(2)/2))/(LN(2)/2)*BL88*BO88*VLOOKUP('Données projet'!$B$11,Paramètres!$A$1:$I$89,3,0)*0.475*44/12</f>
        <v>1.9694308393040728E-8</v>
      </c>
      <c r="BS88" s="22">
        <f t="shared" si="63"/>
        <v>5.3813070892841584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12.124038461538468</v>
      </c>
      <c r="N89" s="13">
        <f>IF('Données projet'!$A$36&gt;35,N88+M89-V88,IF(A89&lt;'Données projet'!$A$36,$K$205^A89,IF(A89='Données projet'!$A$36,'Données projet'!$B$36,N88+M89-V88)))</f>
        <v>444.39134615384637</v>
      </c>
      <c r="O89" s="13">
        <f>N89*VLOOKUP('Données projet'!$B$9,Paramètres!$A$1:$I$89,3,0)*VLOOKUP('Données projet'!$B$9,Paramètres!$A$1:$I$89,5,0)</f>
        <v>207.9751500000001</v>
      </c>
      <c r="P89" s="13">
        <f t="shared" si="87"/>
        <v>51.492855825196166</v>
      </c>
      <c r="Q89" s="20">
        <f t="shared" si="54"/>
        <v>451.90677681221678</v>
      </c>
      <c r="R89" s="59">
        <f t="shared" si="55"/>
        <v>745.24011014555003</v>
      </c>
      <c r="S89" s="59">
        <f ca="1">AVERAGE(OFFSET($R$3,0,0,'Données projet'!$E$9+1,1))-AVERAGE(OFFSET($H$3,0,0,'Données projet'!$E$9+1,1))</f>
        <v>158.58786357608489</v>
      </c>
      <c r="T89" s="59">
        <f t="shared" si="88"/>
        <v>163.20074068819849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0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10.8</v>
      </c>
      <c r="AI89" s="13">
        <f>IF('Données projet'!$A$62&gt;35,AI88+AH89-AQ88,IF(A89&lt;'Données projet'!$A$62,$AF$205^A89,IF(A89='Données projet'!$A$62,'Données projet'!$B$62,AI88+AH89-AQ88)))</f>
        <v>523.80000000000018</v>
      </c>
      <c r="AJ89" s="13">
        <f>AI89*VLOOKUP('Données projet'!$B$10,Paramètres!$A$1:$I$89,3,0)*VLOOKUP('Données projet'!$B$10,Paramètres!$A$1:$I$89,5,0)</f>
        <v>313.23240000000015</v>
      </c>
      <c r="AK89" s="13">
        <f t="shared" si="89"/>
        <v>73.94347586459719</v>
      </c>
      <c r="AL89" s="20">
        <f t="shared" si="58"/>
        <v>674.33131713084038</v>
      </c>
      <c r="AM89" s="59">
        <f t="shared" si="59"/>
        <v>967.66465046417375</v>
      </c>
      <c r="AN89" s="59">
        <f ca="1">AVERAGE(OFFSET($AM$3,0,0,'Données projet'!$E$10+1,1))-AVERAGE(OFFSET($H$3,0,0,'Données projet'!$E$10+1,1))</f>
        <v>270.30888762640245</v>
      </c>
      <c r="AO89" s="59">
        <f t="shared" si="90"/>
        <v>202.23783851977691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0.70655392211086709</v>
      </c>
      <c r="AV89" s="21">
        <f>EXP(-LN(2)/25)*AV88+(1-EXP(-LN(2)/25))/(LN(2)/25)*Calculateur!AQ89*Calculateur!AS89*VLOOKUP('Données projet'!$B$10,Paramètres!$A$1:$I$89,3,0)*0.475*44/12</f>
        <v>2.6027274710915718</v>
      </c>
      <c r="AW89" s="21">
        <f>EXP(-LN(2)/2)*AW88+(1-EXP(-LN(2)/2))/(LN(2)/2)*AQ89*AT89*VLOOKUP('Données projet'!$B$10,Paramètres!$A$1:$I$89,3,0)*0.475*44/12</f>
        <v>6.8890335360402554E-8</v>
      </c>
      <c r="AX89" s="21">
        <f t="shared" si="60"/>
        <v>3.3092814620927742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-1.7053025658242404E-13</v>
      </c>
      <c r="BE89" s="13">
        <f>BD89*VLOOKUP('Données projet'!$B$11,Paramètres!$A$1:$I$89,3,0)*VLOOKUP('Données projet'!$B$11,Paramètres!$A$1:$I$89,5,0)</f>
        <v>-1.0197709343628959E-13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243.85350804244348</v>
      </c>
      <c r="BJ89" s="59">
        <f t="shared" si="92"/>
        <v>304.60992308960545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1.4929691485452354</v>
      </c>
      <c r="BQ89" s="21">
        <f>EXP(-LN(2)/25)*BQ88+(1-EXP(-LN(2)/25))/(LN(2)/25)*Calculateur!BL89*Calculateur!BN89*VLOOKUP('Données projet'!$B$11,Paramètres!$A$1:$I$89,3,0)*0.475*44/12</f>
        <v>3.7529659024304549</v>
      </c>
      <c r="BR89" s="21">
        <f>EXP(-LN(2)/2)*BR88+(1-EXP(-LN(2)/2))/(LN(2)/2)*BL89*BO89*VLOOKUP('Données projet'!$B$11,Paramètres!$A$1:$I$89,3,0)*0.475*44/12</f>
        <v>1.3925979015498236E-8</v>
      </c>
      <c r="BS89" s="22">
        <f t="shared" si="63"/>
        <v>5.2459350649016692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456.51538461538462</v>
      </c>
      <c r="L90" s="12">
        <f>VLOOKUP(A90,'Données projet'!$A$35:$I$55,9,0)</f>
        <v>12.124038461538468</v>
      </c>
      <c r="M90" s="12">
        <f t="array" ref="M90">INDEX(L:L,MIN(IF(ISNUMBER(L90:L286),ROW(L90:L286),"")))</f>
        <v>12.124038461538468</v>
      </c>
      <c r="N90" s="13">
        <f>IF('Données projet'!$A$36&gt;35,N89+M90-V89,IF(A90&lt;'Données projet'!$A$36,$K$205^A90,IF(A90='Données projet'!$A$36,'Données projet'!$B$36,N89+M90-V89)))</f>
        <v>456.51538461538485</v>
      </c>
      <c r="O90" s="13">
        <f>N90*VLOOKUP('Données projet'!$B$9,Paramètres!$A$1:$I$89,3,0)*VLOOKUP('Données projet'!$B$9,Paramètres!$A$1:$I$89,5,0)</f>
        <v>213.64920000000012</v>
      </c>
      <c r="P90" s="13">
        <f t="shared" si="87"/>
        <v>52.732226385923781</v>
      </c>
      <c r="Q90" s="20">
        <f t="shared" si="54"/>
        <v>463.94765095548405</v>
      </c>
      <c r="R90" s="59">
        <f t="shared" si="55"/>
        <v>757.28098428881731</v>
      </c>
      <c r="S90" s="59">
        <f ca="1">AVERAGE(OFFSET($R$3,0,0,'Données projet'!$E$9+1,1))-AVERAGE(OFFSET($H$3,0,0,'Données projet'!$E$9+1,1))</f>
        <v>158.58786357608489</v>
      </c>
      <c r="T90" s="59">
        <f t="shared" si="88"/>
        <v>163.20074068819849</v>
      </c>
      <c r="U90" s="15">
        <f>IF(ISNA(VLOOKUP(A90,'Données projet'!$A$35:$I$55,3,0)),0,VLOOKUP(A90,'Données projet'!$A$35:$I$55,3,0))</f>
        <v>7</v>
      </c>
      <c r="V90" s="15">
        <f>IF(ISNA(VLOOKUP(A90,'Données projet'!$A$35:$I$55,4,0)),0,VLOOKUP(A90,'Données projet'!$A$35:$I$55,4,0))</f>
        <v>77.330769230769235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0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10.8</v>
      </c>
      <c r="AI90" s="13">
        <f>IF('Données projet'!$A$62&gt;35,AI89+AH90-AQ89,IF(A90&lt;'Données projet'!$A$62,$AF$205^A90,IF(A90='Données projet'!$A$62,'Données projet'!$B$62,AI89+AH90-AQ89)))</f>
        <v>534.60000000000014</v>
      </c>
      <c r="AJ90" s="13">
        <f>AI90*VLOOKUP('Données projet'!$B$10,Paramètres!$A$1:$I$89,3,0)*VLOOKUP('Données projet'!$B$10,Paramètres!$A$1:$I$89,5,0)</f>
        <v>319.69080000000014</v>
      </c>
      <c r="AK90" s="13">
        <f t="shared" si="89"/>
        <v>75.289014970336254</v>
      </c>
      <c r="AL90" s="20">
        <f t="shared" si="58"/>
        <v>687.92317774000242</v>
      </c>
      <c r="AM90" s="59">
        <f t="shared" si="59"/>
        <v>981.25651107333579</v>
      </c>
      <c r="AN90" s="59">
        <f ca="1">AVERAGE(OFFSET($AM$3,0,0,'Données projet'!$E$10+1,1))-AVERAGE(OFFSET($H$3,0,0,'Données projet'!$E$10+1,1))</f>
        <v>270.30888762640245</v>
      </c>
      <c r="AO90" s="59">
        <f t="shared" si="90"/>
        <v>202.23783851977691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0.69269883065361215</v>
      </c>
      <c r="AV90" s="21">
        <f>EXP(-LN(2)/25)*AV89+(1-EXP(-LN(2)/25))/(LN(2)/25)*Calculateur!AQ90*Calculateur!AS90*VLOOKUP('Données projet'!$B$10,Paramètres!$A$1:$I$89,3,0)*0.475*44/12</f>
        <v>2.5315557515230838</v>
      </c>
      <c r="AW90" s="21">
        <f>EXP(-LN(2)/2)*AW89+(1-EXP(-LN(2)/2))/(LN(2)/2)*AQ90*AT90*VLOOKUP('Données projet'!$B$10,Paramètres!$A$1:$I$89,3,0)*0.475*44/12</f>
        <v>4.8712823291556047E-8</v>
      </c>
      <c r="AX90" s="21">
        <f t="shared" si="60"/>
        <v>3.224254630889519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-1.7053025658242404E-13</v>
      </c>
      <c r="BE90" s="13">
        <f>BD90*VLOOKUP('Données projet'!$B$11,Paramètres!$A$1:$I$89,3,0)*VLOOKUP('Données projet'!$B$11,Paramètres!$A$1:$I$89,5,0)</f>
        <v>-1.0197709343628959E-13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243.85350804244348</v>
      </c>
      <c r="BJ90" s="59">
        <f t="shared" si="92"/>
        <v>304.60992308960545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1.4636929341635276</v>
      </c>
      <c r="BQ90" s="21">
        <f>EXP(-LN(2)/25)*BQ89+(1-EXP(-LN(2)/25))/(LN(2)/25)*Calculateur!BL90*Calculateur!BN90*VLOOKUP('Données projet'!$B$11,Paramètres!$A$1:$I$89,3,0)*0.475*44/12</f>
        <v>3.6503408524685947</v>
      </c>
      <c r="BR90" s="21">
        <f>EXP(-LN(2)/2)*BR89+(1-EXP(-LN(2)/2))/(LN(2)/2)*BL90*BO90*VLOOKUP('Données projet'!$B$11,Paramètres!$A$1:$I$89,3,0)*0.475*44/12</f>
        <v>9.8471541965203638E-9</v>
      </c>
      <c r="BS90" s="22">
        <f t="shared" si="63"/>
        <v>5.1140337964792764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11.242307692307691</v>
      </c>
      <c r="N91" s="13">
        <f>IF('Données projet'!$A$36&gt;35,N90+M91-V90,IF(A91&lt;'Données projet'!$A$36,$K$205^A91,IF(A91='Données projet'!$A$36,'Données projet'!$B$36,N90+M91-V90)))</f>
        <v>390.42692307692329</v>
      </c>
      <c r="O91" s="13">
        <f>N91*VLOOKUP('Données projet'!$B$9,Paramètres!$A$1:$I$89,3,0)*VLOOKUP('Données projet'!$B$9,Paramètres!$A$1:$I$89,5,0)</f>
        <v>182.71980000000011</v>
      </c>
      <c r="P91" s="13">
        <f t="shared" si="87"/>
        <v>45.926762394770535</v>
      </c>
      <c r="Q91" s="20">
        <f t="shared" si="54"/>
        <v>398.22609617089216</v>
      </c>
      <c r="R91" s="59">
        <f t="shared" si="55"/>
        <v>691.55942950422548</v>
      </c>
      <c r="S91" s="59">
        <f ca="1">AVERAGE(OFFSET($R$3,0,0,'Données projet'!$E$9+1,1))-AVERAGE(OFFSET($H$3,0,0,'Données projet'!$E$9+1,1))</f>
        <v>158.58786357608489</v>
      </c>
      <c r="T91" s="59">
        <f t="shared" si="88"/>
        <v>163.20074068819849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0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10.8</v>
      </c>
      <c r="AI91" s="13">
        <f>IF('Données projet'!$A$62&gt;35,AI90+AH91-AQ90,IF(A91&lt;'Données projet'!$A$62,$AF$205^A91,IF(A91='Données projet'!$A$62,'Données projet'!$B$62,AI90+AH91-AQ90)))</f>
        <v>545.40000000000009</v>
      </c>
      <c r="AJ91" s="13">
        <f>AI91*VLOOKUP('Données projet'!$B$10,Paramètres!$A$1:$I$89,3,0)*VLOOKUP('Données projet'!$B$10,Paramètres!$A$1:$I$89,5,0)</f>
        <v>326.14920000000006</v>
      </c>
      <c r="AK91" s="13">
        <f t="shared" si="89"/>
        <v>76.631393510479626</v>
      </c>
      <c r="AL91" s="20">
        <f t="shared" si="58"/>
        <v>701.50953369741865</v>
      </c>
      <c r="AM91" s="59">
        <f t="shared" si="59"/>
        <v>994.8428670307519</v>
      </c>
      <c r="AN91" s="59">
        <f ca="1">AVERAGE(OFFSET($AM$3,0,0,'Données projet'!$E$10+1,1))-AVERAGE(OFFSET($H$3,0,0,'Données projet'!$E$10+1,1))</f>
        <v>270.30888762640245</v>
      </c>
      <c r="AO91" s="59">
        <f t="shared" si="90"/>
        <v>202.23783851977691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0.67911542908906264</v>
      </c>
      <c r="AV91" s="21">
        <f>EXP(-LN(2)/25)*AV90+(1-EXP(-LN(2)/25))/(LN(2)/25)*Calculateur!AQ91*Calculateur!AS91*VLOOKUP('Données projet'!$B$10,Paramètres!$A$1:$I$89,3,0)*0.475*44/12</f>
        <v>2.4623302263689539</v>
      </c>
      <c r="AW91" s="21">
        <f>EXP(-LN(2)/2)*AW90+(1-EXP(-LN(2)/2))/(LN(2)/2)*AQ91*AT91*VLOOKUP('Données projet'!$B$10,Paramètres!$A$1:$I$89,3,0)*0.475*44/12</f>
        <v>3.4445167680201277E-8</v>
      </c>
      <c r="AX91" s="21">
        <f t="shared" si="60"/>
        <v>3.1414456899031844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-1.7053025658242404E-13</v>
      </c>
      <c r="BE91" s="13">
        <f>BD91*VLOOKUP('Données projet'!$B$11,Paramètres!$A$1:$I$89,3,0)*VLOOKUP('Données projet'!$B$11,Paramètres!$A$1:$I$89,5,0)</f>
        <v>-1.0197709343628959E-13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243.85350804244348</v>
      </c>
      <c r="BJ91" s="59">
        <f t="shared" si="92"/>
        <v>304.60992308960545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1.4349908084891174</v>
      </c>
      <c r="BQ91" s="21">
        <f>EXP(-LN(2)/25)*BQ90+(1-EXP(-LN(2)/25))/(LN(2)/25)*Calculateur!BL91*Calculateur!BN91*VLOOKUP('Données projet'!$B$11,Paramètres!$A$1:$I$89,3,0)*0.475*44/12</f>
        <v>3.5505220898947587</v>
      </c>
      <c r="BR91" s="21">
        <f>EXP(-LN(2)/2)*BR90+(1-EXP(-LN(2)/2))/(LN(2)/2)*BL91*BO91*VLOOKUP('Données projet'!$B$11,Paramètres!$A$1:$I$89,3,0)*0.475*44/12</f>
        <v>6.9629895077491181E-9</v>
      </c>
      <c r="BS91" s="22">
        <f t="shared" si="63"/>
        <v>4.985512905346865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11.242307692307691</v>
      </c>
      <c r="N92" s="13">
        <f>IF('Données projet'!$A$36&gt;35,N91+M92-V91,IF(A92&lt;'Données projet'!$A$36,$K$205^A92,IF(A92='Données projet'!$A$36,'Données projet'!$B$36,N91+M92-V91)))</f>
        <v>401.66923076923098</v>
      </c>
      <c r="O92" s="13">
        <f>N92*VLOOKUP('Données projet'!$B$9,Paramètres!$A$1:$I$89,3,0)*VLOOKUP('Données projet'!$B$9,Paramètres!$A$1:$I$89,5,0)</f>
        <v>187.98120000000011</v>
      </c>
      <c r="P92" s="13">
        <f t="shared" si="87"/>
        <v>47.093347732155607</v>
      </c>
      <c r="Q92" s="20">
        <f t="shared" si="54"/>
        <v>409.42150396683786</v>
      </c>
      <c r="R92" s="59">
        <f t="shared" si="55"/>
        <v>702.75483730017118</v>
      </c>
      <c r="S92" s="59">
        <f ca="1">AVERAGE(OFFSET($R$3,0,0,'Données projet'!$E$9+1,1))-AVERAGE(OFFSET($H$3,0,0,'Données projet'!$E$9+1,1))</f>
        <v>158.58786357608489</v>
      </c>
      <c r="T92" s="59">
        <f t="shared" si="88"/>
        <v>163.20074068819849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0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10.8</v>
      </c>
      <c r="AI92" s="13">
        <f>IF('Données projet'!$A$62&gt;35,AI91+AH92-AQ91,IF(A92&lt;'Données projet'!$A$62,$AF$205^A92,IF(A92='Données projet'!$A$62,'Données projet'!$B$62,AI91+AH92-AQ91)))</f>
        <v>556.20000000000005</v>
      </c>
      <c r="AJ92" s="13">
        <f>AI92*VLOOKUP('Données projet'!$B$10,Paramètres!$A$1:$I$89,3,0)*VLOOKUP('Données projet'!$B$10,Paramètres!$A$1:$I$89,5,0)</f>
        <v>332.60760000000005</v>
      </c>
      <c r="AK92" s="13">
        <f t="shared" si="89"/>
        <v>77.97068128417547</v>
      </c>
      <c r="AL92" s="20">
        <f t="shared" si="58"/>
        <v>715.09050656993907</v>
      </c>
      <c r="AM92" s="59">
        <f t="shared" si="59"/>
        <v>1008.4238399032724</v>
      </c>
      <c r="AN92" s="59">
        <f ca="1">AVERAGE(OFFSET($AM$3,0,0,'Données projet'!$E$10+1,1))-AVERAGE(OFFSET($H$3,0,0,'Données projet'!$E$10+1,1))</f>
        <v>270.30888762640245</v>
      </c>
      <c r="AO92" s="59">
        <f t="shared" si="90"/>
        <v>202.23783851977691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0.66579838974413708</v>
      </c>
      <c r="AV92" s="21">
        <f>EXP(-LN(2)/25)*AV91+(1-EXP(-LN(2)/25))/(LN(2)/25)*Calculateur!AQ92*Calculateur!AS92*VLOOKUP('Données projet'!$B$10,Paramètres!$A$1:$I$89,3,0)*0.475*44/12</f>
        <v>2.3949976768405761</v>
      </c>
      <c r="AW92" s="21">
        <f>EXP(-LN(2)/2)*AW91+(1-EXP(-LN(2)/2))/(LN(2)/2)*AQ92*AT92*VLOOKUP('Données projet'!$B$10,Paramètres!$A$1:$I$89,3,0)*0.475*44/12</f>
        <v>2.4356411645778023E-8</v>
      </c>
      <c r="AX92" s="21">
        <f t="shared" si="60"/>
        <v>3.0607960909411247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-1.7053025658242404E-13</v>
      </c>
      <c r="BE92" s="13">
        <f>BD92*VLOOKUP('Données projet'!$B$11,Paramètres!$A$1:$I$89,3,0)*VLOOKUP('Données projet'!$B$11,Paramètres!$A$1:$I$89,5,0)</f>
        <v>-1.0197709343628959E-13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243.85350804244348</v>
      </c>
      <c r="BJ92" s="59">
        <f t="shared" si="92"/>
        <v>304.60992308960545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1.4068515139926145</v>
      </c>
      <c r="BQ92" s="21">
        <f>EXP(-LN(2)/25)*BQ91+(1-EXP(-LN(2)/25))/(LN(2)/25)*Calculateur!BL92*Calculateur!BN92*VLOOKUP('Données projet'!$B$11,Paramètres!$A$1:$I$89,3,0)*0.475*44/12</f>
        <v>3.4534328766327445</v>
      </c>
      <c r="BR92" s="21">
        <f>EXP(-LN(2)/2)*BR91+(1-EXP(-LN(2)/2))/(LN(2)/2)*BL92*BO92*VLOOKUP('Données projet'!$B$11,Paramètres!$A$1:$I$89,3,0)*0.475*44/12</f>
        <v>4.9235770982601819E-9</v>
      </c>
      <c r="BS92" s="22">
        <f t="shared" si="63"/>
        <v>4.8602843955489359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11.242307692307691</v>
      </c>
      <c r="N93" s="13">
        <f>IF('Données projet'!$A$36&gt;35,N92+M93-V92,IF(A93&lt;'Données projet'!$A$36,$K$205^A93,IF(A93='Données projet'!$A$36,'Données projet'!$B$36,N92+M93-V92)))</f>
        <v>412.91153846153867</v>
      </c>
      <c r="O93" s="13">
        <f>N93*VLOOKUP('Données projet'!$B$9,Paramètres!$A$1:$I$89,3,0)*VLOOKUP('Données projet'!$B$9,Paramètres!$A$1:$I$89,5,0)</f>
        <v>193.2426000000001</v>
      </c>
      <c r="P93" s="13">
        <f t="shared" si="87"/>
        <v>48.256138093290417</v>
      </c>
      <c r="Q93" s="20">
        <f t="shared" si="54"/>
        <v>420.6103021791476</v>
      </c>
      <c r="R93" s="59">
        <f t="shared" si="55"/>
        <v>713.94363551248091</v>
      </c>
      <c r="S93" s="59">
        <f ca="1">AVERAGE(OFFSET($R$3,0,0,'Données projet'!$E$9+1,1))-AVERAGE(OFFSET($H$3,0,0,'Données projet'!$E$9+1,1))</f>
        <v>158.58786357608489</v>
      </c>
      <c r="T93" s="59">
        <f t="shared" si="88"/>
        <v>163.20074068819849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0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567</v>
      </c>
      <c r="AG93" s="12">
        <f>VLOOKUP(A93,'Données projet'!$A$61:$I$81,9,0)</f>
        <v>10.8</v>
      </c>
      <c r="AH93" s="12">
        <f t="array" ref="AH93">INDEX(AG:AG,MIN(IF(ISNUMBER(AG93:AG289),ROW(AG93:AG289),"")))</f>
        <v>10.8</v>
      </c>
      <c r="AI93" s="13">
        <f>IF('Données projet'!$A$62&gt;35,AI92+AH93-AQ92,IF(A93&lt;'Données projet'!$A$62,$AF$205^A93,IF(A93='Données projet'!$A$62,'Données projet'!$B$62,AI92+AH93-AQ92)))</f>
        <v>567</v>
      </c>
      <c r="AJ93" s="13">
        <f>AI93*VLOOKUP('Données projet'!$B$10,Paramètres!$A$1:$I$89,3,0)*VLOOKUP('Données projet'!$B$10,Paramètres!$A$1:$I$89,5,0)</f>
        <v>339.06600000000003</v>
      </c>
      <c r="AK93" s="13">
        <f t="shared" si="89"/>
        <v>79.30694522486489</v>
      </c>
      <c r="AL93" s="20">
        <f t="shared" si="58"/>
        <v>728.66621293330627</v>
      </c>
      <c r="AM93" s="59">
        <f t="shared" si="59"/>
        <v>1021.9995462666395</v>
      </c>
      <c r="AN93" s="59">
        <f ca="1">AVERAGE(OFFSET($AM$3,0,0,'Données projet'!$E$10+1,1))-AVERAGE(OFFSET($H$3,0,0,'Données projet'!$E$10+1,1))</f>
        <v>270.30888762640245</v>
      </c>
      <c r="AO93" s="59">
        <f t="shared" si="90"/>
        <v>202.23783851977691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70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0.65274248941817359</v>
      </c>
      <c r="AV93" s="21">
        <f>EXP(-LN(2)/25)*AV92+(1-EXP(-LN(2)/25))/(LN(2)/25)*Calculateur!AQ93*Calculateur!AS93*VLOOKUP('Données projet'!$B$10,Paramètres!$A$1:$I$89,3,0)*0.475*44/12</f>
        <v>2.3295063394199165</v>
      </c>
      <c r="AW93" s="21">
        <f>EXP(-LN(2)/2)*AW92+(1-EXP(-LN(2)/2))/(LN(2)/2)*AQ93*AT93*VLOOKUP('Données projet'!$B$10,Paramètres!$A$1:$I$89,3,0)*0.475*44/12</f>
        <v>1.7222583840100639E-8</v>
      </c>
      <c r="AX93" s="21">
        <f t="shared" si="60"/>
        <v>2.9822488460606738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-1.7053025658242404E-13</v>
      </c>
      <c r="BE93" s="13">
        <f>BD93*VLOOKUP('Données projet'!$B$11,Paramètres!$A$1:$I$89,3,0)*VLOOKUP('Données projet'!$B$11,Paramètres!$A$1:$I$89,5,0)</f>
        <v>-1.0197709343628959E-13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243.85350804244348</v>
      </c>
      <c r="BJ93" s="59">
        <f t="shared" si="92"/>
        <v>304.60992308960545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1.3792640138979131</v>
      </c>
      <c r="BQ93" s="21">
        <f>EXP(-LN(2)/25)*BQ92+(1-EXP(-LN(2)/25))/(LN(2)/25)*Calculateur!BL93*Calculateur!BN93*VLOOKUP('Données projet'!$B$11,Paramètres!$A$1:$I$89,3,0)*0.475*44/12</f>
        <v>3.3589985730130798</v>
      </c>
      <c r="BR93" s="21">
        <f>EXP(-LN(2)/2)*BR92+(1-EXP(-LN(2)/2))/(LN(2)/2)*BL93*BO93*VLOOKUP('Données projet'!$B$11,Paramètres!$A$1:$I$89,3,0)*0.475*44/12</f>
        <v>3.4814947538745591E-9</v>
      </c>
      <c r="BS93" s="22">
        <f t="shared" si="63"/>
        <v>4.7382625903924884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11.242307692307691</v>
      </c>
      <c r="N94" s="13">
        <f>IF('Données projet'!$A$36&gt;35,N93+M94-V93,IF(A94&lt;'Données projet'!$A$36,$K$205^A94,IF(A94='Données projet'!$A$36,'Données projet'!$B$36,N93+M94-V93)))</f>
        <v>424.15384615384636</v>
      </c>
      <c r="O94" s="13">
        <f>N94*VLOOKUP('Données projet'!$B$9,Paramètres!$A$1:$I$89,3,0)*VLOOKUP('Données projet'!$B$9,Paramètres!$A$1:$I$89,5,0)</f>
        <v>198.5040000000001</v>
      </c>
      <c r="P94" s="13">
        <f t="shared" si="87"/>
        <v>49.415248676990458</v>
      </c>
      <c r="Q94" s="20">
        <f t="shared" si="54"/>
        <v>431.79269144575846</v>
      </c>
      <c r="R94" s="59">
        <f t="shared" si="55"/>
        <v>725.12602477909172</v>
      </c>
      <c r="S94" s="59">
        <f ca="1">AVERAGE(OFFSET($R$3,0,0,'Données projet'!$E$9+1,1))-AVERAGE(OFFSET($H$3,0,0,'Données projet'!$E$9+1,1))</f>
        <v>158.58786357608489</v>
      </c>
      <c r="T94" s="59">
        <f t="shared" si="88"/>
        <v>163.20074068819849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0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497</v>
      </c>
      <c r="AJ94" s="13">
        <f>AI94*VLOOKUP('Données projet'!$B$10,Paramètres!$A$1:$I$89,3,0)*VLOOKUP('Données projet'!$B$10,Paramètres!$A$1:$I$89,5,0)</f>
        <v>297.20600000000002</v>
      </c>
      <c r="AK94" s="13">
        <f t="shared" si="89"/>
        <v>70.590415164571112</v>
      </c>
      <c r="AL94" s="20">
        <f t="shared" si="58"/>
        <v>640.57875641162809</v>
      </c>
      <c r="AM94" s="59">
        <f t="shared" si="59"/>
        <v>933.91208974496135</v>
      </c>
      <c r="AN94" s="59">
        <f ca="1">AVERAGE(OFFSET($AM$3,0,0,'Données projet'!$E$10+1,1))-AVERAGE(OFFSET($H$3,0,0,'Données projet'!$E$10+1,1))</f>
        <v>270.30888762640245</v>
      </c>
      <c r="AO94" s="59">
        <f t="shared" si="90"/>
        <v>202.23783851977691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0.63994260733428932</v>
      </c>
      <c r="AV94" s="21">
        <f>EXP(-LN(2)/25)*AV93+(1-EXP(-LN(2)/25))/(LN(2)/25)*Calculateur!AQ94*Calculateur!AS94*VLOOKUP('Données projet'!$B$10,Paramètres!$A$1:$I$89,3,0)*0.475*44/12</f>
        <v>2.2658058660650648</v>
      </c>
      <c r="AW94" s="21">
        <f>EXP(-LN(2)/2)*AW93+(1-EXP(-LN(2)/2))/(LN(2)/2)*AQ94*AT94*VLOOKUP('Données projet'!$B$10,Paramètres!$A$1:$I$89,3,0)*0.475*44/12</f>
        <v>1.2178205822889012E-8</v>
      </c>
      <c r="AX94" s="21">
        <f t="shared" si="60"/>
        <v>2.9057484855775604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-1.7053025658242404E-13</v>
      </c>
      <c r="BE94" s="13">
        <f>BD94*VLOOKUP('Données projet'!$B$11,Paramètres!$A$1:$I$89,3,0)*VLOOKUP('Données projet'!$B$11,Paramètres!$A$1:$I$89,5,0)</f>
        <v>-1.0197709343628959E-13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243.85350804244348</v>
      </c>
      <c r="BJ94" s="59">
        <f t="shared" si="92"/>
        <v>304.60992308960545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1.3522174878533553</v>
      </c>
      <c r="BQ94" s="21">
        <f>EXP(-LN(2)/25)*BQ93+(1-EXP(-LN(2)/25))/(LN(2)/25)*Calculateur!BL94*Calculateur!BN94*VLOOKUP('Données projet'!$B$11,Paramètres!$A$1:$I$89,3,0)*0.475*44/12</f>
        <v>3.2671465803919792</v>
      </c>
      <c r="BR94" s="21">
        <f>EXP(-LN(2)/2)*BR93+(1-EXP(-LN(2)/2))/(LN(2)/2)*BL94*BO94*VLOOKUP('Données projet'!$B$11,Paramètres!$A$1:$I$89,3,0)*0.475*44/12</f>
        <v>2.4617885491300909E-9</v>
      </c>
      <c r="BS94" s="22">
        <f t="shared" si="63"/>
        <v>4.6193640707071228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11.242307692307691</v>
      </c>
      <c r="N95" s="13">
        <f>IF('Données projet'!$A$36&gt;35,N94+M95-V94,IF(A95&lt;'Données projet'!$A$36,$K$205^A95,IF(A95='Données projet'!$A$36,'Données projet'!$B$36,N94+M95-V94)))</f>
        <v>435.39615384615405</v>
      </c>
      <c r="O95" s="13">
        <f>N95*VLOOKUP('Données projet'!$B$9,Paramètres!$A$1:$I$89,3,0)*VLOOKUP('Données projet'!$B$9,Paramètres!$A$1:$I$89,5,0)</f>
        <v>203.76540000000008</v>
      </c>
      <c r="P95" s="13">
        <f t="shared" si="87"/>
        <v>50.570788227585879</v>
      </c>
      <c r="Q95" s="20">
        <f t="shared" si="54"/>
        <v>442.96886116304557</v>
      </c>
      <c r="R95" s="59">
        <f t="shared" si="55"/>
        <v>736.30219449637889</v>
      </c>
      <c r="S95" s="59">
        <f ca="1">AVERAGE(OFFSET($R$3,0,0,'Données projet'!$E$9+1,1))-AVERAGE(OFFSET($H$3,0,0,'Données projet'!$E$9+1,1))</f>
        <v>158.58786357608489</v>
      </c>
      <c r="T95" s="59">
        <f t="shared" si="88"/>
        <v>163.20074068819849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0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497</v>
      </c>
      <c r="AJ95" s="13">
        <f>AI95*VLOOKUP('Données projet'!$B$10,Paramètres!$A$1:$I$89,3,0)*VLOOKUP('Données projet'!$B$10,Paramètres!$A$1:$I$89,5,0)</f>
        <v>297.20600000000002</v>
      </c>
      <c r="AK95" s="13">
        <f t="shared" si="89"/>
        <v>70.590415164571112</v>
      </c>
      <c r="AL95" s="20">
        <f t="shared" si="58"/>
        <v>640.57875641162809</v>
      </c>
      <c r="AM95" s="59">
        <f t="shared" si="59"/>
        <v>933.91208974496135</v>
      </c>
      <c r="AN95" s="59">
        <f ca="1">AVERAGE(OFFSET($AM$3,0,0,'Données projet'!$E$10+1,1))-AVERAGE(OFFSET($H$3,0,0,'Données projet'!$E$10+1,1))</f>
        <v>270.30888762640245</v>
      </c>
      <c r="AO95" s="59">
        <f t="shared" si="90"/>
        <v>202.23783851977691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0.62739372313091279</v>
      </c>
      <c r="AV95" s="21">
        <f>EXP(-LN(2)/25)*AV94+(1-EXP(-LN(2)/25))/(LN(2)/25)*Calculateur!AQ95*Calculateur!AS95*VLOOKUP('Données projet'!$B$10,Paramètres!$A$1:$I$89,3,0)*0.475*44/12</f>
        <v>2.2038472855039637</v>
      </c>
      <c r="AW95" s="21">
        <f>EXP(-LN(2)/2)*AW94+(1-EXP(-LN(2)/2))/(LN(2)/2)*AQ95*AT95*VLOOKUP('Données projet'!$B$10,Paramètres!$A$1:$I$89,3,0)*0.475*44/12</f>
        <v>8.6112919200503193E-9</v>
      </c>
      <c r="AX95" s="21">
        <f t="shared" si="60"/>
        <v>2.8312410172461684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-1.7053025658242404E-13</v>
      </c>
      <c r="BE95" s="13">
        <f>BD95*VLOOKUP('Données projet'!$B$11,Paramètres!$A$1:$I$89,3,0)*VLOOKUP('Données projet'!$B$11,Paramètres!$A$1:$I$89,5,0)</f>
        <v>-1.0197709343628959E-13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243.85350804244348</v>
      </c>
      <c r="BJ95" s="59">
        <f t="shared" si="92"/>
        <v>304.60992308960545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1.3257013276877792</v>
      </c>
      <c r="BQ95" s="21">
        <f>EXP(-LN(2)/25)*BQ94+(1-EXP(-LN(2)/25))/(LN(2)/25)*Calculateur!BL95*Calculateur!BN95*VLOOKUP('Données projet'!$B$11,Paramètres!$A$1:$I$89,3,0)*0.475*44/12</f>
        <v>3.1778062853393889</v>
      </c>
      <c r="BR95" s="21">
        <f>EXP(-LN(2)/2)*BR94+(1-EXP(-LN(2)/2))/(LN(2)/2)*BL95*BO95*VLOOKUP('Données projet'!$B$11,Paramètres!$A$1:$I$89,3,0)*0.475*44/12</f>
        <v>1.7407473769372795E-9</v>
      </c>
      <c r="BS95" s="22">
        <f t="shared" si="63"/>
        <v>4.5035076147679147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11.242307692307691</v>
      </c>
      <c r="N96" s="13">
        <f>IF('Données projet'!$A$36&gt;35,N95+M96-V95,IF(A96&lt;'Données projet'!$A$36,$K$205^A96,IF(A96='Données projet'!$A$36,'Données projet'!$B$36,N95+M96-V95)))</f>
        <v>446.63846153846174</v>
      </c>
      <c r="O96" s="13">
        <f>N96*VLOOKUP('Données projet'!$B$9,Paramètres!$A$1:$I$89,3,0)*VLOOKUP('Données projet'!$B$9,Paramètres!$A$1:$I$89,5,0)</f>
        <v>209.02680000000009</v>
      </c>
      <c r="P96" s="13">
        <f t="shared" si="87"/>
        <v>51.722859553755349</v>
      </c>
      <c r="Q96" s="20">
        <f t="shared" si="54"/>
        <v>454.13899038945743</v>
      </c>
      <c r="R96" s="59">
        <f t="shared" si="55"/>
        <v>747.47232372279075</v>
      </c>
      <c r="S96" s="59">
        <f ca="1">AVERAGE(OFFSET($R$3,0,0,'Données projet'!$E$9+1,1))-AVERAGE(OFFSET($H$3,0,0,'Données projet'!$E$9+1,1))</f>
        <v>158.58786357608489</v>
      </c>
      <c r="T96" s="59">
        <f t="shared" si="88"/>
        <v>163.20074068819849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0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497</v>
      </c>
      <c r="AJ96" s="13">
        <f>AI96*VLOOKUP('Données projet'!$B$10,Paramètres!$A$1:$I$89,3,0)*VLOOKUP('Données projet'!$B$10,Paramètres!$A$1:$I$89,5,0)</f>
        <v>297.20600000000002</v>
      </c>
      <c r="AK96" s="13">
        <f t="shared" si="89"/>
        <v>70.590415164571112</v>
      </c>
      <c r="AL96" s="20">
        <f t="shared" si="58"/>
        <v>640.57875641162809</v>
      </c>
      <c r="AM96" s="59">
        <f t="shared" si="59"/>
        <v>933.91208974496135</v>
      </c>
      <c r="AN96" s="59">
        <f ca="1">AVERAGE(OFFSET($AM$3,0,0,'Données projet'!$E$10+1,1))-AVERAGE(OFFSET($H$3,0,0,'Données projet'!$E$10+1,1))</f>
        <v>270.30888762640245</v>
      </c>
      <c r="AO96" s="59">
        <f t="shared" si="90"/>
        <v>202.23783851977691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0.61509091489270096</v>
      </c>
      <c r="AV96" s="21">
        <f>EXP(-LN(2)/25)*AV95+(1-EXP(-LN(2)/25))/(LN(2)/25)*Calculateur!AQ96*Calculateur!AS96*VLOOKUP('Données projet'!$B$10,Paramètres!$A$1:$I$89,3,0)*0.475*44/12</f>
        <v>2.1435829655865661</v>
      </c>
      <c r="AW96" s="21">
        <f>EXP(-LN(2)/2)*AW95+(1-EXP(-LN(2)/2))/(LN(2)/2)*AQ96*AT96*VLOOKUP('Données projet'!$B$10,Paramètres!$A$1:$I$89,3,0)*0.475*44/12</f>
        <v>6.0891029114445058E-9</v>
      </c>
      <c r="AX96" s="21">
        <f t="shared" si="60"/>
        <v>2.7586738865683702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-1.7053025658242404E-13</v>
      </c>
      <c r="BE96" s="13">
        <f>BD96*VLOOKUP('Données projet'!$B$11,Paramètres!$A$1:$I$89,3,0)*VLOOKUP('Données projet'!$B$11,Paramètres!$A$1:$I$89,5,0)</f>
        <v>-1.0197709343628959E-13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243.85350804244348</v>
      </c>
      <c r="BJ96" s="59">
        <f t="shared" si="92"/>
        <v>304.60992308960545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1.2997051332497893</v>
      </c>
      <c r="BQ96" s="21">
        <f>EXP(-LN(2)/25)*BQ95+(1-EXP(-LN(2)/25))/(LN(2)/25)*Calculateur!BL96*Calculateur!BN96*VLOOKUP('Données projet'!$B$11,Paramètres!$A$1:$I$89,3,0)*0.475*44/12</f>
        <v>3.0909090053532138</v>
      </c>
      <c r="BR96" s="21">
        <f>EXP(-LN(2)/2)*BR95+(1-EXP(-LN(2)/2))/(LN(2)/2)*BL96*BO96*VLOOKUP('Données projet'!$B$11,Paramètres!$A$1:$I$89,3,0)*0.475*44/12</f>
        <v>1.2308942745650455E-9</v>
      </c>
      <c r="BS96" s="22">
        <f t="shared" si="63"/>
        <v>4.3906141398338976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11.242307692307691</v>
      </c>
      <c r="N97" s="13">
        <f>IF('Données projet'!$A$36&gt;35,N96+M97-V96,IF(A97&lt;'Données projet'!$A$36,$K$205^A97,IF(A97='Données projet'!$A$36,'Données projet'!$B$36,N96+M97-V96)))</f>
        <v>457.88076923076943</v>
      </c>
      <c r="O97" s="13">
        <f>N97*VLOOKUP('Données projet'!$B$9,Paramètres!$A$1:$I$89,3,0)*VLOOKUP('Données projet'!$B$9,Paramètres!$A$1:$I$89,5,0)</f>
        <v>214.28820000000007</v>
      </c>
      <c r="P97" s="13">
        <f t="shared" si="87"/>
        <v>52.871559993650941</v>
      </c>
      <c r="Q97" s="20">
        <f t="shared" si="54"/>
        <v>465.3032486556088</v>
      </c>
      <c r="R97" s="59">
        <f t="shared" si="55"/>
        <v>758.63658198894211</v>
      </c>
      <c r="S97" s="59">
        <f ca="1">AVERAGE(OFFSET($R$3,0,0,'Données projet'!$E$9+1,1))-AVERAGE(OFFSET($H$3,0,0,'Données projet'!$E$9+1,1))</f>
        <v>158.58786357608489</v>
      </c>
      <c r="T97" s="59">
        <f t="shared" si="88"/>
        <v>163.20074068819849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0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497</v>
      </c>
      <c r="AJ97" s="13">
        <f>AI97*VLOOKUP('Données projet'!$B$10,Paramètres!$A$1:$I$89,3,0)*VLOOKUP('Données projet'!$B$10,Paramètres!$A$1:$I$89,5,0)</f>
        <v>297.20600000000002</v>
      </c>
      <c r="AK97" s="13">
        <f t="shared" si="89"/>
        <v>70.590415164571112</v>
      </c>
      <c r="AL97" s="20">
        <f t="shared" si="58"/>
        <v>640.57875641162809</v>
      </c>
      <c r="AM97" s="59">
        <f t="shared" si="59"/>
        <v>933.91208974496135</v>
      </c>
      <c r="AN97" s="59">
        <f ca="1">AVERAGE(OFFSET($AM$3,0,0,'Données projet'!$E$10+1,1))-AVERAGE(OFFSET($H$3,0,0,'Données projet'!$E$10+1,1))</f>
        <v>270.30888762640245</v>
      </c>
      <c r="AO97" s="59">
        <f t="shared" si="90"/>
        <v>202.23783851977691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0.60302935722006834</v>
      </c>
      <c r="AV97" s="21">
        <f>EXP(-LN(2)/25)*AV96+(1-EXP(-LN(2)/25))/(LN(2)/25)*Calculateur!AQ97*Calculateur!AS97*VLOOKUP('Données projet'!$B$10,Paramètres!$A$1:$I$89,3,0)*0.475*44/12</f>
        <v>2.0849665766664724</v>
      </c>
      <c r="AW97" s="21">
        <f>EXP(-LN(2)/2)*AW96+(1-EXP(-LN(2)/2))/(LN(2)/2)*AQ97*AT97*VLOOKUP('Données projet'!$B$10,Paramètres!$A$1:$I$89,3,0)*0.475*44/12</f>
        <v>4.3056459600251596E-9</v>
      </c>
      <c r="AX97" s="21">
        <f t="shared" si="60"/>
        <v>2.687995938192187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-1.7053025658242404E-13</v>
      </c>
      <c r="BE97" s="13">
        <f>BD97*VLOOKUP('Données projet'!$B$11,Paramètres!$A$1:$I$89,3,0)*VLOOKUP('Données projet'!$B$11,Paramètres!$A$1:$I$89,5,0)</f>
        <v>-1.0197709343628959E-13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243.85350804244348</v>
      </c>
      <c r="BJ97" s="59">
        <f t="shared" si="92"/>
        <v>304.60992308960545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1.2742187083286154</v>
      </c>
      <c r="BQ97" s="21">
        <f>EXP(-LN(2)/25)*BQ96+(1-EXP(-LN(2)/25))/(LN(2)/25)*Calculateur!BL97*Calculateur!BN97*VLOOKUP('Données projet'!$B$11,Paramètres!$A$1:$I$89,3,0)*0.475*44/12</f>
        <v>3.0063879360579899</v>
      </c>
      <c r="BR97" s="21">
        <f>EXP(-LN(2)/2)*BR96+(1-EXP(-LN(2)/2))/(LN(2)/2)*BL97*BO97*VLOOKUP('Données projet'!$B$11,Paramètres!$A$1:$I$89,3,0)*0.475*44/12</f>
        <v>8.7037368846863977E-10</v>
      </c>
      <c r="BS97" s="22">
        <f t="shared" si="63"/>
        <v>4.2806066452569791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469.12307692307689</v>
      </c>
      <c r="L98" s="12">
        <f>VLOOKUP(A98,'Données projet'!$A$35:$I$55,9,0)</f>
        <v>11.242307692307691</v>
      </c>
      <c r="M98" s="12">
        <f t="array" ref="M98">INDEX(L:L,MIN(IF(ISNUMBER(L98:L294),ROW(L98:L294),"")))</f>
        <v>11.242307692307691</v>
      </c>
      <c r="N98" s="13">
        <f>IF('Données projet'!$A$36&gt;35,N97+M98-V97,IF(A98&lt;'Données projet'!$A$36,$K$205^A98,IF(A98='Données projet'!$A$36,'Données projet'!$B$36,N97+M98-V97)))</f>
        <v>469.12307692307712</v>
      </c>
      <c r="O98" s="13">
        <f>N98*VLOOKUP('Données projet'!$B$9,Paramètres!$A$1:$I$89,3,0)*VLOOKUP('Données projet'!$B$9,Paramètres!$A$1:$I$89,5,0)</f>
        <v>219.54960000000008</v>
      </c>
      <c r="P98" s="13">
        <f t="shared" si="87"/>
        <v>54.016981833057052</v>
      </c>
      <c r="Q98" s="20">
        <f t="shared" si="54"/>
        <v>476.46179669257441</v>
      </c>
      <c r="R98" s="59">
        <f t="shared" si="55"/>
        <v>769.79513002590772</v>
      </c>
      <c r="S98" s="59">
        <f ca="1">AVERAGE(OFFSET($R$3,0,0,'Données projet'!$E$9+1,1))-AVERAGE(OFFSET($H$3,0,0,'Données projet'!$E$9+1,1))</f>
        <v>158.58786357608489</v>
      </c>
      <c r="T98" s="59">
        <f t="shared" si="88"/>
        <v>163.20074068819849</v>
      </c>
      <c r="U98" s="15">
        <f>IF(ISNA(VLOOKUP(A98,'Données projet'!$A$35:$I$55,3,0)),0,VLOOKUP(A98,'Données projet'!$A$35:$I$55,3,0))</f>
        <v>8</v>
      </c>
      <c r="V98" s="15">
        <f>IF(ISNA(VLOOKUP(A98,'Données projet'!$A$35:$I$55,4,0)),0,VLOOKUP(A98,'Données projet'!$A$35:$I$55,4,0))</f>
        <v>234.42307692307691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0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497</v>
      </c>
      <c r="AJ98" s="13">
        <f>AI98*VLOOKUP('Données projet'!$B$10,Paramètres!$A$1:$I$89,3,0)*VLOOKUP('Données projet'!$B$10,Paramètres!$A$1:$I$89,5,0)</f>
        <v>297.20600000000002</v>
      </c>
      <c r="AK98" s="13">
        <f t="shared" si="89"/>
        <v>70.590415164571112</v>
      </c>
      <c r="AL98" s="20">
        <f t="shared" si="58"/>
        <v>640.57875641162809</v>
      </c>
      <c r="AM98" s="59">
        <f t="shared" si="59"/>
        <v>933.91208974496135</v>
      </c>
      <c r="AN98" s="59">
        <f ca="1">AVERAGE(OFFSET($AM$3,0,0,'Données projet'!$E$10+1,1))-AVERAGE(OFFSET($H$3,0,0,'Données projet'!$E$10+1,1))</f>
        <v>270.30888762640245</v>
      </c>
      <c r="AO98" s="59">
        <f t="shared" si="90"/>
        <v>202.23783851977691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0.59120431933657236</v>
      </c>
      <c r="AV98" s="21">
        <f>EXP(-LN(2)/25)*AV97+(1-EXP(-LN(2)/25))/(LN(2)/25)*Calculateur!AQ98*Calculateur!AS98*VLOOKUP('Données projet'!$B$10,Paramètres!$A$1:$I$89,3,0)*0.475*44/12</f>
        <v>2.0279530559839007</v>
      </c>
      <c r="AW98" s="21">
        <f>EXP(-LN(2)/2)*AW97+(1-EXP(-LN(2)/2))/(LN(2)/2)*AQ98*AT98*VLOOKUP('Données projet'!$B$10,Paramètres!$A$1:$I$89,3,0)*0.475*44/12</f>
        <v>3.0445514557222529E-9</v>
      </c>
      <c r="AX98" s="21">
        <f t="shared" si="60"/>
        <v>2.6191573783650242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-1.7053025658242404E-13</v>
      </c>
      <c r="BE98" s="13">
        <f>BD98*VLOOKUP('Données projet'!$B$11,Paramètres!$A$1:$I$89,3,0)*VLOOKUP('Données projet'!$B$11,Paramètres!$A$1:$I$89,5,0)</f>
        <v>-1.0197709343628959E-13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243.85350804244348</v>
      </c>
      <c r="BJ98" s="59">
        <f t="shared" si="92"/>
        <v>304.60992308960545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1.2492320566549615</v>
      </c>
      <c r="BQ98" s="21">
        <f>EXP(-LN(2)/25)*BQ97+(1-EXP(-LN(2)/25))/(LN(2)/25)*Calculateur!BL98*Calculateur!BN98*VLOOKUP('Données projet'!$B$11,Paramètres!$A$1:$I$89,3,0)*0.475*44/12</f>
        <v>2.9241780998474138</v>
      </c>
      <c r="BR98" s="21">
        <f>EXP(-LN(2)/2)*BR97+(1-EXP(-LN(2)/2))/(LN(2)/2)*BL98*BO98*VLOOKUP('Données projet'!$B$11,Paramètres!$A$1:$I$89,3,0)*0.475*44/12</f>
        <v>6.1544713728252274E-10</v>
      </c>
      <c r="BS98" s="22">
        <f t="shared" si="63"/>
        <v>4.1734101571178224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7.5015384615384617</v>
      </c>
      <c r="N99" s="13">
        <f>IF('Données projet'!$A$36&gt;35,N98+M99-V98,IF(A99&lt;'Données projet'!$A$36,$K$205^A99,IF(A99='Données projet'!$A$36,'Données projet'!$B$36,N98+M99-V98)))</f>
        <v>242.20153846153869</v>
      </c>
      <c r="O99" s="13">
        <f>N99*VLOOKUP('Données projet'!$B$9,Paramètres!$A$1:$I$89,3,0)*VLOOKUP('Données projet'!$B$9,Paramètres!$A$1:$I$89,5,0)</f>
        <v>113.35032000000011</v>
      </c>
      <c r="P99" s="13">
        <f t="shared" si="87"/>
        <v>30.118962463528121</v>
      </c>
      <c r="Q99" s="20">
        <f t="shared" ref="Q99:Q130" si="107">(O99+P99)*0.475*44/12</f>
        <v>249.87566695731167</v>
      </c>
      <c r="R99" s="59">
        <f t="shared" si="55"/>
        <v>543.20900029064501</v>
      </c>
      <c r="S99" s="59">
        <f ca="1">AVERAGE(OFFSET($R$3,0,0,'Données projet'!$E$9+1,1))-AVERAGE(OFFSET($H$3,0,0,'Données projet'!$E$9+1,1))</f>
        <v>158.58786357608489</v>
      </c>
      <c r="T99" s="59">
        <f t="shared" si="88"/>
        <v>163.20074068819849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0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497</v>
      </c>
      <c r="AJ99" s="13">
        <f>AI99*VLOOKUP('Données projet'!$B$10,Paramètres!$A$1:$I$89,3,0)*VLOOKUP('Données projet'!$B$10,Paramètres!$A$1:$I$89,5,0)</f>
        <v>297.20600000000002</v>
      </c>
      <c r="AK99" s="13">
        <f t="shared" si="89"/>
        <v>70.590415164571112</v>
      </c>
      <c r="AL99" s="20">
        <f t="shared" si="58"/>
        <v>640.57875641162809</v>
      </c>
      <c r="AM99" s="59">
        <f t="shared" si="59"/>
        <v>933.91208974496135</v>
      </c>
      <c r="AN99" s="59">
        <f ca="1">AVERAGE(OFFSET($AM$3,0,0,'Données projet'!$E$10+1,1))-AVERAGE(OFFSET($H$3,0,0,'Données projet'!$E$10+1,1))</f>
        <v>270.30888762640245</v>
      </c>
      <c r="AO99" s="59">
        <f t="shared" si="90"/>
        <v>202.23783851977691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0.57961116323341078</v>
      </c>
      <c r="AV99" s="21">
        <f>EXP(-LN(2)/25)*AV98+(1-EXP(-LN(2)/25))/(LN(2)/25)*Calculateur!AQ99*Calculateur!AS99*VLOOKUP('Données projet'!$B$10,Paramètres!$A$1:$I$89,3,0)*0.475*44/12</f>
        <v>1.9724985730226048</v>
      </c>
      <c r="AW99" s="21">
        <f>EXP(-LN(2)/2)*AW98+(1-EXP(-LN(2)/2))/(LN(2)/2)*AQ99*AT99*VLOOKUP('Données projet'!$B$10,Paramètres!$A$1:$I$89,3,0)*0.475*44/12</f>
        <v>2.1528229800125798E-9</v>
      </c>
      <c r="AX99" s="21">
        <f t="shared" si="60"/>
        <v>2.5521097384088383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-1.7053025658242404E-13</v>
      </c>
      <c r="BE99" s="13">
        <f>BD99*VLOOKUP('Données projet'!$B$11,Paramètres!$A$1:$I$89,3,0)*VLOOKUP('Données projet'!$B$11,Paramètres!$A$1:$I$89,5,0)</f>
        <v>-1.0197709343628959E-13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243.85350804244348</v>
      </c>
      <c r="BJ99" s="59">
        <f t="shared" si="92"/>
        <v>304.60992308960545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1.2247353779802754</v>
      </c>
      <c r="BQ99" s="21">
        <f>EXP(-LN(2)/25)*BQ98+(1-EXP(-LN(2)/25))/(LN(2)/25)*Calculateur!BL99*Calculateur!BN99*VLOOKUP('Données projet'!$B$11,Paramètres!$A$1:$I$89,3,0)*0.475*44/12</f>
        <v>2.8442162959312434</v>
      </c>
      <c r="BR99" s="21">
        <f>EXP(-LN(2)/2)*BR98+(1-EXP(-LN(2)/2))/(LN(2)/2)*BL99*BO99*VLOOKUP('Données projet'!$B$11,Paramètres!$A$1:$I$89,3,0)*0.475*44/12</f>
        <v>4.3518684423431988E-10</v>
      </c>
      <c r="BS99" s="22">
        <f t="shared" si="63"/>
        <v>4.0689516743467058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7.5015384615384617</v>
      </c>
      <c r="N100" s="13">
        <f>IF('Données projet'!$A$36&gt;35,N99+M100-V99,IF(A100&lt;'Données projet'!$A$36,$K$205^A100,IF(A100='Données projet'!$A$36,'Données projet'!$B$36,N99+M100-V99)))</f>
        <v>249.70307692307716</v>
      </c>
      <c r="O100" s="13">
        <f>N100*VLOOKUP('Données projet'!$B$9,Paramètres!$A$1:$I$89,3,0)*VLOOKUP('Données projet'!$B$9,Paramètres!$A$1:$I$89,5,0)</f>
        <v>116.86104000000012</v>
      </c>
      <c r="P100" s="13">
        <f t="shared" si="87"/>
        <v>30.941762857231797</v>
      </c>
      <c r="Q100" s="20">
        <f t="shared" si="107"/>
        <v>257.42321497634555</v>
      </c>
      <c r="R100" s="59">
        <f t="shared" si="55"/>
        <v>550.75654830967892</v>
      </c>
      <c r="S100" s="59">
        <f ca="1">AVERAGE(OFFSET($R$3,0,0,'Données projet'!$E$9+1,1))-AVERAGE(OFFSET($H$3,0,0,'Données projet'!$E$9+1,1))</f>
        <v>158.58786357608489</v>
      </c>
      <c r="T100" s="59">
        <f t="shared" si="88"/>
        <v>163.20074068819849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0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497</v>
      </c>
      <c r="AJ100" s="13">
        <f>AI100*VLOOKUP('Données projet'!$B$10,Paramètres!$A$1:$I$89,3,0)*VLOOKUP('Données projet'!$B$10,Paramètres!$A$1:$I$89,5,0)</f>
        <v>297.20600000000002</v>
      </c>
      <c r="AK100" s="13">
        <f t="shared" si="89"/>
        <v>70.590415164571112</v>
      </c>
      <c r="AL100" s="20">
        <f t="shared" si="58"/>
        <v>640.57875641162809</v>
      </c>
      <c r="AM100" s="59">
        <f t="shared" si="59"/>
        <v>933.91208974496135</v>
      </c>
      <c r="AN100" s="59">
        <f ca="1">AVERAGE(OFFSET($AM$3,0,0,'Données projet'!$E$10+1,1))-AVERAGE(OFFSET($H$3,0,0,'Données projet'!$E$10+1,1))</f>
        <v>270.30888762640245</v>
      </c>
      <c r="AO100" s="59">
        <f t="shared" si="90"/>
        <v>202.23783851977691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0.56824534185030517</v>
      </c>
      <c r="AV100" s="21">
        <f>EXP(-LN(2)/25)*AV99+(1-EXP(-LN(2)/25))/(LN(2)/25)*Calculateur!AQ100*Calculateur!AS100*VLOOKUP('Données projet'!$B$10,Paramètres!$A$1:$I$89,3,0)*0.475*44/12</f>
        <v>1.9185604958141098</v>
      </c>
      <c r="AW100" s="21">
        <f>EXP(-LN(2)/2)*AW99+(1-EXP(-LN(2)/2))/(LN(2)/2)*AQ100*AT100*VLOOKUP('Données projet'!$B$10,Paramètres!$A$1:$I$89,3,0)*0.475*44/12</f>
        <v>1.5222757278611265E-9</v>
      </c>
      <c r="AX100" s="21">
        <f t="shared" si="60"/>
        <v>2.4868058391866907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-1.7053025658242404E-13</v>
      </c>
      <c r="BE100" s="13">
        <f>BD100*VLOOKUP('Données projet'!$B$11,Paramètres!$A$1:$I$89,3,0)*VLOOKUP('Données projet'!$B$11,Paramètres!$A$1:$I$89,5,0)</f>
        <v>-1.0197709343628959E-13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243.85350804244348</v>
      </c>
      <c r="BJ100" s="59">
        <f t="shared" si="92"/>
        <v>304.60992308960545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1.2007190642329013</v>
      </c>
      <c r="BQ100" s="21">
        <f>EXP(-LN(2)/25)*BQ99+(1-EXP(-LN(2)/25))/(LN(2)/25)*Calculateur!BL100*Calculateur!BN100*VLOOKUP('Données projet'!$B$11,Paramètres!$A$1:$I$89,3,0)*0.475*44/12</f>
        <v>2.7664410517481692</v>
      </c>
      <c r="BR100" s="21">
        <f>EXP(-LN(2)/2)*BR99+(1-EXP(-LN(2)/2))/(LN(2)/2)*BL100*BO100*VLOOKUP('Données projet'!$B$11,Paramètres!$A$1:$I$89,3,0)*0.475*44/12</f>
        <v>3.0772356864126137E-10</v>
      </c>
      <c r="BS100" s="22">
        <f t="shared" si="63"/>
        <v>3.9671601162887944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7.5015384615384617</v>
      </c>
      <c r="N101" s="13">
        <f>IF('Données projet'!$A$36&gt;35,N100+M101-V100,IF(A101&lt;'Données projet'!$A$36,$K$205^A101,IF(A101='Données projet'!$A$36,'Données projet'!$B$36,N100+M101-V100)))</f>
        <v>257.20461538461564</v>
      </c>
      <c r="O101" s="13">
        <f>N101*VLOOKUP('Données projet'!$B$9,Paramètres!$A$1:$I$89,3,0)*VLOOKUP('Données projet'!$B$9,Paramètres!$A$1:$I$89,5,0)</f>
        <v>120.37176000000012</v>
      </c>
      <c r="P101" s="13">
        <f t="shared" si="87"/>
        <v>31.761690593555869</v>
      </c>
      <c r="Q101" s="20">
        <f t="shared" si="107"/>
        <v>264.96575978377672</v>
      </c>
      <c r="R101" s="59">
        <f t="shared" si="55"/>
        <v>558.29909311711003</v>
      </c>
      <c r="S101" s="59">
        <f ca="1">AVERAGE(OFFSET($R$3,0,0,'Données projet'!$E$9+1,1))-AVERAGE(OFFSET($H$3,0,0,'Données projet'!$E$9+1,1))</f>
        <v>158.58786357608489</v>
      </c>
      <c r="T101" s="59">
        <f t="shared" si="88"/>
        <v>163.20074068819849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0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497</v>
      </c>
      <c r="AJ101" s="13">
        <f>AI101*VLOOKUP('Données projet'!$B$10,Paramètres!$A$1:$I$89,3,0)*VLOOKUP('Données projet'!$B$10,Paramètres!$A$1:$I$89,5,0)</f>
        <v>297.20600000000002</v>
      </c>
      <c r="AK101" s="13">
        <f t="shared" si="89"/>
        <v>70.590415164571112</v>
      </c>
      <c r="AL101" s="20">
        <f t="shared" si="58"/>
        <v>640.57875641162809</v>
      </c>
      <c r="AM101" s="59">
        <f t="shared" si="59"/>
        <v>933.91208974496135</v>
      </c>
      <c r="AN101" s="59">
        <f ca="1">AVERAGE(OFFSET($AM$3,0,0,'Données projet'!$E$10+1,1))-AVERAGE(OFFSET($H$3,0,0,'Données projet'!$E$10+1,1))</f>
        <v>270.30888762640245</v>
      </c>
      <c r="AO101" s="59">
        <f t="shared" si="90"/>
        <v>202.23783851977691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0.5571023972920558</v>
      </c>
      <c r="AV101" s="21">
        <f>EXP(-LN(2)/25)*AV100+(1-EXP(-LN(2)/25))/(LN(2)/25)*Calculateur!AQ101*Calculateur!AS101*VLOOKUP('Données projet'!$B$10,Paramètres!$A$1:$I$89,3,0)*0.475*44/12</f>
        <v>1.8660973581633615</v>
      </c>
      <c r="AW101" s="21">
        <f>EXP(-LN(2)/2)*AW100+(1-EXP(-LN(2)/2))/(LN(2)/2)*AQ101*AT101*VLOOKUP('Données projet'!$B$10,Paramètres!$A$1:$I$89,3,0)*0.475*44/12</f>
        <v>1.0764114900062899E-9</v>
      </c>
      <c r="AX101" s="21">
        <f t="shared" si="60"/>
        <v>2.4231997565318286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-1.7053025658242404E-13</v>
      </c>
      <c r="BE101" s="13">
        <f>BD101*VLOOKUP('Données projet'!$B$11,Paramètres!$A$1:$I$89,3,0)*VLOOKUP('Données projet'!$B$11,Paramètres!$A$1:$I$89,5,0)</f>
        <v>-1.0197709343628959E-13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243.85350804244348</v>
      </c>
      <c r="BJ101" s="59">
        <f t="shared" si="92"/>
        <v>304.60992308960545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1.1771736957496082</v>
      </c>
      <c r="BQ101" s="21">
        <f>EXP(-LN(2)/25)*BQ100+(1-EXP(-LN(2)/25))/(LN(2)/25)*Calculateur!BL101*Calculateur!BN101*VLOOKUP('Données projet'!$B$11,Paramètres!$A$1:$I$89,3,0)*0.475*44/12</f>
        <v>2.6907925757073032</v>
      </c>
      <c r="BR101" s="21">
        <f>EXP(-LN(2)/2)*BR100+(1-EXP(-LN(2)/2))/(LN(2)/2)*BL101*BO101*VLOOKUP('Données projet'!$B$11,Paramètres!$A$1:$I$89,3,0)*0.475*44/12</f>
        <v>2.1759342211715994E-10</v>
      </c>
      <c r="BS101" s="22">
        <f t="shared" si="63"/>
        <v>3.8679662716745047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7.5015384615384617</v>
      </c>
      <c r="N102" s="13">
        <f>IF('Données projet'!$A$36&gt;35,N101+M102-V101,IF(A102&lt;'Données projet'!$A$36,$K$205^A102,IF(A102='Données projet'!$A$36,'Données projet'!$B$36,N101+M102-V101)))</f>
        <v>264.70615384615411</v>
      </c>
      <c r="O102" s="13">
        <f>N102*VLOOKUP('Données projet'!$B$9,Paramètres!$A$1:$I$89,3,0)*VLOOKUP('Données projet'!$B$9,Paramètres!$A$1:$I$89,5,0)</f>
        <v>123.88248000000011</v>
      </c>
      <c r="P102" s="13">
        <f t="shared" si="87"/>
        <v>32.578839075986679</v>
      </c>
      <c r="Q102" s="20">
        <f t="shared" si="107"/>
        <v>272.50346405734365</v>
      </c>
      <c r="R102" s="59">
        <f t="shared" si="55"/>
        <v>565.83679739067702</v>
      </c>
      <c r="S102" s="59">
        <f ca="1">AVERAGE(OFFSET($R$3,0,0,'Données projet'!$E$9+1,1))-AVERAGE(OFFSET($H$3,0,0,'Données projet'!$E$9+1,1))</f>
        <v>158.58786357608489</v>
      </c>
      <c r="T102" s="59">
        <f t="shared" si="88"/>
        <v>163.20074068819849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0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497</v>
      </c>
      <c r="AJ102" s="13">
        <f>AI102*VLOOKUP('Données projet'!$B$10,Paramètres!$A$1:$I$89,3,0)*VLOOKUP('Données projet'!$B$10,Paramètres!$A$1:$I$89,5,0)</f>
        <v>297.20600000000002</v>
      </c>
      <c r="AK102" s="13">
        <f t="shared" si="89"/>
        <v>70.590415164571112</v>
      </c>
      <c r="AL102" s="20">
        <f t="shared" si="58"/>
        <v>640.57875641162809</v>
      </c>
      <c r="AM102" s="59">
        <f t="shared" si="59"/>
        <v>933.91208974496135</v>
      </c>
      <c r="AN102" s="59">
        <f ca="1">AVERAGE(OFFSET($AM$3,0,0,'Données projet'!$E$10+1,1))-AVERAGE(OFFSET($H$3,0,0,'Données projet'!$E$10+1,1))</f>
        <v>270.30888762640245</v>
      </c>
      <c r="AO102" s="59">
        <f t="shared" si="90"/>
        <v>202.23783851977691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0.54617795908006861</v>
      </c>
      <c r="AV102" s="21">
        <f>EXP(-LN(2)/25)*AV101+(1-EXP(-LN(2)/25))/(LN(2)/25)*Calculateur!AQ102*Calculateur!AS102*VLOOKUP('Données projet'!$B$10,Paramètres!$A$1:$I$89,3,0)*0.475*44/12</f>
        <v>1.8150688277705893</v>
      </c>
      <c r="AW102" s="21">
        <f>EXP(-LN(2)/2)*AW101+(1-EXP(-LN(2)/2))/(LN(2)/2)*AQ102*AT102*VLOOKUP('Données projet'!$B$10,Paramètres!$A$1:$I$89,3,0)*0.475*44/12</f>
        <v>7.6113786393056323E-10</v>
      </c>
      <c r="AX102" s="21">
        <f t="shared" si="60"/>
        <v>2.3612467876117957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-1.7053025658242404E-13</v>
      </c>
      <c r="BE102" s="13">
        <f>BD102*VLOOKUP('Données projet'!$B$11,Paramètres!$A$1:$I$89,3,0)*VLOOKUP('Données projet'!$B$11,Paramètres!$A$1:$I$89,5,0)</f>
        <v>-1.0197709343628959E-13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243.85350804244348</v>
      </c>
      <c r="BJ102" s="59">
        <f t="shared" si="92"/>
        <v>304.60992308960545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1.1540900375810157</v>
      </c>
      <c r="BQ102" s="21">
        <f>EXP(-LN(2)/25)*BQ101+(1-EXP(-LN(2)/25))/(LN(2)/25)*Calculateur!BL102*Calculateur!BN102*VLOOKUP('Données projet'!$B$11,Paramètres!$A$1:$I$89,3,0)*0.475*44/12</f>
        <v>2.6172127112219554</v>
      </c>
      <c r="BR102" s="21">
        <f>EXP(-LN(2)/2)*BR101+(1-EXP(-LN(2)/2))/(LN(2)/2)*BL102*BO102*VLOOKUP('Données projet'!$B$11,Paramètres!$A$1:$I$89,3,0)*0.475*44/12</f>
        <v>1.5386178432063068E-10</v>
      </c>
      <c r="BS102" s="22">
        <f t="shared" si="63"/>
        <v>3.7713027489568329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7.5015384615384617</v>
      </c>
      <c r="N103" s="13">
        <f>IF('Données projet'!$A$36&gt;35,N102+M103-V102,IF(A103&lt;'Données projet'!$A$36,$K$205^A103,IF(A103='Données projet'!$A$36,'Données projet'!$B$36,N102+M103-V102)))</f>
        <v>272.20769230769258</v>
      </c>
      <c r="O103" s="13">
        <f>N103*VLOOKUP('Données projet'!$B$9,Paramètres!$A$1:$I$89,3,0)*VLOOKUP('Données projet'!$B$9,Paramètres!$A$1:$I$89,5,0)</f>
        <v>127.39320000000012</v>
      </c>
      <c r="P103" s="13">
        <f t="shared" si="87"/>
        <v>33.393296112922592</v>
      </c>
      <c r="Q103" s="20">
        <f t="shared" si="107"/>
        <v>280.03648073000704</v>
      </c>
      <c r="R103" s="59">
        <f t="shared" si="55"/>
        <v>573.3698140633403</v>
      </c>
      <c r="S103" s="59">
        <f ca="1">AVERAGE(OFFSET($R$3,0,0,'Données projet'!$E$9+1,1))-AVERAGE(OFFSET($H$3,0,0,'Données projet'!$E$9+1,1))</f>
        <v>158.58786357608489</v>
      </c>
      <c r="T103" s="59">
        <f t="shared" si="88"/>
        <v>163.20074068819849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0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497</v>
      </c>
      <c r="AJ103" s="13">
        <f>AI103*VLOOKUP('Données projet'!$B$10,Paramètres!$A$1:$I$89,3,0)*VLOOKUP('Données projet'!$B$10,Paramètres!$A$1:$I$89,5,0)</f>
        <v>297.20600000000002</v>
      </c>
      <c r="AK103" s="13">
        <f t="shared" si="89"/>
        <v>70.590415164571112</v>
      </c>
      <c r="AL103" s="20">
        <f t="shared" si="58"/>
        <v>640.57875641162809</v>
      </c>
      <c r="AM103" s="59">
        <f t="shared" si="59"/>
        <v>933.91208974496135</v>
      </c>
      <c r="AN103" s="59">
        <f ca="1">AVERAGE(OFFSET($AM$3,0,0,'Données projet'!$E$10+1,1))-AVERAGE(OFFSET($H$3,0,0,'Données projet'!$E$10+1,1))</f>
        <v>270.30888762640245</v>
      </c>
      <c r="AO103" s="59">
        <f t="shared" si="90"/>
        <v>202.23783851977691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0.53546774243816908</v>
      </c>
      <c r="AV103" s="21">
        <f>EXP(-LN(2)/25)*AV102+(1-EXP(-LN(2)/25))/(LN(2)/25)*Calculateur!AQ103*Calculateur!AS103*VLOOKUP('Données projet'!$B$10,Paramètres!$A$1:$I$89,3,0)*0.475*44/12</f>
        <v>1.7654356752248812</v>
      </c>
      <c r="AW103" s="21">
        <f>EXP(-LN(2)/2)*AW102+(1-EXP(-LN(2)/2))/(LN(2)/2)*AQ103*AT103*VLOOKUP('Données projet'!$B$10,Paramètres!$A$1:$I$89,3,0)*0.475*44/12</f>
        <v>5.3820574500314495E-10</v>
      </c>
      <c r="AX103" s="21">
        <f t="shared" si="60"/>
        <v>2.3009034182012562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-1.7053025658242404E-13</v>
      </c>
      <c r="BE103" s="13">
        <f>BD103*VLOOKUP('Données projet'!$B$11,Paramètres!$A$1:$I$89,3,0)*VLOOKUP('Données projet'!$B$11,Paramètres!$A$1:$I$89,5,0)</f>
        <v>-1.0197709343628959E-13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243.85350804244348</v>
      </c>
      <c r="BJ103" s="59">
        <f t="shared" si="92"/>
        <v>304.60992308960545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1.1314590358694681</v>
      </c>
      <c r="BQ103" s="21">
        <f>EXP(-LN(2)/25)*BQ102+(1-EXP(-LN(2)/25))/(LN(2)/25)*Calculateur!BL103*Calculateur!BN103*VLOOKUP('Données projet'!$B$11,Paramètres!$A$1:$I$89,3,0)*0.475*44/12</f>
        <v>2.5456448920003565</v>
      </c>
      <c r="BR103" s="21">
        <f>EXP(-LN(2)/2)*BR102+(1-EXP(-LN(2)/2))/(LN(2)/2)*BL103*BO103*VLOOKUP('Données projet'!$B$11,Paramètres!$A$1:$I$89,3,0)*0.475*44/12</f>
        <v>1.0879671105857997E-10</v>
      </c>
      <c r="BS103" s="22">
        <f t="shared" si="63"/>
        <v>3.6771039279786208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7.5015384615384617</v>
      </c>
      <c r="N104" s="13">
        <f>IF('Données projet'!$A$36&gt;35,N103+M104-V103,IF(A104&lt;'Données projet'!$A$36,$K$205^A104,IF(A104='Données projet'!$A$36,'Données projet'!$B$36,N103+M104-V103)))</f>
        <v>279.70923076923106</v>
      </c>
      <c r="O104" s="13">
        <f>N104*VLOOKUP('Données projet'!$B$9,Paramètres!$A$1:$I$89,3,0)*VLOOKUP('Données projet'!$B$9,Paramètres!$A$1:$I$89,5,0)</f>
        <v>130.90392000000014</v>
      </c>
      <c r="P104" s="13">
        <f t="shared" si="87"/>
        <v>34.205144397668505</v>
      </c>
      <c r="Q104" s="20">
        <f t="shared" si="107"/>
        <v>287.56495382593954</v>
      </c>
      <c r="R104" s="59">
        <f t="shared" si="55"/>
        <v>580.89828715927285</v>
      </c>
      <c r="S104" s="59">
        <f ca="1">AVERAGE(OFFSET($R$3,0,0,'Données projet'!$E$9+1,1))-AVERAGE(OFFSET($H$3,0,0,'Données projet'!$E$9+1,1))</f>
        <v>158.58786357608489</v>
      </c>
      <c r="T104" s="59">
        <f t="shared" si="88"/>
        <v>163.20074068819849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0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497</v>
      </c>
      <c r="AJ104" s="13">
        <f>AI104*VLOOKUP('Données projet'!$B$10,Paramètres!$A$1:$I$89,3,0)*VLOOKUP('Données projet'!$B$10,Paramètres!$A$1:$I$89,5,0)</f>
        <v>297.20600000000002</v>
      </c>
      <c r="AK104" s="13">
        <f t="shared" si="89"/>
        <v>70.590415164571112</v>
      </c>
      <c r="AL104" s="20">
        <f t="shared" si="58"/>
        <v>640.57875641162809</v>
      </c>
      <c r="AM104" s="59">
        <f t="shared" si="59"/>
        <v>933.91208974496135</v>
      </c>
      <c r="AN104" s="59">
        <f ca="1">AVERAGE(OFFSET($AM$3,0,0,'Données projet'!$E$10+1,1))-AVERAGE(OFFSET($H$3,0,0,'Données projet'!$E$10+1,1))</f>
        <v>270.30888762640245</v>
      </c>
      <c r="AO104" s="59">
        <f t="shared" si="90"/>
        <v>202.23783851977691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0.52496754661203004</v>
      </c>
      <c r="AV104" s="21">
        <f>EXP(-LN(2)/25)*AV103+(1-EXP(-LN(2)/25))/(LN(2)/25)*Calculateur!AQ104*Calculateur!AS104*VLOOKUP('Données projet'!$B$10,Paramètres!$A$1:$I$89,3,0)*0.475*44/12</f>
        <v>1.7171597438456296</v>
      </c>
      <c r="AW104" s="21">
        <f>EXP(-LN(2)/2)*AW103+(1-EXP(-LN(2)/2))/(LN(2)/2)*AQ104*AT104*VLOOKUP('Données projet'!$B$10,Paramètres!$A$1:$I$89,3,0)*0.475*44/12</f>
        <v>3.8056893196528162E-10</v>
      </c>
      <c r="AX104" s="21">
        <f t="shared" si="60"/>
        <v>2.2421272908382286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-1.7053025658242404E-13</v>
      </c>
      <c r="BE104" s="13">
        <f>BD104*VLOOKUP('Données projet'!$B$11,Paramètres!$A$1:$I$89,3,0)*VLOOKUP('Données projet'!$B$11,Paramètres!$A$1:$I$89,5,0)</f>
        <v>-1.0197709343628959E-13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243.85350804244348</v>
      </c>
      <c r="BJ104" s="59">
        <f t="shared" si="92"/>
        <v>304.60992308960545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1.1092718142979359</v>
      </c>
      <c r="BQ104" s="21">
        <f>EXP(-LN(2)/25)*BQ103+(1-EXP(-LN(2)/25))/(LN(2)/25)*Calculateur!BL104*Calculateur!BN104*VLOOKUP('Données projet'!$B$11,Paramètres!$A$1:$I$89,3,0)*0.475*44/12</f>
        <v>2.47603409855896</v>
      </c>
      <c r="BR104" s="21">
        <f>EXP(-LN(2)/2)*BR103+(1-EXP(-LN(2)/2))/(LN(2)/2)*BL104*BO104*VLOOKUP('Données projet'!$B$11,Paramètres!$A$1:$I$89,3,0)*0.475*44/12</f>
        <v>7.6930892160315342E-11</v>
      </c>
      <c r="BS104" s="22">
        <f t="shared" si="63"/>
        <v>3.5853059129338267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7.5015384615384617</v>
      </c>
      <c r="N105" s="13">
        <f>IF('Données projet'!$A$36&gt;35,N104+M105-V104,IF(A105&lt;'Données projet'!$A$36,$K$205^A105,IF(A105='Données projet'!$A$36,'Données projet'!$B$36,N104+M105-V104)))</f>
        <v>287.21076923076953</v>
      </c>
      <c r="O105" s="13">
        <f>N105*VLOOKUP('Données projet'!$B$9,Paramètres!$A$1:$I$89,3,0)*VLOOKUP('Données projet'!$B$9,Paramètres!$A$1:$I$89,5,0)</f>
        <v>134.41464000000013</v>
      </c>
      <c r="P105" s="13">
        <f t="shared" si="87"/>
        <v>35.014461935490388</v>
      </c>
      <c r="Q105" s="20">
        <f t="shared" si="107"/>
        <v>295.08901920431265</v>
      </c>
      <c r="R105" s="59">
        <f t="shared" si="55"/>
        <v>588.42235253764602</v>
      </c>
      <c r="S105" s="59">
        <f ca="1">AVERAGE(OFFSET($R$3,0,0,'Données projet'!$E$9+1,1))-AVERAGE(OFFSET($H$3,0,0,'Données projet'!$E$9+1,1))</f>
        <v>158.58786357608489</v>
      </c>
      <c r="T105" s="59">
        <f t="shared" si="88"/>
        <v>163.20074068819849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0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497</v>
      </c>
      <c r="AJ105" s="13">
        <f>AI105*VLOOKUP('Données projet'!$B$10,Paramètres!$A$1:$I$89,3,0)*VLOOKUP('Données projet'!$B$10,Paramètres!$A$1:$I$89,5,0)</f>
        <v>297.20600000000002</v>
      </c>
      <c r="AK105" s="13">
        <f t="shared" si="89"/>
        <v>70.590415164571112</v>
      </c>
      <c r="AL105" s="20">
        <f t="shared" si="58"/>
        <v>640.57875641162809</v>
      </c>
      <c r="AM105" s="59">
        <f t="shared" si="59"/>
        <v>933.91208974496135</v>
      </c>
      <c r="AN105" s="59">
        <f ca="1">AVERAGE(OFFSET($AM$3,0,0,'Données projet'!$E$10+1,1))-AVERAGE(OFFSET($H$3,0,0,'Données projet'!$E$10+1,1))</f>
        <v>270.30888762640245</v>
      </c>
      <c r="AO105" s="59">
        <f t="shared" si="90"/>
        <v>202.23783851977691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0.51467325322155455</v>
      </c>
      <c r="AV105" s="21">
        <f>EXP(-LN(2)/25)*AV104+(1-EXP(-LN(2)/25))/(LN(2)/25)*Calculateur!AQ105*Calculateur!AS105*VLOOKUP('Données projet'!$B$10,Paramètres!$A$1:$I$89,3,0)*0.475*44/12</f>
        <v>1.6702039203486645</v>
      </c>
      <c r="AW105" s="21">
        <f>EXP(-LN(2)/2)*AW104+(1-EXP(-LN(2)/2))/(LN(2)/2)*AQ105*AT105*VLOOKUP('Données projet'!$B$10,Paramètres!$A$1:$I$89,3,0)*0.475*44/12</f>
        <v>2.6910287250157248E-10</v>
      </c>
      <c r="AX105" s="21">
        <f t="shared" si="60"/>
        <v>2.1848771738393218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-1.7053025658242404E-13</v>
      </c>
      <c r="BE105" s="13">
        <f>BD105*VLOOKUP('Données projet'!$B$11,Paramètres!$A$1:$I$89,3,0)*VLOOKUP('Données projet'!$B$11,Paramètres!$A$1:$I$89,5,0)</f>
        <v>-1.0197709343628959E-13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243.85350804244348</v>
      </c>
      <c r="BJ105" s="59">
        <f t="shared" si="92"/>
        <v>304.60992308960545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1.0875196706085524</v>
      </c>
      <c r="BQ105" s="21">
        <f>EXP(-LN(2)/25)*BQ104+(1-EXP(-LN(2)/25))/(LN(2)/25)*Calculateur!BL105*Calculateur!BN105*VLOOKUP('Données projet'!$B$11,Paramètres!$A$1:$I$89,3,0)*0.475*44/12</f>
        <v>2.408326815924891</v>
      </c>
      <c r="BR105" s="21">
        <f>EXP(-LN(2)/2)*BR104+(1-EXP(-LN(2)/2))/(LN(2)/2)*BL105*BO105*VLOOKUP('Données projet'!$B$11,Paramètres!$A$1:$I$89,3,0)*0.475*44/12</f>
        <v>5.4398355529289986E-11</v>
      </c>
      <c r="BS105" s="22">
        <f t="shared" si="63"/>
        <v>3.4958464865878414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7.5015384615384617</v>
      </c>
      <c r="N106" s="13">
        <f>IF('Données projet'!$A$36&gt;35,N105+M106-V105,IF(A106&lt;'Données projet'!$A$36,$K$205^A106,IF(A106='Données projet'!$A$36,'Données projet'!$B$36,N105+M106-V105)))</f>
        <v>294.712307692308</v>
      </c>
      <c r="O106" s="13">
        <f>N106*VLOOKUP('Données projet'!$B$9,Paramètres!$A$1:$I$89,3,0)*VLOOKUP('Données projet'!$B$9,Paramètres!$A$1:$I$89,5,0)</f>
        <v>137.92536000000015</v>
      </c>
      <c r="P106" s="13">
        <f t="shared" si="87"/>
        <v>35.82132242479814</v>
      </c>
      <c r="Q106" s="20">
        <f t="shared" si="107"/>
        <v>302.6088052231903</v>
      </c>
      <c r="R106" s="59">
        <f t="shared" si="55"/>
        <v>595.94213855652356</v>
      </c>
      <c r="S106" s="59">
        <f ca="1">AVERAGE(OFFSET($R$3,0,0,'Données projet'!$E$9+1,1))-AVERAGE(OFFSET($H$3,0,0,'Données projet'!$E$9+1,1))</f>
        <v>158.58786357608489</v>
      </c>
      <c r="T106" s="59">
        <f t="shared" si="88"/>
        <v>163.20074068819849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0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497</v>
      </c>
      <c r="AJ106" s="13">
        <f>AI106*VLOOKUP('Données projet'!$B$10,Paramètres!$A$1:$I$89,3,0)*VLOOKUP('Données projet'!$B$10,Paramètres!$A$1:$I$89,5,0)</f>
        <v>297.20600000000002</v>
      </c>
      <c r="AK106" s="13">
        <f t="shared" si="89"/>
        <v>70.590415164571112</v>
      </c>
      <c r="AL106" s="20">
        <f t="shared" si="58"/>
        <v>640.57875641162809</v>
      </c>
      <c r="AM106" s="59">
        <f t="shared" si="59"/>
        <v>933.91208974496135</v>
      </c>
      <c r="AN106" s="59">
        <f ca="1">AVERAGE(OFFSET($AM$3,0,0,'Données projet'!$E$10+1,1))-AVERAGE(OFFSET($H$3,0,0,'Données projet'!$E$10+1,1))</f>
        <v>270.30888762640245</v>
      </c>
      <c r="AO106" s="59">
        <f t="shared" si="90"/>
        <v>202.23783851977691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0.50458082464556731</v>
      </c>
      <c r="AV106" s="21">
        <f>EXP(-LN(2)/25)*AV105+(1-EXP(-LN(2)/25))/(LN(2)/25)*Calculateur!AQ106*Calculateur!AS106*VLOOKUP('Données projet'!$B$10,Paramètres!$A$1:$I$89,3,0)*0.475*44/12</f>
        <v>1.6245321063145235</v>
      </c>
      <c r="AW106" s="21">
        <f>EXP(-LN(2)/2)*AW105+(1-EXP(-LN(2)/2))/(LN(2)/2)*AQ106*AT106*VLOOKUP('Données projet'!$B$10,Paramètres!$A$1:$I$89,3,0)*0.475*44/12</f>
        <v>1.9028446598264081E-10</v>
      </c>
      <c r="AX106" s="21">
        <f t="shared" si="60"/>
        <v>2.1291129311503756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-1.7053025658242404E-13</v>
      </c>
      <c r="BE106" s="13">
        <f>BD106*VLOOKUP('Données projet'!$B$11,Paramètres!$A$1:$I$89,3,0)*VLOOKUP('Données projet'!$B$11,Paramètres!$A$1:$I$89,5,0)</f>
        <v>-1.0197709343628959E-13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243.85350804244348</v>
      </c>
      <c r="BJ106" s="59">
        <f t="shared" si="92"/>
        <v>304.60992308960545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1.0661940731894202</v>
      </c>
      <c r="BQ106" s="21">
        <f>EXP(-LN(2)/25)*BQ105+(1-EXP(-LN(2)/25))/(LN(2)/25)*Calculateur!BL106*Calculateur!BN106*VLOOKUP('Données projet'!$B$11,Paramètres!$A$1:$I$89,3,0)*0.475*44/12</f>
        <v>2.3424709924950218</v>
      </c>
      <c r="BR106" s="21">
        <f>EXP(-LN(2)/2)*BR105+(1-EXP(-LN(2)/2))/(LN(2)/2)*BL106*BO106*VLOOKUP('Données projet'!$B$11,Paramètres!$A$1:$I$89,3,0)*0.475*44/12</f>
        <v>3.8465446080157671E-11</v>
      </c>
      <c r="BS106" s="22">
        <f t="shared" si="63"/>
        <v>3.4086650657229072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7.5015384615384617</v>
      </c>
      <c r="N107" s="13">
        <f>IF('Données projet'!$A$36&gt;35,N106+M107-V106,IF(A107&lt;'Données projet'!$A$36,$K$205^A107,IF(A107='Données projet'!$A$36,'Données projet'!$B$36,N106+M107-V106)))</f>
        <v>302.21384615384648</v>
      </c>
      <c r="O107" s="13">
        <f>N107*VLOOKUP('Données projet'!$B$9,Paramètres!$A$1:$I$89,3,0)*VLOOKUP('Données projet'!$B$9,Paramètres!$A$1:$I$89,5,0)</f>
        <v>141.43608000000015</v>
      </c>
      <c r="P107" s="13">
        <f t="shared" si="87"/>
        <v>36.625795598426585</v>
      </c>
      <c r="Q107" s="20">
        <f t="shared" si="107"/>
        <v>310.12443333392656</v>
      </c>
      <c r="R107" s="59">
        <f t="shared" si="55"/>
        <v>603.45776666725988</v>
      </c>
      <c r="S107" s="59">
        <f ca="1">AVERAGE(OFFSET($R$3,0,0,'Données projet'!$E$9+1,1))-AVERAGE(OFFSET($H$3,0,0,'Données projet'!$E$9+1,1))</f>
        <v>158.58786357608489</v>
      </c>
      <c r="T107" s="59">
        <f t="shared" si="88"/>
        <v>163.20074068819849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0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497</v>
      </c>
      <c r="AJ107" s="13">
        <f>AI107*VLOOKUP('Données projet'!$B$10,Paramètres!$A$1:$I$89,3,0)*VLOOKUP('Données projet'!$B$10,Paramètres!$A$1:$I$89,5,0)</f>
        <v>297.20600000000002</v>
      </c>
      <c r="AK107" s="13">
        <f t="shared" si="89"/>
        <v>70.590415164571112</v>
      </c>
      <c r="AL107" s="20">
        <f t="shared" si="58"/>
        <v>640.57875641162809</v>
      </c>
      <c r="AM107" s="59">
        <f t="shared" si="59"/>
        <v>933.91208974496135</v>
      </c>
      <c r="AN107" s="59">
        <f ca="1">AVERAGE(OFFSET($AM$3,0,0,'Données projet'!$E$10+1,1))-AVERAGE(OFFSET($H$3,0,0,'Données projet'!$E$10+1,1))</f>
        <v>270.30888762640245</v>
      </c>
      <c r="AO107" s="59">
        <f t="shared" si="90"/>
        <v>202.23783851977691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0.49468630243818162</v>
      </c>
      <c r="AV107" s="21">
        <f>EXP(-LN(2)/25)*AV106+(1-EXP(-LN(2)/25))/(LN(2)/25)*Calculateur!AQ107*Calculateur!AS107*VLOOKUP('Données projet'!$B$10,Paramètres!$A$1:$I$89,3,0)*0.475*44/12</f>
        <v>1.5801091904369222</v>
      </c>
      <c r="AW107" s="21">
        <f>EXP(-LN(2)/2)*AW106+(1-EXP(-LN(2)/2))/(LN(2)/2)*AQ107*AT107*VLOOKUP('Données projet'!$B$10,Paramètres!$A$1:$I$89,3,0)*0.475*44/12</f>
        <v>1.3455143625078624E-10</v>
      </c>
      <c r="AX107" s="21">
        <f t="shared" si="60"/>
        <v>2.0747954930096553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-1.7053025658242404E-13</v>
      </c>
      <c r="BE107" s="13">
        <f>BD107*VLOOKUP('Données projet'!$B$11,Paramètres!$A$1:$I$89,3,0)*VLOOKUP('Données projet'!$B$11,Paramètres!$A$1:$I$89,5,0)</f>
        <v>-1.0197709343628959E-13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243.85350804244348</v>
      </c>
      <c r="BJ107" s="59">
        <f t="shared" si="92"/>
        <v>304.60992308960545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1.0452866577283471</v>
      </c>
      <c r="BQ107" s="21">
        <f>EXP(-LN(2)/25)*BQ106+(1-EXP(-LN(2)/25))/(LN(2)/25)*Calculateur!BL107*Calculateur!BN107*VLOOKUP('Données projet'!$B$11,Paramètres!$A$1:$I$89,3,0)*0.475*44/12</f>
        <v>2.2784160000200497</v>
      </c>
      <c r="BR107" s="21">
        <f>EXP(-LN(2)/2)*BR106+(1-EXP(-LN(2)/2))/(LN(2)/2)*BL107*BO107*VLOOKUP('Données projet'!$B$11,Paramètres!$A$1:$I$89,3,0)*0.475*44/12</f>
        <v>2.7199177764644993E-11</v>
      </c>
      <c r="BS107" s="22">
        <f t="shared" si="63"/>
        <v>3.3237026577755961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309.71538461538461</v>
      </c>
      <c r="L108" s="12">
        <f>VLOOKUP(A108,'Données projet'!$A$35:$I$55,9,0)</f>
        <v>7.5015384615384617</v>
      </c>
      <c r="M108" s="12">
        <f t="array" ref="M108">INDEX(L:L,MIN(IF(ISNUMBER(L108:L304),ROW(L108:L304),"")))</f>
        <v>7.5015384615384617</v>
      </c>
      <c r="N108" s="13">
        <f>IF('Données projet'!$A$36&gt;35,N107+M108-V107,IF(A108&lt;'Données projet'!$A$36,$K$205^A108,IF(A108='Données projet'!$A$36,'Données projet'!$B$36,N107+M108-V107)))</f>
        <v>309.71538461538495</v>
      </c>
      <c r="O108" s="13">
        <f>N108*VLOOKUP('Données projet'!$B$9,Paramètres!$A$1:$I$89,3,0)*VLOOKUP('Données projet'!$B$9,Paramètres!$A$1:$I$89,5,0)</f>
        <v>144.94680000000017</v>
      </c>
      <c r="P108" s="13">
        <f t="shared" si="87"/>
        <v>37.427947530076956</v>
      </c>
      <c r="Q108" s="20">
        <f t="shared" si="107"/>
        <v>317.63601861488428</v>
      </c>
      <c r="R108" s="59">
        <f t="shared" si="55"/>
        <v>610.96935194821754</v>
      </c>
      <c r="S108" s="59">
        <f ca="1">AVERAGE(OFFSET($R$3,0,0,'Données projet'!$E$9+1,1))-AVERAGE(OFFSET($H$3,0,0,'Données projet'!$E$9+1,1))</f>
        <v>158.58786357608489</v>
      </c>
      <c r="T108" s="59">
        <f t="shared" si="88"/>
        <v>163.20074068819849</v>
      </c>
      <c r="U108" s="15">
        <f>IF(ISNA(VLOOKUP(A108,'Données projet'!$A$35:$I$55,3,0)),0,VLOOKUP(A108,'Données projet'!$A$35:$I$55,3,0))</f>
        <v>9</v>
      </c>
      <c r="V108" s="15">
        <f>IF(ISNA(VLOOKUP(A108,'Données projet'!$A$35:$I$55,4,0)),0,VLOOKUP(A108,'Données projet'!$A$35:$I$55,4,0))</f>
        <v>309.71538461538461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0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497</v>
      </c>
      <c r="AJ108" s="13">
        <f>AI108*VLOOKUP('Données projet'!$B$10,Paramètres!$A$1:$I$89,3,0)*VLOOKUP('Données projet'!$B$10,Paramètres!$A$1:$I$89,5,0)</f>
        <v>297.20600000000002</v>
      </c>
      <c r="AK108" s="13">
        <f t="shared" si="89"/>
        <v>70.590415164571112</v>
      </c>
      <c r="AL108" s="20">
        <f t="shared" si="58"/>
        <v>640.57875641162809</v>
      </c>
      <c r="AM108" s="59">
        <f t="shared" si="59"/>
        <v>933.91208974496135</v>
      </c>
      <c r="AN108" s="59">
        <f ca="1">AVERAGE(OFFSET($AM$3,0,0,'Données projet'!$E$10+1,1))-AVERAGE(OFFSET($H$3,0,0,'Données projet'!$E$10+1,1))</f>
        <v>270.30888762640245</v>
      </c>
      <c r="AO108" s="59">
        <f t="shared" si="90"/>
        <v>202.23783851977691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0.48498580577622014</v>
      </c>
      <c r="AV108" s="21">
        <f>EXP(-LN(2)/25)*AV107+(1-EXP(-LN(2)/25))/(LN(2)/25)*Calculateur!AQ108*Calculateur!AS108*VLOOKUP('Données projet'!$B$10,Paramètres!$A$1:$I$89,3,0)*0.475*44/12</f>
        <v>1.5369010215300936</v>
      </c>
      <c r="AW108" s="21">
        <f>EXP(-LN(2)/2)*AW107+(1-EXP(-LN(2)/2))/(LN(2)/2)*AQ108*AT108*VLOOKUP('Données projet'!$B$10,Paramètres!$A$1:$I$89,3,0)*0.475*44/12</f>
        <v>9.5142232991320404E-11</v>
      </c>
      <c r="AX108" s="21">
        <f t="shared" si="60"/>
        <v>2.0218868274014556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-1.7053025658242404E-13</v>
      </c>
      <c r="BE108" s="13">
        <f>BD108*VLOOKUP('Données projet'!$B$11,Paramètres!$A$1:$I$89,3,0)*VLOOKUP('Données projet'!$B$11,Paramètres!$A$1:$I$89,5,0)</f>
        <v>-1.0197709343628959E-13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243.85350804244348</v>
      </c>
      <c r="BJ108" s="59">
        <f t="shared" si="92"/>
        <v>304.60992308960545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1.0247892239322014</v>
      </c>
      <c r="BQ108" s="21">
        <f>EXP(-LN(2)/25)*BQ107+(1-EXP(-LN(2)/25))/(LN(2)/25)*Calculateur!BL108*Calculateur!BN108*VLOOKUP('Données projet'!$B$11,Paramètres!$A$1:$I$89,3,0)*0.475*44/12</f>
        <v>2.2161125946828113</v>
      </c>
      <c r="BR108" s="21">
        <f>EXP(-LN(2)/2)*BR107+(1-EXP(-LN(2)/2))/(LN(2)/2)*BL108*BO108*VLOOKUP('Données projet'!$B$11,Paramètres!$A$1:$I$89,3,0)*0.475*44/12</f>
        <v>1.9232723040078836E-11</v>
      </c>
      <c r="BS108" s="22">
        <f t="shared" si="63"/>
        <v>3.2409018186342453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1.5961632016114892E-13</v>
      </c>
      <c r="P109" s="13">
        <f t="shared" si="87"/>
        <v>2.2708641912150958E-12</v>
      </c>
      <c r="Q109" s="20">
        <f t="shared" si="107"/>
        <v>4.2330868906469593E-12</v>
      </c>
      <c r="R109" s="59">
        <f t="shared" si="55"/>
        <v>293.33333333333752</v>
      </c>
      <c r="S109" s="59">
        <f ca="1">AVERAGE(OFFSET($R$3,0,0,'Données projet'!$E$9+1,1))-AVERAGE(OFFSET($H$3,0,0,'Données projet'!$E$9+1,1))</f>
        <v>158.58786357608489</v>
      </c>
      <c r="T109" s="59">
        <f t="shared" si="88"/>
        <v>163.20074068819849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0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497</v>
      </c>
      <c r="AJ109" s="13">
        <f>AI109*VLOOKUP('Données projet'!$B$10,Paramètres!$A$1:$I$89,3,0)*VLOOKUP('Données projet'!$B$10,Paramètres!$A$1:$I$89,5,0)</f>
        <v>297.20600000000002</v>
      </c>
      <c r="AK109" s="13">
        <f t="shared" si="89"/>
        <v>70.590415164571112</v>
      </c>
      <c r="AL109" s="20">
        <f t="shared" si="58"/>
        <v>640.57875641162809</v>
      </c>
      <c r="AM109" s="59">
        <f t="shared" si="59"/>
        <v>933.91208974496135</v>
      </c>
      <c r="AN109" s="59">
        <f ca="1">AVERAGE(OFFSET($AM$3,0,0,'Données projet'!$E$10+1,1))-AVERAGE(OFFSET($H$3,0,0,'Données projet'!$E$10+1,1))</f>
        <v>270.30888762640245</v>
      </c>
      <c r="AO109" s="59">
        <f t="shared" si="90"/>
        <v>202.23783851977691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0.47547552993708098</v>
      </c>
      <c r="AV109" s="21">
        <f>EXP(-LN(2)/25)*AV108+(1-EXP(-LN(2)/25))/(LN(2)/25)*Calculateur!AQ109*Calculateur!AS109*VLOOKUP('Données projet'!$B$10,Paramètres!$A$1:$I$89,3,0)*0.475*44/12</f>
        <v>1.494874382274241</v>
      </c>
      <c r="AW109" s="21">
        <f>EXP(-LN(2)/2)*AW108+(1-EXP(-LN(2)/2))/(LN(2)/2)*AQ109*AT109*VLOOKUP('Données projet'!$B$10,Paramètres!$A$1:$I$89,3,0)*0.475*44/12</f>
        <v>6.7275718125393119E-11</v>
      </c>
      <c r="AX109" s="21">
        <f t="shared" si="60"/>
        <v>1.9703499122785977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-1.7053025658242404E-13</v>
      </c>
      <c r="BE109" s="13">
        <f>BD109*VLOOKUP('Données projet'!$B$11,Paramètres!$A$1:$I$89,3,0)*VLOOKUP('Données projet'!$B$11,Paramètres!$A$1:$I$89,5,0)</f>
        <v>-1.0197709343628959E-13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243.85350804244348</v>
      </c>
      <c r="BJ109" s="59">
        <f t="shared" si="92"/>
        <v>304.60992308960545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1.004693732310598</v>
      </c>
      <c r="BQ109" s="21">
        <f>EXP(-LN(2)/25)*BQ108+(1-EXP(-LN(2)/25))/(LN(2)/25)*Calculateur!BL109*Calculateur!BN109*VLOOKUP('Données projet'!$B$11,Paramètres!$A$1:$I$89,3,0)*0.475*44/12</f>
        <v>2.1555128792409133</v>
      </c>
      <c r="BR109" s="21">
        <f>EXP(-LN(2)/2)*BR108+(1-EXP(-LN(2)/2))/(LN(2)/2)*BL109*BO109*VLOOKUP('Données projet'!$B$11,Paramètres!$A$1:$I$89,3,0)*0.475*44/12</f>
        <v>1.3599588882322496E-11</v>
      </c>
      <c r="BS109" s="22">
        <f t="shared" si="63"/>
        <v>3.1602066115651111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1.5961632016114892E-13</v>
      </c>
      <c r="P110" s="13">
        <f t="shared" si="87"/>
        <v>2.2708641912150958E-12</v>
      </c>
      <c r="Q110" s="20">
        <f t="shared" si="107"/>
        <v>4.2330868906469593E-12</v>
      </c>
      <c r="R110" s="59">
        <f t="shared" si="55"/>
        <v>293.33333333333752</v>
      </c>
      <c r="S110" s="59">
        <f ca="1">AVERAGE(OFFSET($R$3,0,0,'Données projet'!$E$9+1,1))-AVERAGE(OFFSET($H$3,0,0,'Données projet'!$E$9+1,1))</f>
        <v>158.58786357608489</v>
      </c>
      <c r="T110" s="59">
        <f t="shared" si="88"/>
        <v>163.20074068819849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0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497</v>
      </c>
      <c r="AJ110" s="13">
        <f>AI110*VLOOKUP('Données projet'!$B$10,Paramètres!$A$1:$I$89,3,0)*VLOOKUP('Données projet'!$B$10,Paramètres!$A$1:$I$89,5,0)</f>
        <v>297.20600000000002</v>
      </c>
      <c r="AK110" s="13">
        <f t="shared" si="89"/>
        <v>70.590415164571112</v>
      </c>
      <c r="AL110" s="20">
        <f t="shared" si="58"/>
        <v>640.57875641162809</v>
      </c>
      <c r="AM110" s="59">
        <f t="shared" si="59"/>
        <v>933.91208974496135</v>
      </c>
      <c r="AN110" s="59">
        <f ca="1">AVERAGE(OFFSET($AM$3,0,0,'Données projet'!$E$10+1,1))-AVERAGE(OFFSET($H$3,0,0,'Données projet'!$E$10+1,1))</f>
        <v>270.30888762640245</v>
      </c>
      <c r="AO110" s="59">
        <f t="shared" si="90"/>
        <v>202.23783851977691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0.46615174480645183</v>
      </c>
      <c r="AV110" s="21">
        <f>EXP(-LN(2)/25)*AV109+(1-EXP(-LN(2)/25))/(LN(2)/25)*Calculateur!AQ110*Calculateur!AS110*VLOOKUP('Données projet'!$B$10,Paramètres!$A$1:$I$89,3,0)*0.475*44/12</f>
        <v>1.4539969636789247</v>
      </c>
      <c r="AW110" s="21">
        <f>EXP(-LN(2)/2)*AW109+(1-EXP(-LN(2)/2))/(LN(2)/2)*AQ110*AT110*VLOOKUP('Données projet'!$B$10,Paramètres!$A$1:$I$89,3,0)*0.475*44/12</f>
        <v>4.7571116495660202E-11</v>
      </c>
      <c r="AX110" s="21">
        <f t="shared" si="60"/>
        <v>1.9201487085329476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-1.7053025658242404E-13</v>
      </c>
      <c r="BE110" s="13">
        <f>BD110*VLOOKUP('Données projet'!$B$11,Paramètres!$A$1:$I$89,3,0)*VLOOKUP('Données projet'!$B$11,Paramètres!$A$1:$I$89,5,0)</f>
        <v>-1.0197709343628959E-13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243.85350804244348</v>
      </c>
      <c r="BJ110" s="59">
        <f t="shared" si="92"/>
        <v>304.60992308960545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0.98499230102265467</v>
      </c>
      <c r="BQ110" s="21">
        <f>EXP(-LN(2)/25)*BQ109+(1-EXP(-LN(2)/25))/(LN(2)/25)*Calculateur!BL110*Calculateur!BN110*VLOOKUP('Données projet'!$B$11,Paramètres!$A$1:$I$89,3,0)*0.475*44/12</f>
        <v>2.0965702662045747</v>
      </c>
      <c r="BR110" s="21">
        <f>EXP(-LN(2)/2)*BR109+(1-EXP(-LN(2)/2))/(LN(2)/2)*BL110*BO110*VLOOKUP('Données projet'!$B$11,Paramètres!$A$1:$I$89,3,0)*0.475*44/12</f>
        <v>9.6163615200394178E-12</v>
      </c>
      <c r="BS110" s="22">
        <f t="shared" si="63"/>
        <v>3.0815625672368459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1.5961632016114892E-13</v>
      </c>
      <c r="P111" s="13">
        <f t="shared" si="87"/>
        <v>2.2708641912150958E-12</v>
      </c>
      <c r="Q111" s="20">
        <f t="shared" si="107"/>
        <v>4.2330868906469593E-12</v>
      </c>
      <c r="R111" s="59">
        <f t="shared" si="55"/>
        <v>293.33333333333752</v>
      </c>
      <c r="S111" s="59">
        <f ca="1">AVERAGE(OFFSET($R$3,0,0,'Données projet'!$E$9+1,1))-AVERAGE(OFFSET($H$3,0,0,'Données projet'!$E$9+1,1))</f>
        <v>158.58786357608489</v>
      </c>
      <c r="T111" s="59">
        <f t="shared" si="88"/>
        <v>163.20074068819849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0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497</v>
      </c>
      <c r="AJ111" s="13">
        <f>AI111*VLOOKUP('Données projet'!$B$10,Paramètres!$A$1:$I$89,3,0)*VLOOKUP('Données projet'!$B$10,Paramètres!$A$1:$I$89,5,0)</f>
        <v>297.20600000000002</v>
      </c>
      <c r="AK111" s="13">
        <f t="shared" si="89"/>
        <v>70.590415164571112</v>
      </c>
      <c r="AL111" s="20">
        <f t="shared" si="58"/>
        <v>640.57875641162809</v>
      </c>
      <c r="AM111" s="59">
        <f t="shared" si="59"/>
        <v>933.91208974496135</v>
      </c>
      <c r="AN111" s="59">
        <f ca="1">AVERAGE(OFFSET($AM$3,0,0,'Données projet'!$E$10+1,1))-AVERAGE(OFFSET($H$3,0,0,'Données projet'!$E$10+1,1))</f>
        <v>270.30888762640245</v>
      </c>
      <c r="AO111" s="59">
        <f t="shared" si="90"/>
        <v>202.23783851977691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0.45701079341528694</v>
      </c>
      <c r="AV111" s="21">
        <f>EXP(-LN(2)/25)*AV110+(1-EXP(-LN(2)/25))/(LN(2)/25)*Calculateur!AQ111*Calculateur!AS111*VLOOKUP('Données projet'!$B$10,Paramètres!$A$1:$I$89,3,0)*0.475*44/12</f>
        <v>1.4142373402447475</v>
      </c>
      <c r="AW111" s="21">
        <f>EXP(-LN(2)/2)*AW110+(1-EXP(-LN(2)/2))/(LN(2)/2)*AQ111*AT111*VLOOKUP('Données projet'!$B$10,Paramètres!$A$1:$I$89,3,0)*0.475*44/12</f>
        <v>3.363785906269656E-11</v>
      </c>
      <c r="AX111" s="21">
        <f t="shared" si="60"/>
        <v>1.8712481336936722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-1.7053025658242404E-13</v>
      </c>
      <c r="BE111" s="13">
        <f>BD111*VLOOKUP('Données projet'!$B$11,Paramètres!$A$1:$I$89,3,0)*VLOOKUP('Données projet'!$B$11,Paramètres!$A$1:$I$89,5,0)</f>
        <v>-1.0197709343628959E-13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243.85350804244348</v>
      </c>
      <c r="BJ111" s="59">
        <f t="shared" si="92"/>
        <v>304.60992308960545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0.96567720278558133</v>
      </c>
      <c r="BQ111" s="21">
        <f>EXP(-LN(2)/25)*BQ110+(1-EXP(-LN(2)/25))/(LN(2)/25)*Calculateur!BL111*Calculateur!BN111*VLOOKUP('Données projet'!$B$11,Paramètres!$A$1:$I$89,3,0)*0.475*44/12</f>
        <v>2.0392394420213722</v>
      </c>
      <c r="BR111" s="21">
        <f>EXP(-LN(2)/2)*BR110+(1-EXP(-LN(2)/2))/(LN(2)/2)*BL111*BO111*VLOOKUP('Données projet'!$B$11,Paramètres!$A$1:$I$89,3,0)*0.475*44/12</f>
        <v>6.7997944411612482E-12</v>
      </c>
      <c r="BS111" s="22">
        <f t="shared" si="63"/>
        <v>3.0049166448137532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1.5961632016114892E-13</v>
      </c>
      <c r="P112" s="13">
        <f t="shared" si="87"/>
        <v>2.2708641912150958E-12</v>
      </c>
      <c r="Q112" s="20">
        <f t="shared" si="107"/>
        <v>4.2330868906469593E-12</v>
      </c>
      <c r="R112" s="59">
        <f t="shared" si="55"/>
        <v>293.33333333333752</v>
      </c>
      <c r="S112" s="59">
        <f ca="1">AVERAGE(OFFSET($R$3,0,0,'Données projet'!$E$9+1,1))-AVERAGE(OFFSET($H$3,0,0,'Données projet'!$E$9+1,1))</f>
        <v>158.58786357608489</v>
      </c>
      <c r="T112" s="59">
        <f t="shared" si="88"/>
        <v>163.20074068819849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0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497</v>
      </c>
      <c r="AJ112" s="13">
        <f>AI112*VLOOKUP('Données projet'!$B$10,Paramètres!$A$1:$I$89,3,0)*VLOOKUP('Données projet'!$B$10,Paramètres!$A$1:$I$89,5,0)</f>
        <v>297.20600000000002</v>
      </c>
      <c r="AK112" s="13">
        <f t="shared" si="89"/>
        <v>70.590415164571112</v>
      </c>
      <c r="AL112" s="20">
        <f t="shared" si="58"/>
        <v>640.57875641162809</v>
      </c>
      <c r="AM112" s="59">
        <f t="shared" si="59"/>
        <v>933.91208974496135</v>
      </c>
      <c r="AN112" s="59">
        <f ca="1">AVERAGE(OFFSET($AM$3,0,0,'Données projet'!$E$10+1,1))-AVERAGE(OFFSET($H$3,0,0,'Données projet'!$E$10+1,1))</f>
        <v>270.30888762640245</v>
      </c>
      <c r="AO112" s="59">
        <f t="shared" si="90"/>
        <v>202.23783851977691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0.44804909050547298</v>
      </c>
      <c r="AV112" s="21">
        <f>EXP(-LN(2)/25)*AV111+(1-EXP(-LN(2)/25))/(LN(2)/25)*Calculateur!AQ112*Calculateur!AS112*VLOOKUP('Données projet'!$B$10,Paramètres!$A$1:$I$89,3,0)*0.475*44/12</f>
        <v>1.3755649458042454</v>
      </c>
      <c r="AW112" s="21">
        <f>EXP(-LN(2)/2)*AW111+(1-EXP(-LN(2)/2))/(LN(2)/2)*AQ112*AT112*VLOOKUP('Données projet'!$B$10,Paramètres!$A$1:$I$89,3,0)*0.475*44/12</f>
        <v>2.3785558247830101E-11</v>
      </c>
      <c r="AX112" s="21">
        <f t="shared" si="60"/>
        <v>1.8236140363335041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-1.7053025658242404E-13</v>
      </c>
      <c r="BE112" s="13">
        <f>BD112*VLOOKUP('Données projet'!$B$11,Paramètres!$A$1:$I$89,3,0)*VLOOKUP('Données projet'!$B$11,Paramètres!$A$1:$I$89,5,0)</f>
        <v>-1.0197709343628959E-13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243.85350804244348</v>
      </c>
      <c r="BJ112" s="59">
        <f t="shared" si="92"/>
        <v>304.60992308960545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0.94674086184389039</v>
      </c>
      <c r="BQ112" s="21">
        <f>EXP(-LN(2)/25)*BQ111+(1-EXP(-LN(2)/25))/(LN(2)/25)*Calculateur!BL112*Calculateur!BN112*VLOOKUP('Données projet'!$B$11,Paramètres!$A$1:$I$89,3,0)*0.475*44/12</f>
        <v>1.9834763322403564</v>
      </c>
      <c r="BR112" s="21">
        <f>EXP(-LN(2)/2)*BR111+(1-EXP(-LN(2)/2))/(LN(2)/2)*BL112*BO112*VLOOKUP('Données projet'!$B$11,Paramètres!$A$1:$I$89,3,0)*0.475*44/12</f>
        <v>4.8081807600197089E-12</v>
      </c>
      <c r="BS112" s="22">
        <f t="shared" si="63"/>
        <v>2.9302171940890549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1.5961632016114892E-13</v>
      </c>
      <c r="P113" s="13">
        <f t="shared" si="87"/>
        <v>2.2708641912150958E-12</v>
      </c>
      <c r="Q113" s="20">
        <f t="shared" si="107"/>
        <v>4.2330868906469593E-12</v>
      </c>
      <c r="R113" s="59">
        <f t="shared" si="55"/>
        <v>293.33333333333752</v>
      </c>
      <c r="S113" s="59">
        <f ca="1">AVERAGE(OFFSET($R$3,0,0,'Données projet'!$E$9+1,1))-AVERAGE(OFFSET($H$3,0,0,'Données projet'!$E$9+1,1))</f>
        <v>158.58786357608489</v>
      </c>
      <c r="T113" s="59">
        <f t="shared" si="88"/>
        <v>163.20074068819849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0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497</v>
      </c>
      <c r="AJ113" s="13">
        <f>AI113*VLOOKUP('Données projet'!$B$10,Paramètres!$A$1:$I$89,3,0)*VLOOKUP('Données projet'!$B$10,Paramètres!$A$1:$I$89,5,0)</f>
        <v>297.20600000000002</v>
      </c>
      <c r="AK113" s="13">
        <f t="shared" si="89"/>
        <v>70.590415164571112</v>
      </c>
      <c r="AL113" s="20">
        <f t="shared" si="58"/>
        <v>640.57875641162809</v>
      </c>
      <c r="AM113" s="59">
        <f t="shared" si="59"/>
        <v>933.91208974496135</v>
      </c>
      <c r="AN113" s="59">
        <f ca="1">AVERAGE(OFFSET($AM$3,0,0,'Données projet'!$E$10+1,1))-AVERAGE(OFFSET($H$3,0,0,'Données projet'!$E$10+1,1))</f>
        <v>270.30888762640245</v>
      </c>
      <c r="AO113" s="59">
        <f t="shared" si="90"/>
        <v>202.23783851977691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0.43926312112362143</v>
      </c>
      <c r="AV113" s="21">
        <f>EXP(-LN(2)/25)*AV112+(1-EXP(-LN(2)/25))/(LN(2)/25)*Calculateur!AQ113*Calculateur!AS113*VLOOKUP('Données projet'!$B$10,Paramètres!$A$1:$I$89,3,0)*0.475*44/12</f>
        <v>1.3379500500234116</v>
      </c>
      <c r="AW113" s="21">
        <f>EXP(-LN(2)/2)*AW112+(1-EXP(-LN(2)/2))/(LN(2)/2)*AQ113*AT113*VLOOKUP('Données projet'!$B$10,Paramètres!$A$1:$I$89,3,0)*0.475*44/12</f>
        <v>1.681892953134828E-11</v>
      </c>
      <c r="AX113" s="21">
        <f t="shared" si="60"/>
        <v>1.7772131711638521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-1.7053025658242404E-13</v>
      </c>
      <c r="BE113" s="13">
        <f>BD113*VLOOKUP('Données projet'!$B$11,Paramètres!$A$1:$I$89,3,0)*VLOOKUP('Données projet'!$B$11,Paramètres!$A$1:$I$89,5,0)</f>
        <v>-1.0197709343628959E-13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243.85350804244348</v>
      </c>
      <c r="BJ113" s="59">
        <f t="shared" si="92"/>
        <v>304.60992308960545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0.92817585099803845</v>
      </c>
      <c r="BQ113" s="21">
        <f>EXP(-LN(2)/25)*BQ112+(1-EXP(-LN(2)/25))/(LN(2)/25)*Calculateur!BL113*Calculateur!BN113*VLOOKUP('Données projet'!$B$11,Paramètres!$A$1:$I$89,3,0)*0.475*44/12</f>
        <v>1.9292380676287568</v>
      </c>
      <c r="BR113" s="21">
        <f>EXP(-LN(2)/2)*BR112+(1-EXP(-LN(2)/2))/(LN(2)/2)*BL113*BO113*VLOOKUP('Données projet'!$B$11,Paramètres!$A$1:$I$89,3,0)*0.475*44/12</f>
        <v>3.3998972205806241E-12</v>
      </c>
      <c r="BS113" s="22">
        <f t="shared" si="63"/>
        <v>2.8574139186301952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1.5961632016114892E-13</v>
      </c>
      <c r="P114" s="13">
        <f t="shared" si="87"/>
        <v>2.2708641912150958E-12</v>
      </c>
      <c r="Q114" s="20">
        <f t="shared" si="107"/>
        <v>4.2330868906469593E-12</v>
      </c>
      <c r="R114" s="59">
        <f t="shared" si="55"/>
        <v>293.33333333333752</v>
      </c>
      <c r="S114" s="59">
        <f ca="1">AVERAGE(OFFSET($R$3,0,0,'Données projet'!$E$9+1,1))-AVERAGE(OFFSET($H$3,0,0,'Données projet'!$E$9+1,1))</f>
        <v>158.58786357608489</v>
      </c>
      <c r="T114" s="59">
        <f t="shared" si="88"/>
        <v>163.20074068819849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0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497</v>
      </c>
      <c r="AJ114" s="13">
        <f>AI114*VLOOKUP('Données projet'!$B$10,Paramètres!$A$1:$I$89,3,0)*VLOOKUP('Données projet'!$B$10,Paramètres!$A$1:$I$89,5,0)</f>
        <v>297.20600000000002</v>
      </c>
      <c r="AK114" s="13">
        <f t="shared" si="89"/>
        <v>70.590415164571112</v>
      </c>
      <c r="AL114" s="20">
        <f t="shared" si="58"/>
        <v>640.57875641162809</v>
      </c>
      <c r="AM114" s="59">
        <f t="shared" si="59"/>
        <v>933.91208974496135</v>
      </c>
      <c r="AN114" s="59">
        <f ca="1">AVERAGE(OFFSET($AM$3,0,0,'Données projet'!$E$10+1,1))-AVERAGE(OFFSET($H$3,0,0,'Données projet'!$E$10+1,1))</f>
        <v>270.30888762640245</v>
      </c>
      <c r="AO114" s="59">
        <f t="shared" si="90"/>
        <v>202.23783851977691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0.43064943924243582</v>
      </c>
      <c r="AV114" s="21">
        <f>EXP(-LN(2)/25)*AV113+(1-EXP(-LN(2)/25))/(LN(2)/25)*Calculateur!AQ114*Calculateur!AS114*VLOOKUP('Données projet'!$B$10,Paramètres!$A$1:$I$89,3,0)*0.475*44/12</f>
        <v>1.3013637355457861</v>
      </c>
      <c r="AW114" s="21">
        <f>EXP(-LN(2)/2)*AW113+(1-EXP(-LN(2)/2))/(LN(2)/2)*AQ114*AT114*VLOOKUP('Données projet'!$B$10,Paramètres!$A$1:$I$89,3,0)*0.475*44/12</f>
        <v>1.189277912391505E-11</v>
      </c>
      <c r="AX114" s="21">
        <f t="shared" si="60"/>
        <v>1.7320131748001146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-1.7053025658242404E-13</v>
      </c>
      <c r="BE114" s="13">
        <f>BD114*VLOOKUP('Données projet'!$B$11,Paramètres!$A$1:$I$89,3,0)*VLOOKUP('Données projet'!$B$11,Paramètres!$A$1:$I$89,5,0)</f>
        <v>-1.0197709343628959E-13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243.85350804244348</v>
      </c>
      <c r="BJ114" s="59">
        <f t="shared" si="92"/>
        <v>304.60992308960545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0.90997488869133525</v>
      </c>
      <c r="BQ114" s="21">
        <f>EXP(-LN(2)/25)*BQ113+(1-EXP(-LN(2)/25))/(LN(2)/25)*Calculateur!BL114*Calculateur!BN114*VLOOKUP('Données projet'!$B$11,Paramètres!$A$1:$I$89,3,0)*0.475*44/12</f>
        <v>1.8764829512152279</v>
      </c>
      <c r="BR114" s="21">
        <f>EXP(-LN(2)/2)*BR113+(1-EXP(-LN(2)/2))/(LN(2)/2)*BL114*BO114*VLOOKUP('Données projet'!$B$11,Paramètres!$A$1:$I$89,3,0)*0.475*44/12</f>
        <v>2.4040903800098544E-12</v>
      </c>
      <c r="BS114" s="22">
        <f t="shared" si="63"/>
        <v>2.7864578399089677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1.5961632016114892E-13</v>
      </c>
      <c r="P115" s="13">
        <f t="shared" si="87"/>
        <v>2.2708641912150958E-12</v>
      </c>
      <c r="Q115" s="20">
        <f t="shared" si="107"/>
        <v>4.2330868906469593E-12</v>
      </c>
      <c r="R115" s="59">
        <f t="shared" si="55"/>
        <v>293.33333333333752</v>
      </c>
      <c r="S115" s="59">
        <f ca="1">AVERAGE(OFFSET($R$3,0,0,'Données projet'!$E$9+1,1))-AVERAGE(OFFSET($H$3,0,0,'Données projet'!$E$9+1,1))</f>
        <v>158.58786357608489</v>
      </c>
      <c r="T115" s="59">
        <f t="shared" si="88"/>
        <v>163.20074068819849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0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497</v>
      </c>
      <c r="AJ115" s="13">
        <f>AI115*VLOOKUP('Données projet'!$B$10,Paramètres!$A$1:$I$89,3,0)*VLOOKUP('Données projet'!$B$10,Paramètres!$A$1:$I$89,5,0)</f>
        <v>297.20600000000002</v>
      </c>
      <c r="AK115" s="13">
        <f t="shared" si="89"/>
        <v>70.590415164571112</v>
      </c>
      <c r="AL115" s="20">
        <f t="shared" si="58"/>
        <v>640.57875641162809</v>
      </c>
      <c r="AM115" s="59">
        <f t="shared" si="59"/>
        <v>933.91208974496135</v>
      </c>
      <c r="AN115" s="59">
        <f ca="1">AVERAGE(OFFSET($AM$3,0,0,'Données projet'!$E$10+1,1))-AVERAGE(OFFSET($H$3,0,0,'Données projet'!$E$10+1,1))</f>
        <v>270.30888762640245</v>
      </c>
      <c r="AO115" s="59">
        <f t="shared" si="90"/>
        <v>202.23783851977691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0.42220466640911308</v>
      </c>
      <c r="AV115" s="21">
        <f>EXP(-LN(2)/25)*AV114+(1-EXP(-LN(2)/25))/(LN(2)/25)*Calculateur!AQ115*Calculateur!AS115*VLOOKUP('Données projet'!$B$10,Paramètres!$A$1:$I$89,3,0)*0.475*44/12</f>
        <v>1.2657778757615421</v>
      </c>
      <c r="AW115" s="21">
        <f>EXP(-LN(2)/2)*AW114+(1-EXP(-LN(2)/2))/(LN(2)/2)*AQ115*AT115*VLOOKUP('Données projet'!$B$10,Paramètres!$A$1:$I$89,3,0)*0.475*44/12</f>
        <v>8.4094647656741399E-12</v>
      </c>
      <c r="AX115" s="21">
        <f t="shared" si="60"/>
        <v>1.6879825421790646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-1.7053025658242404E-13</v>
      </c>
      <c r="BE115" s="13">
        <f>BD115*VLOOKUP('Données projet'!$B$11,Paramètres!$A$1:$I$89,3,0)*VLOOKUP('Données projet'!$B$11,Paramètres!$A$1:$I$89,5,0)</f>
        <v>-1.0197709343628959E-13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243.85350804244348</v>
      </c>
      <c r="BJ115" s="59">
        <f t="shared" si="92"/>
        <v>304.60992308960545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0.89213083615397559</v>
      </c>
      <c r="BQ115" s="21">
        <f>EXP(-LN(2)/25)*BQ114+(1-EXP(-LN(2)/25))/(LN(2)/25)*Calculateur!BL115*Calculateur!BN115*VLOOKUP('Données projet'!$B$11,Paramètres!$A$1:$I$89,3,0)*0.475*44/12</f>
        <v>1.8251704262342978</v>
      </c>
      <c r="BR115" s="21">
        <f>EXP(-LN(2)/2)*BR114+(1-EXP(-LN(2)/2))/(LN(2)/2)*BL115*BO115*VLOOKUP('Données projet'!$B$11,Paramètres!$A$1:$I$89,3,0)*0.475*44/12</f>
        <v>1.699948610290312E-12</v>
      </c>
      <c r="BS115" s="22">
        <f t="shared" si="63"/>
        <v>2.7173012623899733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1.5961632016114892E-13</v>
      </c>
      <c r="P116" s="13">
        <f t="shared" si="87"/>
        <v>2.2708641912150958E-12</v>
      </c>
      <c r="Q116" s="20">
        <f t="shared" si="107"/>
        <v>4.2330868906469593E-12</v>
      </c>
      <c r="R116" s="59">
        <f t="shared" si="55"/>
        <v>293.33333333333752</v>
      </c>
      <c r="S116" s="59">
        <f ca="1">AVERAGE(OFFSET($R$3,0,0,'Données projet'!$E$9+1,1))-AVERAGE(OFFSET($H$3,0,0,'Données projet'!$E$9+1,1))</f>
        <v>158.58786357608489</v>
      </c>
      <c r="T116" s="59">
        <f t="shared" si="88"/>
        <v>163.20074068819849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0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497</v>
      </c>
      <c r="AJ116" s="13">
        <f>AI116*VLOOKUP('Données projet'!$B$10,Paramètres!$A$1:$I$89,3,0)*VLOOKUP('Données projet'!$B$10,Paramètres!$A$1:$I$89,5,0)</f>
        <v>297.20600000000002</v>
      </c>
      <c r="AK116" s="13">
        <f t="shared" si="89"/>
        <v>70.590415164571112</v>
      </c>
      <c r="AL116" s="20">
        <f t="shared" si="58"/>
        <v>640.57875641162809</v>
      </c>
      <c r="AM116" s="59">
        <f t="shared" si="59"/>
        <v>933.91208974496135</v>
      </c>
      <c r="AN116" s="59">
        <f ca="1">AVERAGE(OFFSET($AM$3,0,0,'Données projet'!$E$10+1,1))-AVERAGE(OFFSET($H$3,0,0,'Données projet'!$E$10+1,1))</f>
        <v>270.30888762640245</v>
      </c>
      <c r="AO116" s="59">
        <f t="shared" si="90"/>
        <v>202.23783851977691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0.41392549042024895</v>
      </c>
      <c r="AV116" s="21">
        <f>EXP(-LN(2)/25)*AV115+(1-EXP(-LN(2)/25))/(LN(2)/25)*Calculateur!AQ116*Calculateur!AS116*VLOOKUP('Données projet'!$B$10,Paramètres!$A$1:$I$89,3,0)*0.475*44/12</f>
        <v>1.2311651131844772</v>
      </c>
      <c r="AW116" s="21">
        <f>EXP(-LN(2)/2)*AW115+(1-EXP(-LN(2)/2))/(LN(2)/2)*AQ116*AT116*VLOOKUP('Données projet'!$B$10,Paramètres!$A$1:$I$89,3,0)*0.475*44/12</f>
        <v>5.9463895619575252E-12</v>
      </c>
      <c r="AX116" s="21">
        <f t="shared" si="60"/>
        <v>1.6450906036106725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-1.7053025658242404E-13</v>
      </c>
      <c r="BE116" s="13">
        <f>BD116*VLOOKUP('Données projet'!$B$11,Paramètres!$A$1:$I$89,3,0)*VLOOKUP('Données projet'!$B$11,Paramètres!$A$1:$I$89,5,0)</f>
        <v>-1.0197709343628959E-13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243.85350804244348</v>
      </c>
      <c r="BJ116" s="59">
        <f t="shared" si="92"/>
        <v>304.60992308960545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0.87463669460307625</v>
      </c>
      <c r="BQ116" s="21">
        <f>EXP(-LN(2)/25)*BQ115+(1-EXP(-LN(2)/25))/(LN(2)/25)*Calculateur!BL116*Calculateur!BN116*VLOOKUP('Données projet'!$B$11,Paramètres!$A$1:$I$89,3,0)*0.475*44/12</f>
        <v>1.7752610449473798</v>
      </c>
      <c r="BR116" s="21">
        <f>EXP(-LN(2)/2)*BR115+(1-EXP(-LN(2)/2))/(LN(2)/2)*BL116*BO116*VLOOKUP('Données projet'!$B$11,Paramètres!$A$1:$I$89,3,0)*0.475*44/12</f>
        <v>1.2020451900049272E-12</v>
      </c>
      <c r="BS116" s="22">
        <f t="shared" si="63"/>
        <v>2.6498977395516583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1.5961632016114892E-13</v>
      </c>
      <c r="P117" s="13">
        <f t="shared" si="87"/>
        <v>2.2708641912150958E-12</v>
      </c>
      <c r="Q117" s="20">
        <f t="shared" si="107"/>
        <v>4.2330868906469593E-12</v>
      </c>
      <c r="R117" s="59">
        <f t="shared" si="55"/>
        <v>293.33333333333752</v>
      </c>
      <c r="S117" s="59">
        <f ca="1">AVERAGE(OFFSET($R$3,0,0,'Données projet'!$E$9+1,1))-AVERAGE(OFFSET($H$3,0,0,'Données projet'!$E$9+1,1))</f>
        <v>158.58786357608489</v>
      </c>
      <c r="T117" s="59">
        <f t="shared" si="88"/>
        <v>163.20074068819849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0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497</v>
      </c>
      <c r="AJ117" s="13">
        <f>AI117*VLOOKUP('Données projet'!$B$10,Paramètres!$A$1:$I$89,3,0)*VLOOKUP('Données projet'!$B$10,Paramètres!$A$1:$I$89,5,0)</f>
        <v>297.20600000000002</v>
      </c>
      <c r="AK117" s="13">
        <f t="shared" si="89"/>
        <v>70.590415164571112</v>
      </c>
      <c r="AL117" s="20">
        <f t="shared" si="58"/>
        <v>640.57875641162809</v>
      </c>
      <c r="AM117" s="59">
        <f t="shared" si="59"/>
        <v>933.91208974496135</v>
      </c>
      <c r="AN117" s="59">
        <f ca="1">AVERAGE(OFFSET($AM$3,0,0,'Données projet'!$E$10+1,1))-AVERAGE(OFFSET($H$3,0,0,'Données projet'!$E$10+1,1))</f>
        <v>270.30888762640245</v>
      </c>
      <c r="AO117" s="59">
        <f t="shared" si="90"/>
        <v>202.23783851977691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0.40580866402272775</v>
      </c>
      <c r="AV117" s="21">
        <f>EXP(-LN(2)/25)*AV116+(1-EXP(-LN(2)/25))/(LN(2)/25)*Calculateur!AQ117*Calculateur!AS117*VLOOKUP('Données projet'!$B$10,Paramètres!$A$1:$I$89,3,0)*0.475*44/12</f>
        <v>1.1974988384202883</v>
      </c>
      <c r="AW117" s="21">
        <f>EXP(-LN(2)/2)*AW116+(1-EXP(-LN(2)/2))/(LN(2)/2)*AQ117*AT117*VLOOKUP('Données projet'!$B$10,Paramètres!$A$1:$I$89,3,0)*0.475*44/12</f>
        <v>4.20473238283707E-12</v>
      </c>
      <c r="AX117" s="21">
        <f t="shared" si="60"/>
        <v>1.6033075024472208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-1.7053025658242404E-13</v>
      </c>
      <c r="BE117" s="13">
        <f>BD117*VLOOKUP('Données projet'!$B$11,Paramètres!$A$1:$I$89,3,0)*VLOOKUP('Données projet'!$B$11,Paramètres!$A$1:$I$89,5,0)</f>
        <v>-1.0197709343628959E-13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243.85350804244348</v>
      </c>
      <c r="BJ117" s="59">
        <f t="shared" si="92"/>
        <v>304.60992308960545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0.85748560249761729</v>
      </c>
      <c r="BQ117" s="21">
        <f>EXP(-LN(2)/25)*BQ116+(1-EXP(-LN(2)/25))/(LN(2)/25)*Calculateur!BL117*Calculateur!BN117*VLOOKUP('Données projet'!$B$11,Paramètres!$A$1:$I$89,3,0)*0.475*44/12</f>
        <v>1.7267164383163727</v>
      </c>
      <c r="BR117" s="21">
        <f>EXP(-LN(2)/2)*BR116+(1-EXP(-LN(2)/2))/(LN(2)/2)*BL117*BO117*VLOOKUP('Données projet'!$B$11,Paramètres!$A$1:$I$89,3,0)*0.475*44/12</f>
        <v>8.4997430514515602E-13</v>
      </c>
      <c r="BS117" s="22">
        <f t="shared" si="63"/>
        <v>2.5842020408148398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1.5961632016114892E-13</v>
      </c>
      <c r="P118" s="13">
        <f t="shared" si="87"/>
        <v>2.2708641912150958E-12</v>
      </c>
      <c r="Q118" s="20">
        <f t="shared" si="107"/>
        <v>4.2330868906469593E-12</v>
      </c>
      <c r="R118" s="59">
        <f t="shared" si="55"/>
        <v>293.33333333333752</v>
      </c>
      <c r="S118" s="59">
        <f ca="1">AVERAGE(OFFSET($R$3,0,0,'Données projet'!$E$9+1,1))-AVERAGE(OFFSET($H$3,0,0,'Données projet'!$E$9+1,1))</f>
        <v>158.58786357608489</v>
      </c>
      <c r="T118" s="59">
        <f t="shared" si="88"/>
        <v>163.20074068819849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0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497</v>
      </c>
      <c r="AJ118" s="13">
        <f>AI118*VLOOKUP('Données projet'!$B$10,Paramètres!$A$1:$I$89,3,0)*VLOOKUP('Données projet'!$B$10,Paramètres!$A$1:$I$89,5,0)</f>
        <v>297.20600000000002</v>
      </c>
      <c r="AK118" s="13">
        <f t="shared" si="89"/>
        <v>70.590415164571112</v>
      </c>
      <c r="AL118" s="20">
        <f t="shared" si="58"/>
        <v>640.57875641162809</v>
      </c>
      <c r="AM118" s="59">
        <f t="shared" si="59"/>
        <v>933.91208974496135</v>
      </c>
      <c r="AN118" s="59">
        <f ca="1">AVERAGE(OFFSET($AM$3,0,0,'Données projet'!$E$10+1,1))-AVERAGE(OFFSET($H$3,0,0,'Données projet'!$E$10+1,1))</f>
        <v>270.30888762640245</v>
      </c>
      <c r="AO118" s="59">
        <f t="shared" si="90"/>
        <v>202.23783851977691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0.39785100364008663</v>
      </c>
      <c r="AV118" s="21">
        <f>EXP(-LN(2)/25)*AV117+(1-EXP(-LN(2)/25))/(LN(2)/25)*Calculateur!AQ118*Calculateur!AS118*VLOOKUP('Données projet'!$B$10,Paramètres!$A$1:$I$89,3,0)*0.475*44/12</f>
        <v>1.1647531697099585</v>
      </c>
      <c r="AW118" s="21">
        <f>EXP(-LN(2)/2)*AW117+(1-EXP(-LN(2)/2))/(LN(2)/2)*AQ118*AT118*VLOOKUP('Données projet'!$B$10,Paramètres!$A$1:$I$89,3,0)*0.475*44/12</f>
        <v>2.9731947809787626E-12</v>
      </c>
      <c r="AX118" s="21">
        <f t="shared" si="60"/>
        <v>1.5626041733530183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-1.7053025658242404E-13</v>
      </c>
      <c r="BE118" s="13">
        <f>BD118*VLOOKUP('Données projet'!$B$11,Paramètres!$A$1:$I$89,3,0)*VLOOKUP('Données projet'!$B$11,Paramètres!$A$1:$I$89,5,0)</f>
        <v>-1.0197709343628959E-13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243.85350804244348</v>
      </c>
      <c r="BJ118" s="59">
        <f t="shared" si="92"/>
        <v>304.60992308960545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0.84067083284721311</v>
      </c>
      <c r="BQ118" s="21">
        <f>EXP(-LN(2)/25)*BQ117+(1-EXP(-LN(2)/25))/(LN(2)/25)*Calculateur!BL118*Calculateur!BN118*VLOOKUP('Données projet'!$B$11,Paramètres!$A$1:$I$89,3,0)*0.475*44/12</f>
        <v>1.6794992865065403</v>
      </c>
      <c r="BR118" s="21">
        <f>EXP(-LN(2)/2)*BR117+(1-EXP(-LN(2)/2))/(LN(2)/2)*BL118*BO118*VLOOKUP('Données projet'!$B$11,Paramètres!$A$1:$I$89,3,0)*0.475*44/12</f>
        <v>6.0102259500246361E-13</v>
      </c>
      <c r="BS118" s="22">
        <f t="shared" si="63"/>
        <v>2.5201701193543542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1.5961632016114892E-13</v>
      </c>
      <c r="P119" s="13">
        <f t="shared" si="87"/>
        <v>2.2708641912150958E-12</v>
      </c>
      <c r="Q119" s="20">
        <f t="shared" si="107"/>
        <v>4.2330868906469593E-12</v>
      </c>
      <c r="R119" s="59">
        <f t="shared" si="55"/>
        <v>293.33333333333752</v>
      </c>
      <c r="S119" s="59">
        <f ca="1">AVERAGE(OFFSET($R$3,0,0,'Données projet'!$E$9+1,1))-AVERAGE(OFFSET($H$3,0,0,'Données projet'!$E$9+1,1))</f>
        <v>158.58786357608489</v>
      </c>
      <c r="T119" s="59">
        <f t="shared" si="88"/>
        <v>163.20074068819849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0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497</v>
      </c>
      <c r="AJ119" s="13">
        <f>AI119*VLOOKUP('Données projet'!$B$10,Paramètres!$A$1:$I$89,3,0)*VLOOKUP('Données projet'!$B$10,Paramètres!$A$1:$I$89,5,0)</f>
        <v>297.20600000000002</v>
      </c>
      <c r="AK119" s="13">
        <f t="shared" si="89"/>
        <v>70.590415164571112</v>
      </c>
      <c r="AL119" s="20">
        <f t="shared" si="58"/>
        <v>640.57875641162809</v>
      </c>
      <c r="AM119" s="59">
        <f t="shared" si="59"/>
        <v>933.91208974496135</v>
      </c>
      <c r="AN119" s="59">
        <f ca="1">AVERAGE(OFFSET($AM$3,0,0,'Données projet'!$E$10+1,1))-AVERAGE(OFFSET($H$3,0,0,'Données projet'!$E$10+1,1))</f>
        <v>270.30888762640245</v>
      </c>
      <c r="AO119" s="59">
        <f t="shared" si="90"/>
        <v>202.23783851977691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0.39004938812385553</v>
      </c>
      <c r="AV119" s="21">
        <f>EXP(-LN(2)/25)*AV118+(1-EXP(-LN(2)/25))/(LN(2)/25)*Calculateur!AQ119*Calculateur!AS119*VLOOKUP('Données projet'!$B$10,Paramètres!$A$1:$I$89,3,0)*0.475*44/12</f>
        <v>1.1329029330325324</v>
      </c>
      <c r="AW119" s="21">
        <f>EXP(-LN(2)/2)*AW118+(1-EXP(-LN(2)/2))/(LN(2)/2)*AQ119*AT119*VLOOKUP('Données projet'!$B$10,Paramètres!$A$1:$I$89,3,0)*0.475*44/12</f>
        <v>2.102366191418535E-12</v>
      </c>
      <c r="AX119" s="21">
        <f t="shared" si="60"/>
        <v>1.5229523211584903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-1.7053025658242404E-13</v>
      </c>
      <c r="BE119" s="13">
        <f>BD119*VLOOKUP('Données projet'!$B$11,Paramètres!$A$1:$I$89,3,0)*VLOOKUP('Données projet'!$B$11,Paramètres!$A$1:$I$89,5,0)</f>
        <v>-1.0197709343628959E-13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243.85350804244348</v>
      </c>
      <c r="BJ119" s="59">
        <f t="shared" si="92"/>
        <v>304.60992308960545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0.8241857905736566</v>
      </c>
      <c r="BQ119" s="21">
        <f>EXP(-LN(2)/25)*BQ118+(1-EXP(-LN(2)/25))/(LN(2)/25)*Calculateur!BL119*Calculateur!BN119*VLOOKUP('Données projet'!$B$11,Paramètres!$A$1:$I$89,3,0)*0.475*44/12</f>
        <v>1.6335732901959901</v>
      </c>
      <c r="BR119" s="21">
        <f>EXP(-LN(2)/2)*BR118+(1-EXP(-LN(2)/2))/(LN(2)/2)*BL119*BO119*VLOOKUP('Données projet'!$B$11,Paramètres!$A$1:$I$89,3,0)*0.475*44/12</f>
        <v>4.2498715257257801E-13</v>
      </c>
      <c r="BS119" s="22">
        <f t="shared" si="63"/>
        <v>2.4577590807700718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1.5961632016114892E-13</v>
      </c>
      <c r="P120" s="13">
        <f t="shared" si="87"/>
        <v>2.2708641912150958E-12</v>
      </c>
      <c r="Q120" s="20">
        <f t="shared" si="107"/>
        <v>4.2330868906469593E-12</v>
      </c>
      <c r="R120" s="59">
        <f t="shared" si="55"/>
        <v>293.33333333333752</v>
      </c>
      <c r="S120" s="59">
        <f ca="1">AVERAGE(OFFSET($R$3,0,0,'Données projet'!$E$9+1,1))-AVERAGE(OFFSET($H$3,0,0,'Données projet'!$E$9+1,1))</f>
        <v>158.58786357608489</v>
      </c>
      <c r="T120" s="59">
        <f t="shared" si="88"/>
        <v>163.20074068819849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0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497</v>
      </c>
      <c r="AJ120" s="13">
        <f>AI120*VLOOKUP('Données projet'!$B$10,Paramètres!$A$1:$I$89,3,0)*VLOOKUP('Données projet'!$B$10,Paramètres!$A$1:$I$89,5,0)</f>
        <v>297.20600000000002</v>
      </c>
      <c r="AK120" s="13">
        <f t="shared" si="89"/>
        <v>70.590415164571112</v>
      </c>
      <c r="AL120" s="20">
        <f t="shared" si="58"/>
        <v>640.57875641162809</v>
      </c>
      <c r="AM120" s="59">
        <f t="shared" si="59"/>
        <v>933.91208974496135</v>
      </c>
      <c r="AN120" s="59">
        <f ca="1">AVERAGE(OFFSET($AM$3,0,0,'Données projet'!$E$10+1,1))-AVERAGE(OFFSET($H$3,0,0,'Données projet'!$E$10+1,1))</f>
        <v>270.30888762640245</v>
      </c>
      <c r="AO120" s="59">
        <f t="shared" si="90"/>
        <v>202.23783851977691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0.38240075752938213</v>
      </c>
      <c r="AV120" s="21">
        <f>EXP(-LN(2)/25)*AV119+(1-EXP(-LN(2)/25))/(LN(2)/25)*Calculateur!AQ120*Calculateur!AS120*VLOOKUP('Données projet'!$B$10,Paramètres!$A$1:$I$89,3,0)*0.475*44/12</f>
        <v>1.1019236427519818</v>
      </c>
      <c r="AW120" s="21">
        <f>EXP(-LN(2)/2)*AW119+(1-EXP(-LN(2)/2))/(LN(2)/2)*AQ120*AT120*VLOOKUP('Données projet'!$B$10,Paramètres!$A$1:$I$89,3,0)*0.475*44/12</f>
        <v>1.4865973904893813E-12</v>
      </c>
      <c r="AX120" s="21">
        <f t="shared" si="60"/>
        <v>1.4843244002828506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-1.7053025658242404E-13</v>
      </c>
      <c r="BE120" s="13">
        <f>BD120*VLOOKUP('Données projet'!$B$11,Paramètres!$A$1:$I$89,3,0)*VLOOKUP('Données projet'!$B$11,Paramètres!$A$1:$I$89,5,0)</f>
        <v>-1.0197709343628959E-13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243.85350804244348</v>
      </c>
      <c r="BJ120" s="59">
        <f t="shared" si="92"/>
        <v>304.60992308960545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0.80802400992420154</v>
      </c>
      <c r="BQ120" s="21">
        <f>EXP(-LN(2)/25)*BQ119+(1-EXP(-LN(2)/25))/(LN(2)/25)*Calculateur!BL120*Calculateur!BN120*VLOOKUP('Données projet'!$B$11,Paramètres!$A$1:$I$89,3,0)*0.475*44/12</f>
        <v>1.5889031426696949</v>
      </c>
      <c r="BR120" s="21">
        <f>EXP(-LN(2)/2)*BR119+(1-EXP(-LN(2)/2))/(LN(2)/2)*BL120*BO120*VLOOKUP('Données projet'!$B$11,Paramètres!$A$1:$I$89,3,0)*0.475*44/12</f>
        <v>3.0051129750123181E-13</v>
      </c>
      <c r="BS120" s="22">
        <f t="shared" si="63"/>
        <v>2.3969271525941971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1.5961632016114892E-13</v>
      </c>
      <c r="P121" s="13">
        <f t="shared" si="87"/>
        <v>2.2708641912150958E-12</v>
      </c>
      <c r="Q121" s="20">
        <f t="shared" si="107"/>
        <v>4.2330868906469593E-12</v>
      </c>
      <c r="R121" s="59">
        <f t="shared" si="55"/>
        <v>293.33333333333752</v>
      </c>
      <c r="S121" s="59">
        <f ca="1">AVERAGE(OFFSET($R$3,0,0,'Données projet'!$E$9+1,1))-AVERAGE(OFFSET($H$3,0,0,'Données projet'!$E$9+1,1))</f>
        <v>158.58786357608489</v>
      </c>
      <c r="T121" s="59">
        <f t="shared" si="88"/>
        <v>163.20074068819849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0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497</v>
      </c>
      <c r="AJ121" s="13">
        <f>AI121*VLOOKUP('Données projet'!$B$10,Paramètres!$A$1:$I$89,3,0)*VLOOKUP('Données projet'!$B$10,Paramètres!$A$1:$I$89,5,0)</f>
        <v>297.20600000000002</v>
      </c>
      <c r="AK121" s="13">
        <f t="shared" si="89"/>
        <v>70.590415164571112</v>
      </c>
      <c r="AL121" s="20">
        <f t="shared" si="58"/>
        <v>640.57875641162809</v>
      </c>
      <c r="AM121" s="59">
        <f t="shared" si="59"/>
        <v>933.91208974496135</v>
      </c>
      <c r="AN121" s="59">
        <f ca="1">AVERAGE(OFFSET($AM$3,0,0,'Données projet'!$E$10+1,1))-AVERAGE(OFFSET($H$3,0,0,'Données projet'!$E$10+1,1))</f>
        <v>270.30888762640245</v>
      </c>
      <c r="AO121" s="59">
        <f t="shared" si="90"/>
        <v>202.23783851977691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0.37490211191566236</v>
      </c>
      <c r="AV121" s="21">
        <f>EXP(-LN(2)/25)*AV120+(1-EXP(-LN(2)/25))/(LN(2)/25)*Calculateur!AQ121*Calculateur!AS121*VLOOKUP('Données projet'!$B$10,Paramètres!$A$1:$I$89,3,0)*0.475*44/12</f>
        <v>1.0717914827932831</v>
      </c>
      <c r="AW121" s="21">
        <f>EXP(-LN(2)/2)*AW120+(1-EXP(-LN(2)/2))/(LN(2)/2)*AQ121*AT121*VLOOKUP('Données projet'!$B$10,Paramètres!$A$1:$I$89,3,0)*0.475*44/12</f>
        <v>1.0511830957092675E-12</v>
      </c>
      <c r="AX121" s="21">
        <f t="shared" si="60"/>
        <v>1.4466935947099966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-1.7053025658242404E-13</v>
      </c>
      <c r="BE121" s="13">
        <f>BD121*VLOOKUP('Données projet'!$B$11,Paramètres!$A$1:$I$89,3,0)*VLOOKUP('Données projet'!$B$11,Paramètres!$A$1:$I$89,5,0)</f>
        <v>-1.0197709343628959E-13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243.85350804244348</v>
      </c>
      <c r="BJ121" s="59">
        <f t="shared" si="92"/>
        <v>304.60992308960545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0.79217915193556954</v>
      </c>
      <c r="BQ121" s="21">
        <f>EXP(-LN(2)/25)*BQ120+(1-EXP(-LN(2)/25))/(LN(2)/25)*Calculateur!BL121*Calculateur!BN121*VLOOKUP('Données projet'!$B$11,Paramètres!$A$1:$I$89,3,0)*0.475*44/12</f>
        <v>1.5454545026766073</v>
      </c>
      <c r="BR121" s="21">
        <f>EXP(-LN(2)/2)*BR120+(1-EXP(-LN(2)/2))/(LN(2)/2)*BL121*BO121*VLOOKUP('Données projet'!$B$11,Paramètres!$A$1:$I$89,3,0)*0.475*44/12</f>
        <v>2.1249357628628901E-13</v>
      </c>
      <c r="BS121" s="22">
        <f t="shared" si="63"/>
        <v>2.337633654612389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1.5961632016114892E-13</v>
      </c>
      <c r="P122" s="13">
        <f t="shared" si="87"/>
        <v>2.2708641912150958E-12</v>
      </c>
      <c r="Q122" s="20">
        <f t="shared" si="107"/>
        <v>4.2330868906469593E-12</v>
      </c>
      <c r="R122" s="59">
        <f t="shared" si="55"/>
        <v>293.33333333333752</v>
      </c>
      <c r="S122" s="59">
        <f ca="1">AVERAGE(OFFSET($R$3,0,0,'Données projet'!$E$9+1,1))-AVERAGE(OFFSET($H$3,0,0,'Données projet'!$E$9+1,1))</f>
        <v>158.58786357608489</v>
      </c>
      <c r="T122" s="59">
        <f t="shared" si="88"/>
        <v>163.20074068819849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0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497</v>
      </c>
      <c r="AJ122" s="13">
        <f>AI122*VLOOKUP('Données projet'!$B$10,Paramètres!$A$1:$I$89,3,0)*VLOOKUP('Données projet'!$B$10,Paramètres!$A$1:$I$89,5,0)</f>
        <v>297.20600000000002</v>
      </c>
      <c r="AK122" s="13">
        <f t="shared" si="89"/>
        <v>70.590415164571112</v>
      </c>
      <c r="AL122" s="20">
        <f t="shared" si="58"/>
        <v>640.57875641162809</v>
      </c>
      <c r="AM122" s="59">
        <f t="shared" si="59"/>
        <v>933.91208974496135</v>
      </c>
      <c r="AN122" s="59">
        <f ca="1">AVERAGE(OFFSET($AM$3,0,0,'Données projet'!$E$10+1,1))-AVERAGE(OFFSET($H$3,0,0,'Données projet'!$E$10+1,1))</f>
        <v>270.30888762640245</v>
      </c>
      <c r="AO122" s="59">
        <f t="shared" si="90"/>
        <v>202.23783851977691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0.36755051016870544</v>
      </c>
      <c r="AV122" s="21">
        <f>EXP(-LN(2)/25)*AV121+(1-EXP(-LN(2)/25))/(LN(2)/25)*Calculateur!AQ122*Calculateur!AS122*VLOOKUP('Données projet'!$B$10,Paramètres!$A$1:$I$89,3,0)*0.475*44/12</f>
        <v>1.0424832883332362</v>
      </c>
      <c r="AW122" s="21">
        <f>EXP(-LN(2)/2)*AW121+(1-EXP(-LN(2)/2))/(LN(2)/2)*AQ122*AT122*VLOOKUP('Données projet'!$B$10,Paramètres!$A$1:$I$89,3,0)*0.475*44/12</f>
        <v>7.4329869524469066E-13</v>
      </c>
      <c r="AX122" s="21">
        <f t="shared" si="60"/>
        <v>1.4100337985026852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-1.7053025658242404E-13</v>
      </c>
      <c r="BE122" s="13">
        <f>BD122*VLOOKUP('Données projet'!$B$11,Paramètres!$A$1:$I$89,3,0)*VLOOKUP('Données projet'!$B$11,Paramètres!$A$1:$I$89,5,0)</f>
        <v>-1.0197709343628959E-13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243.85350804244348</v>
      </c>
      <c r="BJ122" s="59">
        <f t="shared" si="92"/>
        <v>304.60992308960545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0.77664500194768549</v>
      </c>
      <c r="BQ122" s="21">
        <f>EXP(-LN(2)/25)*BQ121+(1-EXP(-LN(2)/25))/(LN(2)/25)*Calculateur!BL122*Calculateur!BN122*VLOOKUP('Données projet'!$B$11,Paramètres!$A$1:$I$89,3,0)*0.475*44/12</f>
        <v>1.5031939680289954</v>
      </c>
      <c r="BR122" s="21">
        <f>EXP(-LN(2)/2)*BR121+(1-EXP(-LN(2)/2))/(LN(2)/2)*BL122*BO122*VLOOKUP('Données projet'!$B$11,Paramètres!$A$1:$I$89,3,0)*0.475*44/12</f>
        <v>1.502556487506159E-13</v>
      </c>
      <c r="BS122" s="22">
        <f t="shared" si="63"/>
        <v>2.2798389699768311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1.5961632016114892E-13</v>
      </c>
      <c r="P123" s="13">
        <f t="shared" si="87"/>
        <v>2.2708641912150958E-12</v>
      </c>
      <c r="Q123" s="20">
        <f t="shared" si="107"/>
        <v>4.2330868906469593E-12</v>
      </c>
      <c r="R123" s="59">
        <f t="shared" si="55"/>
        <v>293.33333333333752</v>
      </c>
      <c r="S123" s="59">
        <f ca="1">AVERAGE(OFFSET($R$3,0,0,'Données projet'!$E$9+1,1))-AVERAGE(OFFSET($H$3,0,0,'Données projet'!$E$9+1,1))</f>
        <v>158.58786357608489</v>
      </c>
      <c r="T123" s="59">
        <f t="shared" si="88"/>
        <v>163.20074068819849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0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497</v>
      </c>
      <c r="AJ123" s="13">
        <f>AI123*VLOOKUP('Données projet'!$B$10,Paramètres!$A$1:$I$89,3,0)*VLOOKUP('Données projet'!$B$10,Paramètres!$A$1:$I$89,5,0)</f>
        <v>297.20600000000002</v>
      </c>
      <c r="AK123" s="13">
        <f t="shared" si="89"/>
        <v>70.590415164571112</v>
      </c>
      <c r="AL123" s="20">
        <f t="shared" si="58"/>
        <v>640.57875641162809</v>
      </c>
      <c r="AM123" s="59">
        <f t="shared" si="59"/>
        <v>933.91208974496135</v>
      </c>
      <c r="AN123" s="59">
        <f ca="1">AVERAGE(OFFSET($AM$3,0,0,'Données projet'!$E$10+1,1))-AVERAGE(OFFSET($H$3,0,0,'Données projet'!$E$10+1,1))</f>
        <v>270.30888762640245</v>
      </c>
      <c r="AO123" s="59">
        <f t="shared" si="90"/>
        <v>202.23783851977691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0.36034306884797201</v>
      </c>
      <c r="AV123" s="21">
        <f>EXP(-LN(2)/25)*AV122+(1-EXP(-LN(2)/25))/(LN(2)/25)*Calculateur!AQ123*Calculateur!AS123*VLOOKUP('Données projet'!$B$10,Paramètres!$A$1:$I$89,3,0)*0.475*44/12</f>
        <v>1.0139765279919504</v>
      </c>
      <c r="AW123" s="21">
        <f>EXP(-LN(2)/2)*AW122+(1-EXP(-LN(2)/2))/(LN(2)/2)*AQ123*AT123*VLOOKUP('Données projet'!$B$10,Paramètres!$A$1:$I$89,3,0)*0.475*44/12</f>
        <v>5.2559154785463374E-13</v>
      </c>
      <c r="AX123" s="21">
        <f t="shared" si="60"/>
        <v>1.374319596840448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-1.7053025658242404E-13</v>
      </c>
      <c r="BE123" s="13">
        <f>BD123*VLOOKUP('Données projet'!$B$11,Paramètres!$A$1:$I$89,3,0)*VLOOKUP('Données projet'!$B$11,Paramètres!$A$1:$I$89,5,0)</f>
        <v>-1.0197709343628959E-13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243.85350804244348</v>
      </c>
      <c r="BJ123" s="59">
        <f t="shared" si="92"/>
        <v>304.60992308960545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0.76141546716616793</v>
      </c>
      <c r="BQ123" s="21">
        <f>EXP(-LN(2)/25)*BQ122+(1-EXP(-LN(2)/25))/(LN(2)/25)*Calculateur!BL123*Calculateur!BN123*VLOOKUP('Données projet'!$B$11,Paramètres!$A$1:$I$89,3,0)*0.475*44/12</f>
        <v>1.4620890499237074</v>
      </c>
      <c r="BR123" s="21">
        <f>EXP(-LN(2)/2)*BR122+(1-EXP(-LN(2)/2))/(LN(2)/2)*BL123*BO123*VLOOKUP('Données projet'!$B$11,Paramètres!$A$1:$I$89,3,0)*0.475*44/12</f>
        <v>1.062467881431445E-13</v>
      </c>
      <c r="BS123" s="22">
        <f t="shared" si="63"/>
        <v>2.2235045170899812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1.5961632016114892E-13</v>
      </c>
      <c r="P124" s="13">
        <f t="shared" si="87"/>
        <v>2.2708641912150958E-12</v>
      </c>
      <c r="Q124" s="20">
        <f t="shared" si="107"/>
        <v>4.2330868906469593E-12</v>
      </c>
      <c r="R124" s="59">
        <f t="shared" si="55"/>
        <v>293.33333333333752</v>
      </c>
      <c r="S124" s="59">
        <f ca="1">AVERAGE(OFFSET($R$3,0,0,'Données projet'!$E$9+1,1))-AVERAGE(OFFSET($H$3,0,0,'Données projet'!$E$9+1,1))</f>
        <v>158.58786357608489</v>
      </c>
      <c r="T124" s="59">
        <f t="shared" si="88"/>
        <v>163.20074068819849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0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497</v>
      </c>
      <c r="AJ124" s="13">
        <f>AI124*VLOOKUP('Données projet'!$B$10,Paramètres!$A$1:$I$89,3,0)*VLOOKUP('Données projet'!$B$10,Paramètres!$A$1:$I$89,5,0)</f>
        <v>297.20600000000002</v>
      </c>
      <c r="AK124" s="13">
        <f t="shared" si="89"/>
        <v>70.590415164571112</v>
      </c>
      <c r="AL124" s="20">
        <f t="shared" si="58"/>
        <v>640.57875641162809</v>
      </c>
      <c r="AM124" s="59">
        <f t="shared" si="59"/>
        <v>933.91208974496135</v>
      </c>
      <c r="AN124" s="59">
        <f ca="1">AVERAGE(OFFSET($AM$3,0,0,'Données projet'!$E$10+1,1))-AVERAGE(OFFSET($H$3,0,0,'Données projet'!$E$10+1,1))</f>
        <v>270.30888762640245</v>
      </c>
      <c r="AO124" s="59">
        <f t="shared" si="90"/>
        <v>202.23783851977691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0.35327696105543305</v>
      </c>
      <c r="AV124" s="21">
        <f>EXP(-LN(2)/25)*AV123+(1-EXP(-LN(2)/25))/(LN(2)/25)*Calculateur!AQ124*Calculateur!AS124*VLOOKUP('Données projet'!$B$10,Paramètres!$A$1:$I$89,3,0)*0.475*44/12</f>
        <v>0.98624928651130239</v>
      </c>
      <c r="AW124" s="21">
        <f>EXP(-LN(2)/2)*AW123+(1-EXP(-LN(2)/2))/(LN(2)/2)*AQ124*AT124*VLOOKUP('Données projet'!$B$10,Paramètres!$A$1:$I$89,3,0)*0.475*44/12</f>
        <v>3.7164934762234533E-13</v>
      </c>
      <c r="AX124" s="21">
        <f t="shared" si="60"/>
        <v>1.339526247567107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-1.7053025658242404E-13</v>
      </c>
      <c r="BE124" s="13">
        <f>BD124*VLOOKUP('Données projet'!$B$11,Paramètres!$A$1:$I$89,3,0)*VLOOKUP('Données projet'!$B$11,Paramètres!$A$1:$I$89,5,0)</f>
        <v>-1.0197709343628959E-13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243.85350804244348</v>
      </c>
      <c r="BJ124" s="59">
        <f t="shared" si="92"/>
        <v>304.60992308960545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0.74648457427261694</v>
      </c>
      <c r="BQ124" s="21">
        <f>EXP(-LN(2)/25)*BQ123+(1-EXP(-LN(2)/25))/(LN(2)/25)*Calculateur!BL124*Calculateur!BN124*VLOOKUP('Données projet'!$B$11,Paramètres!$A$1:$I$89,3,0)*0.475*44/12</f>
        <v>1.4221081479656221</v>
      </c>
      <c r="BR124" s="21">
        <f>EXP(-LN(2)/2)*BR123+(1-EXP(-LN(2)/2))/(LN(2)/2)*BL124*BO124*VLOOKUP('Données projet'!$B$11,Paramètres!$A$1:$I$89,3,0)*0.475*44/12</f>
        <v>7.5127824375307951E-14</v>
      </c>
      <c r="BS124" s="22">
        <f t="shared" si="63"/>
        <v>2.1685927222383143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1.5961632016114892E-13</v>
      </c>
      <c r="P125" s="13">
        <f t="shared" si="87"/>
        <v>2.2708641912150958E-12</v>
      </c>
      <c r="Q125" s="20">
        <f t="shared" si="107"/>
        <v>4.2330868906469593E-12</v>
      </c>
      <c r="R125" s="59">
        <f t="shared" si="55"/>
        <v>293.33333333333752</v>
      </c>
      <c r="S125" s="59">
        <f ca="1">AVERAGE(OFFSET($R$3,0,0,'Données projet'!$E$9+1,1))-AVERAGE(OFFSET($H$3,0,0,'Données projet'!$E$9+1,1))</f>
        <v>158.58786357608489</v>
      </c>
      <c r="T125" s="59">
        <f t="shared" si="88"/>
        <v>163.20074068819849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0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497</v>
      </c>
      <c r="AJ125" s="13">
        <f>AI125*VLOOKUP('Données projet'!$B$10,Paramètres!$A$1:$I$89,3,0)*VLOOKUP('Données projet'!$B$10,Paramètres!$A$1:$I$89,5,0)</f>
        <v>297.20600000000002</v>
      </c>
      <c r="AK125" s="13">
        <f t="shared" si="89"/>
        <v>70.590415164571112</v>
      </c>
      <c r="AL125" s="20">
        <f t="shared" si="58"/>
        <v>640.57875641162809</v>
      </c>
      <c r="AM125" s="59">
        <f t="shared" si="59"/>
        <v>933.91208974496135</v>
      </c>
      <c r="AN125" s="59">
        <f ca="1">AVERAGE(OFFSET($AM$3,0,0,'Données projet'!$E$10+1,1))-AVERAGE(OFFSET($H$3,0,0,'Données projet'!$E$10+1,1))</f>
        <v>270.30888762640245</v>
      </c>
      <c r="AO125" s="59">
        <f t="shared" si="90"/>
        <v>202.23783851977691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0.34634941532680558</v>
      </c>
      <c r="AV125" s="21">
        <f>EXP(-LN(2)/25)*AV124+(1-EXP(-LN(2)/25))/(LN(2)/25)*Calculateur!AQ125*Calculateur!AS125*VLOOKUP('Données projet'!$B$10,Paramètres!$A$1:$I$89,3,0)*0.475*44/12</f>
        <v>0.95928024790705491</v>
      </c>
      <c r="AW125" s="21">
        <f>EXP(-LN(2)/2)*AW124+(1-EXP(-LN(2)/2))/(LN(2)/2)*AQ125*AT125*VLOOKUP('Données projet'!$B$10,Paramètres!$A$1:$I$89,3,0)*0.475*44/12</f>
        <v>2.6279577392731687E-13</v>
      </c>
      <c r="AX125" s="21">
        <f t="shared" si="60"/>
        <v>1.3056296632341233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-1.7053025658242404E-13</v>
      </c>
      <c r="BE125" s="13">
        <f>BD125*VLOOKUP('Données projet'!$B$11,Paramètres!$A$1:$I$89,3,0)*VLOOKUP('Données projet'!$B$11,Paramètres!$A$1:$I$89,5,0)</f>
        <v>-1.0197709343628959E-13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243.85350804244348</v>
      </c>
      <c r="BJ125" s="59">
        <f t="shared" si="92"/>
        <v>304.60992308960545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0.73184646708176304</v>
      </c>
      <c r="BQ125" s="21">
        <f>EXP(-LN(2)/25)*BQ124+(1-EXP(-LN(2)/25))/(LN(2)/25)*Calculateur!BL125*Calculateur!BN125*VLOOKUP('Données projet'!$B$11,Paramètres!$A$1:$I$89,3,0)*0.475*44/12</f>
        <v>1.3832205258740851</v>
      </c>
      <c r="BR125" s="21">
        <f>EXP(-LN(2)/2)*BR124+(1-EXP(-LN(2)/2))/(LN(2)/2)*BL125*BO125*VLOOKUP('Données projet'!$B$11,Paramètres!$A$1:$I$89,3,0)*0.475*44/12</f>
        <v>5.3123394071572252E-14</v>
      </c>
      <c r="BS125" s="22">
        <f t="shared" si="63"/>
        <v>2.1150669929559012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1.5961632016114892E-13</v>
      </c>
      <c r="P126" s="13">
        <f t="shared" si="87"/>
        <v>2.2708641912150958E-12</v>
      </c>
      <c r="Q126" s="20">
        <f t="shared" si="107"/>
        <v>4.2330868906469593E-12</v>
      </c>
      <c r="R126" s="59">
        <f t="shared" si="55"/>
        <v>293.33333333333752</v>
      </c>
      <c r="S126" s="59">
        <f ca="1">AVERAGE(OFFSET($R$3,0,0,'Données projet'!$E$9+1,1))-AVERAGE(OFFSET($H$3,0,0,'Données projet'!$E$9+1,1))</f>
        <v>158.58786357608489</v>
      </c>
      <c r="T126" s="59">
        <f t="shared" si="88"/>
        <v>163.20074068819849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0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497</v>
      </c>
      <c r="AJ126" s="13">
        <f>AI126*VLOOKUP('Données projet'!$B$10,Paramètres!$A$1:$I$89,3,0)*VLOOKUP('Données projet'!$B$10,Paramètres!$A$1:$I$89,5,0)</f>
        <v>297.20600000000002</v>
      </c>
      <c r="AK126" s="13">
        <f t="shared" si="89"/>
        <v>70.590415164571112</v>
      </c>
      <c r="AL126" s="20">
        <f t="shared" si="58"/>
        <v>640.57875641162809</v>
      </c>
      <c r="AM126" s="59">
        <f t="shared" si="59"/>
        <v>933.91208974496135</v>
      </c>
      <c r="AN126" s="59">
        <f ca="1">AVERAGE(OFFSET($AM$3,0,0,'Données projet'!$E$10+1,1))-AVERAGE(OFFSET($H$3,0,0,'Données projet'!$E$10+1,1))</f>
        <v>270.30888762640245</v>
      </c>
      <c r="AO126" s="59">
        <f t="shared" si="90"/>
        <v>202.23783851977691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0.33955771454453082</v>
      </c>
      <c r="AV126" s="21">
        <f>EXP(-LN(2)/25)*AV125+(1-EXP(-LN(2)/25))/(LN(2)/25)*Calculateur!AQ126*Calculateur!AS126*VLOOKUP('Données projet'!$B$10,Paramètres!$A$1:$I$89,3,0)*0.475*44/12</f>
        <v>0.93304867908168077</v>
      </c>
      <c r="AW126" s="21">
        <f>EXP(-LN(2)/2)*AW125+(1-EXP(-LN(2)/2))/(LN(2)/2)*AQ126*AT126*VLOOKUP('Données projet'!$B$10,Paramètres!$A$1:$I$89,3,0)*0.475*44/12</f>
        <v>1.8582467381117266E-13</v>
      </c>
      <c r="AX126" s="21">
        <f t="shared" si="60"/>
        <v>1.2726063936263974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-1.7053025658242404E-13</v>
      </c>
      <c r="BE126" s="13">
        <f>BD126*VLOOKUP('Données projet'!$B$11,Paramètres!$A$1:$I$89,3,0)*VLOOKUP('Données projet'!$B$11,Paramètres!$A$1:$I$89,5,0)</f>
        <v>-1.0197709343628959E-13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243.85350804244348</v>
      </c>
      <c r="BJ126" s="59">
        <f t="shared" si="92"/>
        <v>304.60992308960545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0.71749540424455804</v>
      </c>
      <c r="BQ126" s="21">
        <f>EXP(-LN(2)/25)*BQ125+(1-EXP(-LN(2)/25))/(LN(2)/25)*Calculateur!BL126*Calculateur!BN126*VLOOKUP('Données projet'!$B$11,Paramètres!$A$1:$I$89,3,0)*0.475*44/12</f>
        <v>1.3453962878536521</v>
      </c>
      <c r="BR126" s="21">
        <f>EXP(-LN(2)/2)*BR125+(1-EXP(-LN(2)/2))/(LN(2)/2)*BL126*BO126*VLOOKUP('Données projet'!$B$11,Paramètres!$A$1:$I$89,3,0)*0.475*44/12</f>
        <v>3.7563912187653976E-14</v>
      </c>
      <c r="BS126" s="22">
        <f t="shared" si="63"/>
        <v>2.0628916920982481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1.5961632016114892E-13</v>
      </c>
      <c r="P127" s="13">
        <f t="shared" si="87"/>
        <v>2.2708641912150958E-12</v>
      </c>
      <c r="Q127" s="20">
        <f t="shared" si="107"/>
        <v>4.2330868906469593E-12</v>
      </c>
      <c r="R127" s="59">
        <f t="shared" si="55"/>
        <v>293.33333333333752</v>
      </c>
      <c r="S127" s="59">
        <f ca="1">AVERAGE(OFFSET($R$3,0,0,'Données projet'!$E$9+1,1))-AVERAGE(OFFSET($H$3,0,0,'Données projet'!$E$9+1,1))</f>
        <v>158.58786357608489</v>
      </c>
      <c r="T127" s="59">
        <f t="shared" si="88"/>
        <v>163.20074068819849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0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497</v>
      </c>
      <c r="AJ127" s="13">
        <f>AI127*VLOOKUP('Données projet'!$B$10,Paramètres!$A$1:$I$89,3,0)*VLOOKUP('Données projet'!$B$10,Paramètres!$A$1:$I$89,5,0)</f>
        <v>297.20600000000002</v>
      </c>
      <c r="AK127" s="13">
        <f t="shared" si="89"/>
        <v>70.590415164571112</v>
      </c>
      <c r="AL127" s="20">
        <f t="shared" si="58"/>
        <v>640.57875641162809</v>
      </c>
      <c r="AM127" s="59">
        <f t="shared" si="59"/>
        <v>933.91208974496135</v>
      </c>
      <c r="AN127" s="59">
        <f ca="1">AVERAGE(OFFSET($AM$3,0,0,'Données projet'!$E$10+1,1))-AVERAGE(OFFSET($H$3,0,0,'Données projet'!$E$10+1,1))</f>
        <v>270.30888762640245</v>
      </c>
      <c r="AO127" s="59">
        <f t="shared" si="90"/>
        <v>202.23783851977691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0.33289919487206804</v>
      </c>
      <c r="AV127" s="21">
        <f>EXP(-LN(2)/25)*AV126+(1-EXP(-LN(2)/25))/(LN(2)/25)*Calculateur!AQ127*Calculateur!AS127*VLOOKUP('Données projet'!$B$10,Paramètres!$A$1:$I$89,3,0)*0.475*44/12</f>
        <v>0.90753441388529466</v>
      </c>
      <c r="AW127" s="21">
        <f>EXP(-LN(2)/2)*AW126+(1-EXP(-LN(2)/2))/(LN(2)/2)*AQ127*AT127*VLOOKUP('Données projet'!$B$10,Paramètres!$A$1:$I$89,3,0)*0.475*44/12</f>
        <v>1.3139788696365844E-13</v>
      </c>
      <c r="AX127" s="21">
        <f t="shared" si="60"/>
        <v>1.2404336087574941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-1.7053025658242404E-13</v>
      </c>
      <c r="BE127" s="13">
        <f>BD127*VLOOKUP('Données projet'!$B$11,Paramètres!$A$1:$I$89,3,0)*VLOOKUP('Données projet'!$B$11,Paramètres!$A$1:$I$89,5,0)</f>
        <v>-1.0197709343628959E-13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243.85350804244348</v>
      </c>
      <c r="BJ127" s="59">
        <f t="shared" si="92"/>
        <v>304.60992308960545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0.70342575699630661</v>
      </c>
      <c r="BQ127" s="21">
        <f>EXP(-LN(2)/25)*BQ126+(1-EXP(-LN(2)/25))/(LN(2)/25)*Calculateur!BL127*Calculateur!BN127*VLOOKUP('Données projet'!$B$11,Paramètres!$A$1:$I$89,3,0)*0.475*44/12</f>
        <v>1.3086063556109782</v>
      </c>
      <c r="BR127" s="21">
        <f>EXP(-LN(2)/2)*BR126+(1-EXP(-LN(2)/2))/(LN(2)/2)*BL127*BO127*VLOOKUP('Données projet'!$B$11,Paramètres!$A$1:$I$89,3,0)*0.475*44/12</f>
        <v>2.6561697035786126E-14</v>
      </c>
      <c r="BS127" s="22">
        <f t="shared" si="63"/>
        <v>2.0120321126073115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1.5961632016114892E-13</v>
      </c>
      <c r="P128" s="13">
        <f t="shared" si="87"/>
        <v>2.2708641912150958E-12</v>
      </c>
      <c r="Q128" s="20">
        <f t="shared" si="107"/>
        <v>4.2330868906469593E-12</v>
      </c>
      <c r="R128" s="59">
        <f t="shared" si="55"/>
        <v>293.33333333333752</v>
      </c>
      <c r="S128" s="59">
        <f ca="1">AVERAGE(OFFSET($R$3,0,0,'Données projet'!$E$9+1,1))-AVERAGE(OFFSET($H$3,0,0,'Données projet'!$E$9+1,1))</f>
        <v>158.58786357608489</v>
      </c>
      <c r="T128" s="59">
        <f t="shared" si="88"/>
        <v>163.20074068819849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0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497</v>
      </c>
      <c r="AJ128" s="13">
        <f>AI128*VLOOKUP('Données projet'!$B$10,Paramètres!$A$1:$I$89,3,0)*VLOOKUP('Données projet'!$B$10,Paramètres!$A$1:$I$89,5,0)</f>
        <v>297.20600000000002</v>
      </c>
      <c r="AK128" s="13">
        <f t="shared" si="89"/>
        <v>70.590415164571112</v>
      </c>
      <c r="AL128" s="20">
        <f t="shared" si="58"/>
        <v>640.57875641162809</v>
      </c>
      <c r="AM128" s="59">
        <f t="shared" si="59"/>
        <v>933.91208974496135</v>
      </c>
      <c r="AN128" s="59">
        <f ca="1">AVERAGE(OFFSET($AM$3,0,0,'Données projet'!$E$10+1,1))-AVERAGE(OFFSET($H$3,0,0,'Données projet'!$E$10+1,1))</f>
        <v>270.30888762640245</v>
      </c>
      <c r="AO128" s="59">
        <f t="shared" si="90"/>
        <v>202.23783851977691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0.32637124470908629</v>
      </c>
      <c r="AV128" s="21">
        <f>EXP(-LN(2)/25)*AV127+(1-EXP(-LN(2)/25))/(LN(2)/25)*Calculateur!AQ128*Calculateur!AS128*VLOOKUP('Données projet'!$B$10,Paramètres!$A$1:$I$89,3,0)*0.475*44/12</f>
        <v>0.8827178376124406</v>
      </c>
      <c r="AW128" s="21">
        <f>EXP(-LN(2)/2)*AW127+(1-EXP(-LN(2)/2))/(LN(2)/2)*AQ128*AT128*VLOOKUP('Données projet'!$B$10,Paramètres!$A$1:$I$89,3,0)*0.475*44/12</f>
        <v>9.2912336905586332E-14</v>
      </c>
      <c r="AX128" s="21">
        <f t="shared" si="60"/>
        <v>1.2090890823216198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-1.7053025658242404E-13</v>
      </c>
      <c r="BE128" s="13">
        <f>BD128*VLOOKUP('Données projet'!$B$11,Paramètres!$A$1:$I$89,3,0)*VLOOKUP('Données projet'!$B$11,Paramètres!$A$1:$I$89,5,0)</f>
        <v>-1.0197709343628959E-13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243.85350804244348</v>
      </c>
      <c r="BJ128" s="59">
        <f t="shared" si="92"/>
        <v>304.60992308960545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0.68963200694895588</v>
      </c>
      <c r="BQ128" s="21">
        <f>EXP(-LN(2)/25)*BQ127+(1-EXP(-LN(2)/25))/(LN(2)/25)*Calculateur!BL128*Calculateur!BN128*VLOOKUP('Données projet'!$B$11,Paramètres!$A$1:$I$89,3,0)*0.475*44/12</f>
        <v>1.2728224460001787</v>
      </c>
      <c r="BR128" s="21">
        <f>EXP(-LN(2)/2)*BR127+(1-EXP(-LN(2)/2))/(LN(2)/2)*BL128*BO128*VLOOKUP('Données projet'!$B$11,Paramètres!$A$1:$I$89,3,0)*0.475*44/12</f>
        <v>1.8781956093826988E-14</v>
      </c>
      <c r="BS128" s="22">
        <f t="shared" si="63"/>
        <v>1.9624544529491534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1.5961632016114892E-13</v>
      </c>
      <c r="P129" s="13">
        <f t="shared" si="87"/>
        <v>2.2708641912150958E-12</v>
      </c>
      <c r="Q129" s="20">
        <f t="shared" si="107"/>
        <v>4.2330868906469593E-12</v>
      </c>
      <c r="R129" s="59">
        <f t="shared" si="55"/>
        <v>293.33333333333752</v>
      </c>
      <c r="S129" s="59">
        <f ca="1">AVERAGE(OFFSET($R$3,0,0,'Données projet'!$E$9+1,1))-AVERAGE(OFFSET($H$3,0,0,'Données projet'!$E$9+1,1))</f>
        <v>158.58786357608489</v>
      </c>
      <c r="T129" s="59">
        <f t="shared" si="88"/>
        <v>163.20074068819849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0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497</v>
      </c>
      <c r="AJ129" s="13">
        <f>AI129*VLOOKUP('Données projet'!$B$10,Paramètres!$A$1:$I$89,3,0)*VLOOKUP('Données projet'!$B$10,Paramètres!$A$1:$I$89,5,0)</f>
        <v>297.20600000000002</v>
      </c>
      <c r="AK129" s="13">
        <f t="shared" si="89"/>
        <v>70.590415164571112</v>
      </c>
      <c r="AL129" s="20">
        <f t="shared" si="58"/>
        <v>640.57875641162809</v>
      </c>
      <c r="AM129" s="59">
        <f t="shared" si="59"/>
        <v>933.91208974496135</v>
      </c>
      <c r="AN129" s="59">
        <f ca="1">AVERAGE(OFFSET($AM$3,0,0,'Données projet'!$E$10+1,1))-AVERAGE(OFFSET($H$3,0,0,'Données projet'!$E$10+1,1))</f>
        <v>270.30888762640245</v>
      </c>
      <c r="AO129" s="59">
        <f t="shared" si="90"/>
        <v>202.23783851977691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0.31997130366714416</v>
      </c>
      <c r="AV129" s="21">
        <f>EXP(-LN(2)/25)*AV128+(1-EXP(-LN(2)/25))/(LN(2)/25)*Calculateur!AQ129*Calculateur!AS129*VLOOKUP('Données projet'!$B$10,Paramètres!$A$1:$I$89,3,0)*0.475*44/12</f>
        <v>0.85857987192281482</v>
      </c>
      <c r="AW129" s="21">
        <f>EXP(-LN(2)/2)*AW128+(1-EXP(-LN(2)/2))/(LN(2)/2)*AQ129*AT129*VLOOKUP('Données projet'!$B$10,Paramètres!$A$1:$I$89,3,0)*0.475*44/12</f>
        <v>6.5698943481829218E-14</v>
      </c>
      <c r="AX129" s="21">
        <f t="shared" si="60"/>
        <v>1.1785511755900246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-1.7053025658242404E-13</v>
      </c>
      <c r="BE129" s="13">
        <f>BD129*VLOOKUP('Données projet'!$B$11,Paramètres!$A$1:$I$89,3,0)*VLOOKUP('Données projet'!$B$11,Paramètres!$A$1:$I$89,5,0)</f>
        <v>-1.0197709343628959E-13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243.85350804244348</v>
      </c>
      <c r="BJ129" s="59">
        <f t="shared" si="92"/>
        <v>304.60992308960545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0.67610874392667697</v>
      </c>
      <c r="BQ129" s="21">
        <f>EXP(-LN(2)/25)*BQ128+(1-EXP(-LN(2)/25))/(LN(2)/25)*Calculateur!BL129*Calculateur!BN129*VLOOKUP('Données projet'!$B$11,Paramètres!$A$1:$I$89,3,0)*0.475*44/12</f>
        <v>1.2380170492794804</v>
      </c>
      <c r="BR129" s="21">
        <f>EXP(-LN(2)/2)*BR128+(1-EXP(-LN(2)/2))/(LN(2)/2)*BL129*BO129*VLOOKUP('Données projet'!$B$11,Paramètres!$A$1:$I$89,3,0)*0.475*44/12</f>
        <v>1.3280848517893063E-14</v>
      </c>
      <c r="BS129" s="22">
        <f t="shared" si="63"/>
        <v>1.9141257932061708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1.5961632016114892E-13</v>
      </c>
      <c r="P130" s="13">
        <f t="shared" si="87"/>
        <v>2.2708641912150958E-12</v>
      </c>
      <c r="Q130" s="20">
        <f t="shared" si="107"/>
        <v>4.2330868906469593E-12</v>
      </c>
      <c r="R130" s="59">
        <f t="shared" si="55"/>
        <v>293.33333333333752</v>
      </c>
      <c r="S130" s="59">
        <f ca="1">AVERAGE(OFFSET($R$3,0,0,'Données projet'!$E$9+1,1))-AVERAGE(OFFSET($H$3,0,0,'Données projet'!$E$9+1,1))</f>
        <v>158.58786357608489</v>
      </c>
      <c r="T130" s="59">
        <f t="shared" si="88"/>
        <v>163.20074068819849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0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497</v>
      </c>
      <c r="AJ130" s="13">
        <f>AI130*VLOOKUP('Données projet'!$B$10,Paramètres!$A$1:$I$89,3,0)*VLOOKUP('Données projet'!$B$10,Paramètres!$A$1:$I$89,5,0)</f>
        <v>297.20600000000002</v>
      </c>
      <c r="AK130" s="13">
        <f t="shared" si="89"/>
        <v>70.590415164571112</v>
      </c>
      <c r="AL130" s="20">
        <f t="shared" si="58"/>
        <v>640.57875641162809</v>
      </c>
      <c r="AM130" s="59">
        <f t="shared" si="59"/>
        <v>933.91208974496135</v>
      </c>
      <c r="AN130" s="59">
        <f ca="1">AVERAGE(OFFSET($AM$3,0,0,'Données projet'!$E$10+1,1))-AVERAGE(OFFSET($H$3,0,0,'Données projet'!$E$10+1,1))</f>
        <v>270.30888762640245</v>
      </c>
      <c r="AO130" s="59">
        <f t="shared" si="90"/>
        <v>202.23783851977691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0.31369686156545595</v>
      </c>
      <c r="AV130" s="21">
        <f>EXP(-LN(2)/25)*AV129+(1-EXP(-LN(2)/25))/(LN(2)/25)*Calculateur!AQ130*Calculateur!AS130*VLOOKUP('Données projet'!$B$10,Paramètres!$A$1:$I$89,3,0)*0.475*44/12</f>
        <v>0.83510196017433225</v>
      </c>
      <c r="AW130" s="21">
        <f>EXP(-LN(2)/2)*AW129+(1-EXP(-LN(2)/2))/(LN(2)/2)*AQ130*AT130*VLOOKUP('Données projet'!$B$10,Paramètres!$A$1:$I$89,3,0)*0.475*44/12</f>
        <v>4.6456168452793166E-14</v>
      </c>
      <c r="AX130" s="21">
        <f t="shared" si="60"/>
        <v>1.1487988217398346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-1.7053025658242404E-13</v>
      </c>
      <c r="BE130" s="13">
        <f>BD130*VLOOKUP('Données projet'!$B$11,Paramètres!$A$1:$I$89,3,0)*VLOOKUP('Données projet'!$B$11,Paramètres!$A$1:$I$89,5,0)</f>
        <v>-1.0197709343628959E-13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243.85350804244348</v>
      </c>
      <c r="BJ130" s="59">
        <f t="shared" si="92"/>
        <v>304.60992308960545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0.66285066384388891</v>
      </c>
      <c r="BQ130" s="21">
        <f>EXP(-LN(2)/25)*BQ129+(1-EXP(-LN(2)/25))/(LN(2)/25)*Calculateur!BL130*Calculateur!BN130*VLOOKUP('Données projet'!$B$11,Paramètres!$A$1:$I$89,3,0)*0.475*44/12</f>
        <v>1.2041634079624459</v>
      </c>
      <c r="BR130" s="21">
        <f>EXP(-LN(2)/2)*BR129+(1-EXP(-LN(2)/2))/(LN(2)/2)*BL130*BO130*VLOOKUP('Données projet'!$B$11,Paramètres!$A$1:$I$89,3,0)*0.475*44/12</f>
        <v>9.3909780469134939E-15</v>
      </c>
      <c r="BS130" s="22">
        <f t="shared" si="63"/>
        <v>1.8670140718063442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1.5961632016114892E-13</v>
      </c>
      <c r="P131" s="13">
        <f t="shared" si="87"/>
        <v>2.2708641912150958E-12</v>
      </c>
      <c r="Q131" s="20">
        <f t="shared" ref="Q131:Q153" si="108">(O131+P131)*0.475*44/12</f>
        <v>4.2330868906469593E-12</v>
      </c>
      <c r="R131" s="59">
        <f t="shared" ref="R131:R194" si="109">Q131+(I131+J131)*44/12</f>
        <v>293.33333333333752</v>
      </c>
      <c r="S131" s="59">
        <f ca="1">AVERAGE(OFFSET($R$3,0,0,'Données projet'!$E$9+1,1))-AVERAGE(OFFSET($H$3,0,0,'Données projet'!$E$9+1,1))</f>
        <v>158.58786357608489</v>
      </c>
      <c r="T131" s="59">
        <f t="shared" si="88"/>
        <v>163.20074068819849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0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497</v>
      </c>
      <c r="AJ131" s="13">
        <f>AI131*VLOOKUP('Données projet'!$B$10,Paramètres!$A$1:$I$89,3,0)*VLOOKUP('Données projet'!$B$10,Paramètres!$A$1:$I$89,5,0)</f>
        <v>297.20600000000002</v>
      </c>
      <c r="AK131" s="13">
        <f t="shared" si="89"/>
        <v>70.590415164571112</v>
      </c>
      <c r="AL131" s="20">
        <f t="shared" si="58"/>
        <v>640.57875641162809</v>
      </c>
      <c r="AM131" s="59">
        <f t="shared" si="59"/>
        <v>933.91208974496135</v>
      </c>
      <c r="AN131" s="59">
        <f ca="1">AVERAGE(OFFSET($AM$3,0,0,'Données projet'!$E$10+1,1))-AVERAGE(OFFSET($H$3,0,0,'Données projet'!$E$10+1,1))</f>
        <v>270.30888762640245</v>
      </c>
      <c r="AO131" s="59">
        <f t="shared" si="90"/>
        <v>202.23783851977691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0.30754545744635003</v>
      </c>
      <c r="AV131" s="21">
        <f>EXP(-LN(2)/25)*AV130+(1-EXP(-LN(2)/25))/(LN(2)/25)*Calculateur!AQ131*Calculateur!AS131*VLOOKUP('Données projet'!$B$10,Paramètres!$A$1:$I$89,3,0)*0.475*44/12</f>
        <v>0.81226605315726175</v>
      </c>
      <c r="AW131" s="21">
        <f>EXP(-LN(2)/2)*AW130+(1-EXP(-LN(2)/2))/(LN(2)/2)*AQ131*AT131*VLOOKUP('Données projet'!$B$10,Paramètres!$A$1:$I$89,3,0)*0.475*44/12</f>
        <v>3.2849471740914609E-14</v>
      </c>
      <c r="AX131" s="21">
        <f t="shared" si="60"/>
        <v>1.1198115106036446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-1.7053025658242404E-13</v>
      </c>
      <c r="BE131" s="13">
        <f>BD131*VLOOKUP('Données projet'!$B$11,Paramètres!$A$1:$I$89,3,0)*VLOOKUP('Données projet'!$B$11,Paramètres!$A$1:$I$89,5,0)</f>
        <v>-1.0197709343628959E-13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243.85350804244348</v>
      </c>
      <c r="BJ131" s="59">
        <f t="shared" si="92"/>
        <v>304.60992308960545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0.64985256662489399</v>
      </c>
      <c r="BQ131" s="21">
        <f>EXP(-LN(2)/25)*BQ130+(1-EXP(-LN(2)/25))/(LN(2)/25)*Calculateur!BL131*Calculateur!BN131*VLOOKUP('Données projet'!$B$11,Paramètres!$A$1:$I$89,3,0)*0.475*44/12</f>
        <v>1.1712354962475113</v>
      </c>
      <c r="BR131" s="21">
        <f>EXP(-LN(2)/2)*BR130+(1-EXP(-LN(2)/2))/(LN(2)/2)*BL131*BO131*VLOOKUP('Données projet'!$B$11,Paramètres!$A$1:$I$89,3,0)*0.475*44/12</f>
        <v>6.6404242589465314E-15</v>
      </c>
      <c r="BS131" s="22">
        <f t="shared" si="63"/>
        <v>1.821088062872412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1.5961632016114892E-13</v>
      </c>
      <c r="P132" s="13">
        <f t="shared" si="87"/>
        <v>2.2708641912150958E-12</v>
      </c>
      <c r="Q132" s="20">
        <f t="shared" si="108"/>
        <v>4.2330868906469593E-12</v>
      </c>
      <c r="R132" s="59">
        <f t="shared" si="109"/>
        <v>293.33333333333752</v>
      </c>
      <c r="S132" s="59">
        <f ca="1">AVERAGE(OFFSET($R$3,0,0,'Données projet'!$E$9+1,1))-AVERAGE(OFFSET($H$3,0,0,'Données projet'!$E$9+1,1))</f>
        <v>158.58786357608489</v>
      </c>
      <c r="T132" s="59">
        <f t="shared" si="88"/>
        <v>163.20074068819849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0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497</v>
      </c>
      <c r="AJ132" s="13">
        <f>AI132*VLOOKUP('Données projet'!$B$10,Paramètres!$A$1:$I$89,3,0)*VLOOKUP('Données projet'!$B$10,Paramètres!$A$1:$I$89,5,0)</f>
        <v>297.20600000000002</v>
      </c>
      <c r="AK132" s="13">
        <f t="shared" si="89"/>
        <v>70.590415164571112</v>
      </c>
      <c r="AL132" s="20">
        <f t="shared" ref="AL132:AL153" si="112">(AJ132+AK132)*0.475*44/12</f>
        <v>640.57875641162809</v>
      </c>
      <c r="AM132" s="59">
        <f t="shared" ref="AM132:AM195" si="113">AL132+(AD132+AE132)*44/12</f>
        <v>933.91208974496135</v>
      </c>
      <c r="AN132" s="59">
        <f ca="1">AVERAGE(OFFSET($AM$3,0,0,'Données projet'!$E$10+1,1))-AVERAGE(OFFSET($H$3,0,0,'Données projet'!$E$10+1,1))</f>
        <v>270.30888762640245</v>
      </c>
      <c r="AO132" s="59">
        <f t="shared" si="90"/>
        <v>202.23783851977691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0.30151467861003373</v>
      </c>
      <c r="AV132" s="21">
        <f>EXP(-LN(2)/25)*AV131+(1-EXP(-LN(2)/25))/(LN(2)/25)*Calculateur!AQ132*Calculateur!AS132*VLOOKUP('Données projet'!$B$10,Paramètres!$A$1:$I$89,3,0)*0.475*44/12</f>
        <v>0.79005459521846111</v>
      </c>
      <c r="AW132" s="21">
        <f>EXP(-LN(2)/2)*AW131+(1-EXP(-LN(2)/2))/(LN(2)/2)*AQ132*AT132*VLOOKUP('Données projet'!$B$10,Paramètres!$A$1:$I$89,3,0)*0.475*44/12</f>
        <v>2.3228084226396583E-14</v>
      </c>
      <c r="AX132" s="21">
        <f t="shared" ref="AX132:AX153" si="114">SUM(AU132:AW132)</f>
        <v>1.0915692738285181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-1.7053025658242404E-13</v>
      </c>
      <c r="BE132" s="13">
        <f>BD132*VLOOKUP('Données projet'!$B$11,Paramètres!$A$1:$I$89,3,0)*VLOOKUP('Données projet'!$B$11,Paramètres!$A$1:$I$89,5,0)</f>
        <v>-1.0197709343628959E-13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243.85350804244348</v>
      </c>
      <c r="BJ132" s="59">
        <f t="shared" si="92"/>
        <v>304.60992308960545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0.63710935416430703</v>
      </c>
      <c r="BQ132" s="21">
        <f>EXP(-LN(2)/25)*BQ131+(1-EXP(-LN(2)/25))/(LN(2)/25)*Calculateur!BL132*Calculateur!BN132*VLOOKUP('Données projet'!$B$11,Paramètres!$A$1:$I$89,3,0)*0.475*44/12</f>
        <v>1.1392080000100253</v>
      </c>
      <c r="BR132" s="21">
        <f>EXP(-LN(2)/2)*BR131+(1-EXP(-LN(2)/2))/(LN(2)/2)*BL132*BO132*VLOOKUP('Données projet'!$B$11,Paramètres!$A$1:$I$89,3,0)*0.475*44/12</f>
        <v>4.695489023456747E-15</v>
      </c>
      <c r="BS132" s="22">
        <f t="shared" ref="BS132:BS153" si="117">SUM(BP132:BR132)</f>
        <v>1.7763173541743369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1.5961632016114892E-13</v>
      </c>
      <c r="P133" s="13">
        <f t="shared" ref="P133:P196" si="141">EXP(-1.0587+0.8836*LN(O133)+0.284)</f>
        <v>2.2708641912150958E-12</v>
      </c>
      <c r="Q133" s="20">
        <f t="shared" si="108"/>
        <v>4.2330868906469593E-12</v>
      </c>
      <c r="R133" s="59">
        <f t="shared" si="109"/>
        <v>293.33333333333752</v>
      </c>
      <c r="S133" s="59">
        <f ca="1">AVERAGE(OFFSET($R$3,0,0,'Données projet'!$E$9+1,1))-AVERAGE(OFFSET($H$3,0,0,'Données projet'!$E$9+1,1))</f>
        <v>158.58786357608489</v>
      </c>
      <c r="T133" s="59">
        <f t="shared" ref="T133:T196" si="142">$T$3</f>
        <v>163.20074068819849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0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497</v>
      </c>
      <c r="AJ133" s="13">
        <f>AI133*VLOOKUP('Données projet'!$B$10,Paramètres!$A$1:$I$89,3,0)*VLOOKUP('Données projet'!$B$10,Paramètres!$A$1:$I$89,5,0)</f>
        <v>297.20600000000002</v>
      </c>
      <c r="AK133" s="13">
        <f t="shared" ref="AK133:AK153" si="143">EXP(-1.0587+0.8836*LN(AJ133)+0.284)</f>
        <v>70.590415164571112</v>
      </c>
      <c r="AL133" s="20">
        <f t="shared" si="112"/>
        <v>640.57875641162809</v>
      </c>
      <c r="AM133" s="59">
        <f t="shared" si="113"/>
        <v>933.91208974496135</v>
      </c>
      <c r="AN133" s="59">
        <f ca="1">AVERAGE(OFFSET($AM$3,0,0,'Données projet'!$E$10+1,1))-AVERAGE(OFFSET($H$3,0,0,'Données projet'!$E$10+1,1))</f>
        <v>270.30888762640245</v>
      </c>
      <c r="AO133" s="59">
        <f t="shared" ref="AO133:AO196" si="144">$AO$3</f>
        <v>202.23783851977691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0.29560215966828574</v>
      </c>
      <c r="AV133" s="21">
        <f>EXP(-LN(2)/25)*AV132+(1-EXP(-LN(2)/25))/(LN(2)/25)*Calculateur!AQ133*Calculateur!AS133*VLOOKUP('Données projet'!$B$10,Paramètres!$A$1:$I$89,3,0)*0.475*44/12</f>
        <v>0.76845051076504678</v>
      </c>
      <c r="AW133" s="21">
        <f>EXP(-LN(2)/2)*AW132+(1-EXP(-LN(2)/2))/(LN(2)/2)*AQ133*AT133*VLOOKUP('Données projet'!$B$10,Paramètres!$A$1:$I$89,3,0)*0.475*44/12</f>
        <v>1.6424735870457305E-14</v>
      </c>
      <c r="AX133" s="21">
        <f t="shared" si="114"/>
        <v>1.0640526704333491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-1.7053025658242404E-13</v>
      </c>
      <c r="BE133" s="13">
        <f>BD133*VLOOKUP('Données projet'!$B$11,Paramètres!$A$1:$I$89,3,0)*VLOOKUP('Données projet'!$B$11,Paramètres!$A$1:$I$89,5,0)</f>
        <v>-1.0197709343628959E-13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243.85350804244348</v>
      </c>
      <c r="BJ133" s="59">
        <f t="shared" ref="BJ133:BJ196" si="146">$BJ$3</f>
        <v>304.60992308960545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0.62461602832748009</v>
      </c>
      <c r="BQ133" s="21">
        <f>EXP(-LN(2)/25)*BQ132+(1-EXP(-LN(2)/25))/(LN(2)/25)*Calculateur!BL133*Calculateur!BN133*VLOOKUP('Données projet'!$B$11,Paramètres!$A$1:$I$89,3,0)*0.475*44/12</f>
        <v>1.1080562973414061</v>
      </c>
      <c r="BR133" s="21">
        <f>EXP(-LN(2)/2)*BR132+(1-EXP(-LN(2)/2))/(LN(2)/2)*BL133*BO133*VLOOKUP('Données projet'!$B$11,Paramètres!$A$1:$I$89,3,0)*0.475*44/12</f>
        <v>3.3202121294732657E-15</v>
      </c>
      <c r="BS133" s="22">
        <f t="shared" si="117"/>
        <v>1.7326723256688894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1.5961632016114892E-13</v>
      </c>
      <c r="P134" s="13">
        <f t="shared" si="141"/>
        <v>2.2708641912150958E-12</v>
      </c>
      <c r="Q134" s="20">
        <f t="shared" si="108"/>
        <v>4.2330868906469593E-12</v>
      </c>
      <c r="R134" s="59">
        <f t="shared" si="109"/>
        <v>293.33333333333752</v>
      </c>
      <c r="S134" s="59">
        <f ca="1">AVERAGE(OFFSET($R$3,0,0,'Données projet'!$E$9+1,1))-AVERAGE(OFFSET($H$3,0,0,'Données projet'!$E$9+1,1))</f>
        <v>158.58786357608489</v>
      </c>
      <c r="T134" s="59">
        <f t="shared" si="142"/>
        <v>163.20074068819849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0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497</v>
      </c>
      <c r="AJ134" s="13">
        <f>AI134*VLOOKUP('Données projet'!$B$10,Paramètres!$A$1:$I$89,3,0)*VLOOKUP('Données projet'!$B$10,Paramètres!$A$1:$I$89,5,0)</f>
        <v>297.20600000000002</v>
      </c>
      <c r="AK134" s="13">
        <f t="shared" si="143"/>
        <v>70.590415164571112</v>
      </c>
      <c r="AL134" s="20">
        <f t="shared" si="112"/>
        <v>640.57875641162809</v>
      </c>
      <c r="AM134" s="59">
        <f t="shared" si="113"/>
        <v>933.91208974496135</v>
      </c>
      <c r="AN134" s="59">
        <f ca="1">AVERAGE(OFFSET($AM$3,0,0,'Données projet'!$E$10+1,1))-AVERAGE(OFFSET($H$3,0,0,'Données projet'!$E$10+1,1))</f>
        <v>270.30888762640245</v>
      </c>
      <c r="AO134" s="59">
        <f t="shared" si="144"/>
        <v>202.23783851977691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0.28980558161670494</v>
      </c>
      <c r="AV134" s="21">
        <f>EXP(-LN(2)/25)*AV133+(1-EXP(-LN(2)/25))/(LN(2)/25)*Calculateur!AQ134*Calculateur!AS134*VLOOKUP('Données projet'!$B$10,Paramètres!$A$1:$I$89,3,0)*0.475*44/12</f>
        <v>0.74743719113712048</v>
      </c>
      <c r="AW134" s="21">
        <f>EXP(-LN(2)/2)*AW133+(1-EXP(-LN(2)/2))/(LN(2)/2)*AQ134*AT134*VLOOKUP('Données projet'!$B$10,Paramètres!$A$1:$I$89,3,0)*0.475*44/12</f>
        <v>1.1614042113198291E-14</v>
      </c>
      <c r="AX134" s="21">
        <f t="shared" si="114"/>
        <v>1.0372427727538369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-1.7053025658242404E-13</v>
      </c>
      <c r="BE134" s="13">
        <f>BD134*VLOOKUP('Données projet'!$B$11,Paramètres!$A$1:$I$89,3,0)*VLOOKUP('Données projet'!$B$11,Paramètres!$A$1:$I$89,5,0)</f>
        <v>-1.0197709343628959E-13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243.85350804244348</v>
      </c>
      <c r="BJ134" s="59">
        <f t="shared" si="146"/>
        <v>304.60992308960545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0.61236768899013705</v>
      </c>
      <c r="BQ134" s="21">
        <f>EXP(-LN(2)/25)*BQ133+(1-EXP(-LN(2)/25))/(LN(2)/25)*Calculateur!BL134*Calculateur!BN134*VLOOKUP('Données projet'!$B$11,Paramètres!$A$1:$I$89,3,0)*0.475*44/12</f>
        <v>1.0777564396204571</v>
      </c>
      <c r="BR134" s="21">
        <f>EXP(-LN(2)/2)*BR133+(1-EXP(-LN(2)/2))/(LN(2)/2)*BL134*BO134*VLOOKUP('Données projet'!$B$11,Paramètres!$A$1:$I$89,3,0)*0.475*44/12</f>
        <v>2.3477445117283735E-15</v>
      </c>
      <c r="BS134" s="22">
        <f t="shared" si="117"/>
        <v>1.6901241286105966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1.5961632016114892E-13</v>
      </c>
      <c r="P135" s="13">
        <f t="shared" si="141"/>
        <v>2.2708641912150958E-12</v>
      </c>
      <c r="Q135" s="20">
        <f t="shared" si="108"/>
        <v>4.2330868906469593E-12</v>
      </c>
      <c r="R135" s="59">
        <f t="shared" si="109"/>
        <v>293.33333333333752</v>
      </c>
      <c r="S135" s="59">
        <f ca="1">AVERAGE(OFFSET($R$3,0,0,'Données projet'!$E$9+1,1))-AVERAGE(OFFSET($H$3,0,0,'Données projet'!$E$9+1,1))</f>
        <v>158.58786357608489</v>
      </c>
      <c r="T135" s="59">
        <f t="shared" si="142"/>
        <v>163.20074068819849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0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497</v>
      </c>
      <c r="AJ135" s="13">
        <f>AI135*VLOOKUP('Données projet'!$B$10,Paramètres!$A$1:$I$89,3,0)*VLOOKUP('Données projet'!$B$10,Paramètres!$A$1:$I$89,5,0)</f>
        <v>297.20600000000002</v>
      </c>
      <c r="AK135" s="13">
        <f t="shared" si="143"/>
        <v>70.590415164571112</v>
      </c>
      <c r="AL135" s="20">
        <f t="shared" si="112"/>
        <v>640.57875641162809</v>
      </c>
      <c r="AM135" s="59">
        <f t="shared" si="113"/>
        <v>933.91208974496135</v>
      </c>
      <c r="AN135" s="59">
        <f ca="1">AVERAGE(OFFSET($AM$3,0,0,'Données projet'!$E$10+1,1))-AVERAGE(OFFSET($H$3,0,0,'Données projet'!$E$10+1,1))</f>
        <v>270.30888762640245</v>
      </c>
      <c r="AO135" s="59">
        <f t="shared" si="144"/>
        <v>202.23783851977691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0.28412267092515214</v>
      </c>
      <c r="AV135" s="21">
        <f>EXP(-LN(2)/25)*AV134+(1-EXP(-LN(2)/25))/(LN(2)/25)*Calculateur!AQ135*Calculateur!AS135*VLOOKUP('Données projet'!$B$10,Paramètres!$A$1:$I$89,3,0)*0.475*44/12</f>
        <v>0.72699848183946236</v>
      </c>
      <c r="AW135" s="21">
        <f>EXP(-LN(2)/2)*AW134+(1-EXP(-LN(2)/2))/(LN(2)/2)*AQ135*AT135*VLOOKUP('Données projet'!$B$10,Paramètres!$A$1:$I$89,3,0)*0.475*44/12</f>
        <v>8.2123679352286523E-15</v>
      </c>
      <c r="AX135" s="21">
        <f t="shared" si="114"/>
        <v>1.0111211527646227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-1.7053025658242404E-13</v>
      </c>
      <c r="BE135" s="13">
        <f>BD135*VLOOKUP('Données projet'!$B$11,Paramètres!$A$1:$I$89,3,0)*VLOOKUP('Données projet'!$B$11,Paramètres!$A$1:$I$89,5,0)</f>
        <v>-1.0197709343628959E-13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243.85350804244348</v>
      </c>
      <c r="BJ135" s="59">
        <f t="shared" si="146"/>
        <v>304.60992308960545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0.60035953211644999</v>
      </c>
      <c r="BQ135" s="21">
        <f>EXP(-LN(2)/25)*BQ134+(1-EXP(-LN(2)/25))/(LN(2)/25)*Calculateur!BL135*Calculateur!BN135*VLOOKUP('Données projet'!$B$11,Paramètres!$A$1:$I$89,3,0)*0.475*44/12</f>
        <v>1.0482851331022878</v>
      </c>
      <c r="BR135" s="21">
        <f>EXP(-LN(2)/2)*BR134+(1-EXP(-LN(2)/2))/(LN(2)/2)*BL135*BO135*VLOOKUP('Données projet'!$B$11,Paramètres!$A$1:$I$89,3,0)*0.475*44/12</f>
        <v>1.6601060647366329E-15</v>
      </c>
      <c r="BS135" s="22">
        <f t="shared" si="117"/>
        <v>1.6486446652187394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1.5961632016114892E-13</v>
      </c>
      <c r="P136" s="13">
        <f t="shared" si="141"/>
        <v>2.2708641912150958E-12</v>
      </c>
      <c r="Q136" s="20">
        <f t="shared" si="108"/>
        <v>4.2330868906469593E-12</v>
      </c>
      <c r="R136" s="59">
        <f t="shared" si="109"/>
        <v>293.33333333333752</v>
      </c>
      <c r="S136" s="59">
        <f ca="1">AVERAGE(OFFSET($R$3,0,0,'Données projet'!$E$9+1,1))-AVERAGE(OFFSET($H$3,0,0,'Données projet'!$E$9+1,1))</f>
        <v>158.58786357608489</v>
      </c>
      <c r="T136" s="59">
        <f t="shared" si="142"/>
        <v>163.20074068819849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0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497</v>
      </c>
      <c r="AJ136" s="13">
        <f>AI136*VLOOKUP('Données projet'!$B$10,Paramètres!$A$1:$I$89,3,0)*VLOOKUP('Données projet'!$B$10,Paramètres!$A$1:$I$89,5,0)</f>
        <v>297.20600000000002</v>
      </c>
      <c r="AK136" s="13">
        <f t="shared" si="143"/>
        <v>70.590415164571112</v>
      </c>
      <c r="AL136" s="20">
        <f t="shared" si="112"/>
        <v>640.57875641162809</v>
      </c>
      <c r="AM136" s="59">
        <f t="shared" si="113"/>
        <v>933.91208974496135</v>
      </c>
      <c r="AN136" s="59">
        <f ca="1">AVERAGE(OFFSET($AM$3,0,0,'Données projet'!$E$10+1,1))-AVERAGE(OFFSET($H$3,0,0,'Données projet'!$E$10+1,1))</f>
        <v>270.30888762640245</v>
      </c>
      <c r="AO136" s="59">
        <f t="shared" si="144"/>
        <v>202.23783851977691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0.27855119864602745</v>
      </c>
      <c r="AV136" s="21">
        <f>EXP(-LN(2)/25)*AV135+(1-EXP(-LN(2)/25))/(LN(2)/25)*Calculateur!AQ136*Calculateur!AS136*VLOOKUP('Données projet'!$B$10,Paramètres!$A$1:$I$89,3,0)*0.475*44/12</f>
        <v>0.70711867012237373</v>
      </c>
      <c r="AW136" s="21">
        <f>EXP(-LN(2)/2)*AW135+(1-EXP(-LN(2)/2))/(LN(2)/2)*AQ136*AT136*VLOOKUP('Données projet'!$B$10,Paramètres!$A$1:$I$89,3,0)*0.475*44/12</f>
        <v>5.8070210565991457E-15</v>
      </c>
      <c r="AX136" s="21">
        <f t="shared" si="114"/>
        <v>0.9856698687684069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-1.7053025658242404E-13</v>
      </c>
      <c r="BE136" s="13">
        <f>BD136*VLOOKUP('Données projet'!$B$11,Paramètres!$A$1:$I$89,3,0)*VLOOKUP('Données projet'!$B$11,Paramètres!$A$1:$I$89,5,0)</f>
        <v>-1.0197709343628959E-13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243.85350804244348</v>
      </c>
      <c r="BJ136" s="59">
        <f t="shared" si="146"/>
        <v>304.60992308960545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0.58858684787480342</v>
      </c>
      <c r="BQ136" s="21">
        <f>EXP(-LN(2)/25)*BQ135+(1-EXP(-LN(2)/25))/(LN(2)/25)*Calculateur!BL136*Calculateur!BN136*VLOOKUP('Données projet'!$B$11,Paramètres!$A$1:$I$89,3,0)*0.475*44/12</f>
        <v>1.0196197210106865</v>
      </c>
      <c r="BR136" s="21">
        <f>EXP(-LN(2)/2)*BR135+(1-EXP(-LN(2)/2))/(LN(2)/2)*BL136*BO136*VLOOKUP('Données projet'!$B$11,Paramètres!$A$1:$I$89,3,0)*0.475*44/12</f>
        <v>1.1738722558641867E-15</v>
      </c>
      <c r="BS136" s="22">
        <f t="shared" si="117"/>
        <v>1.608206568885491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1.5961632016114892E-13</v>
      </c>
      <c r="P137" s="13">
        <f t="shared" si="141"/>
        <v>2.2708641912150958E-12</v>
      </c>
      <c r="Q137" s="20">
        <f t="shared" si="108"/>
        <v>4.2330868906469593E-12</v>
      </c>
      <c r="R137" s="59">
        <f t="shared" si="109"/>
        <v>293.33333333333752</v>
      </c>
      <c r="S137" s="59">
        <f ca="1">AVERAGE(OFFSET($R$3,0,0,'Données projet'!$E$9+1,1))-AVERAGE(OFFSET($H$3,0,0,'Données projet'!$E$9+1,1))</f>
        <v>158.58786357608489</v>
      </c>
      <c r="T137" s="59">
        <f t="shared" si="142"/>
        <v>163.20074068819849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0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497</v>
      </c>
      <c r="AJ137" s="13">
        <f>AI137*VLOOKUP('Données projet'!$B$10,Paramètres!$A$1:$I$89,3,0)*VLOOKUP('Données projet'!$B$10,Paramètres!$A$1:$I$89,5,0)</f>
        <v>297.20600000000002</v>
      </c>
      <c r="AK137" s="13">
        <f t="shared" si="143"/>
        <v>70.590415164571112</v>
      </c>
      <c r="AL137" s="20">
        <f t="shared" si="112"/>
        <v>640.57875641162809</v>
      </c>
      <c r="AM137" s="59">
        <f t="shared" si="113"/>
        <v>933.91208974496135</v>
      </c>
      <c r="AN137" s="59">
        <f ca="1">AVERAGE(OFFSET($AM$3,0,0,'Données projet'!$E$10+1,1))-AVERAGE(OFFSET($H$3,0,0,'Données projet'!$E$10+1,1))</f>
        <v>270.30888762640245</v>
      </c>
      <c r="AO137" s="59">
        <f t="shared" si="144"/>
        <v>202.23783851977691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0.27308897954003386</v>
      </c>
      <c r="AV137" s="21">
        <f>EXP(-LN(2)/25)*AV136+(1-EXP(-LN(2)/25))/(LN(2)/25)*Calculateur!AQ137*Calculateur!AS137*VLOOKUP('Données projet'!$B$10,Paramètres!$A$1:$I$89,3,0)*0.475*44/12</f>
        <v>0.68778247290212269</v>
      </c>
      <c r="AW137" s="21">
        <f>EXP(-LN(2)/2)*AW136+(1-EXP(-LN(2)/2))/(LN(2)/2)*AQ137*AT137*VLOOKUP('Données projet'!$B$10,Paramètres!$A$1:$I$89,3,0)*0.475*44/12</f>
        <v>4.1061839676143261E-15</v>
      </c>
      <c r="AX137" s="21">
        <f t="shared" si="114"/>
        <v>0.96087145244216066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-1.7053025658242404E-13</v>
      </c>
      <c r="BE137" s="13">
        <f>BD137*VLOOKUP('Données projet'!$B$11,Paramètres!$A$1:$I$89,3,0)*VLOOKUP('Données projet'!$B$11,Paramètres!$A$1:$I$89,5,0)</f>
        <v>-1.0197709343628959E-13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243.85350804244348</v>
      </c>
      <c r="BJ137" s="59">
        <f t="shared" si="146"/>
        <v>304.60992308960545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0.57704501879050718</v>
      </c>
      <c r="BQ137" s="21">
        <f>EXP(-LN(2)/25)*BQ136+(1-EXP(-LN(2)/25))/(LN(2)/25)*Calculateur!BL137*Calculateur!BN137*VLOOKUP('Données projet'!$B$11,Paramètres!$A$1:$I$89,3,0)*0.475*44/12</f>
        <v>0.99173816612017851</v>
      </c>
      <c r="BR137" s="21">
        <f>EXP(-LN(2)/2)*BR136+(1-EXP(-LN(2)/2))/(LN(2)/2)*BL137*BO137*VLOOKUP('Données projet'!$B$11,Paramètres!$A$1:$I$89,3,0)*0.475*44/12</f>
        <v>8.3005303236831643E-16</v>
      </c>
      <c r="BS137" s="22">
        <f t="shared" si="117"/>
        <v>1.5687831849106866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1.5961632016114892E-13</v>
      </c>
      <c r="P138" s="13">
        <f t="shared" si="141"/>
        <v>2.2708641912150958E-12</v>
      </c>
      <c r="Q138" s="20">
        <f t="shared" si="108"/>
        <v>4.2330868906469593E-12</v>
      </c>
      <c r="R138" s="59">
        <f t="shared" si="109"/>
        <v>293.33333333333752</v>
      </c>
      <c r="S138" s="59">
        <f ca="1">AVERAGE(OFFSET($R$3,0,0,'Données projet'!$E$9+1,1))-AVERAGE(OFFSET($H$3,0,0,'Données projet'!$E$9+1,1))</f>
        <v>158.58786357608489</v>
      </c>
      <c r="T138" s="59">
        <f t="shared" si="142"/>
        <v>163.20074068819849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0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497</v>
      </c>
      <c r="AJ138" s="13">
        <f>AI138*VLOOKUP('Données projet'!$B$10,Paramètres!$A$1:$I$89,3,0)*VLOOKUP('Données projet'!$B$10,Paramètres!$A$1:$I$89,5,0)</f>
        <v>297.20600000000002</v>
      </c>
      <c r="AK138" s="13">
        <f t="shared" si="143"/>
        <v>70.590415164571112</v>
      </c>
      <c r="AL138" s="20">
        <f t="shared" si="112"/>
        <v>640.57875641162809</v>
      </c>
      <c r="AM138" s="59">
        <f t="shared" si="113"/>
        <v>933.91208974496135</v>
      </c>
      <c r="AN138" s="59">
        <f ca="1">AVERAGE(OFFSET($AM$3,0,0,'Données projet'!$E$10+1,1))-AVERAGE(OFFSET($H$3,0,0,'Données projet'!$E$10+1,1))</f>
        <v>270.30888762640245</v>
      </c>
      <c r="AO138" s="59">
        <f t="shared" si="144"/>
        <v>202.23783851977691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0.2677338712190841</v>
      </c>
      <c r="AV138" s="21">
        <f>EXP(-LN(2)/25)*AV137+(1-EXP(-LN(2)/25))/(LN(2)/25)*Calculateur!AQ138*Calculateur!AS138*VLOOKUP('Données projet'!$B$10,Paramètres!$A$1:$I$89,3,0)*0.475*44/12</f>
        <v>0.6689750250117058</v>
      </c>
      <c r="AW138" s="21">
        <f>EXP(-LN(2)/2)*AW137+(1-EXP(-LN(2)/2))/(LN(2)/2)*AQ138*AT138*VLOOKUP('Données projet'!$B$10,Paramètres!$A$1:$I$89,3,0)*0.475*44/12</f>
        <v>2.9035105282995729E-15</v>
      </c>
      <c r="AX138" s="21">
        <f t="shared" si="114"/>
        <v>0.93670889623079279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-1.7053025658242404E-13</v>
      </c>
      <c r="BE138" s="13">
        <f>BD138*VLOOKUP('Données projet'!$B$11,Paramètres!$A$1:$I$89,3,0)*VLOOKUP('Données projet'!$B$11,Paramètres!$A$1:$I$89,5,0)</f>
        <v>-1.0197709343628959E-13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243.85350804244348</v>
      </c>
      <c r="BJ138" s="59">
        <f t="shared" si="146"/>
        <v>304.60992308960545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0.56572951793473336</v>
      </c>
      <c r="BQ138" s="21">
        <f>EXP(-LN(2)/25)*BQ137+(1-EXP(-LN(2)/25))/(LN(2)/25)*Calculateur!BL138*Calculateur!BN138*VLOOKUP('Données projet'!$B$11,Paramètres!$A$1:$I$89,3,0)*0.475*44/12</f>
        <v>0.96461903381437875</v>
      </c>
      <c r="BR138" s="21">
        <f>EXP(-LN(2)/2)*BR137+(1-EXP(-LN(2)/2))/(LN(2)/2)*BL138*BO138*VLOOKUP('Données projet'!$B$11,Paramètres!$A$1:$I$89,3,0)*0.475*44/12</f>
        <v>5.8693612793209337E-16</v>
      </c>
      <c r="BS138" s="22">
        <f t="shared" si="117"/>
        <v>1.5303485517491129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1.5961632016114892E-13</v>
      </c>
      <c r="P139" s="13">
        <f t="shared" si="141"/>
        <v>2.2708641912150958E-12</v>
      </c>
      <c r="Q139" s="20">
        <f t="shared" si="108"/>
        <v>4.2330868906469593E-12</v>
      </c>
      <c r="R139" s="59">
        <f t="shared" si="109"/>
        <v>293.33333333333752</v>
      </c>
      <c r="S139" s="59">
        <f ca="1">AVERAGE(OFFSET($R$3,0,0,'Données projet'!$E$9+1,1))-AVERAGE(OFFSET($H$3,0,0,'Données projet'!$E$9+1,1))</f>
        <v>158.58786357608489</v>
      </c>
      <c r="T139" s="59">
        <f t="shared" si="142"/>
        <v>163.20074068819849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0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497</v>
      </c>
      <c r="AJ139" s="13">
        <f>AI139*VLOOKUP('Données projet'!$B$10,Paramètres!$A$1:$I$89,3,0)*VLOOKUP('Données projet'!$B$10,Paramètres!$A$1:$I$89,5,0)</f>
        <v>297.20600000000002</v>
      </c>
      <c r="AK139" s="13">
        <f t="shared" si="143"/>
        <v>70.590415164571112</v>
      </c>
      <c r="AL139" s="20">
        <f t="shared" si="112"/>
        <v>640.57875641162809</v>
      </c>
      <c r="AM139" s="59">
        <f t="shared" si="113"/>
        <v>933.91208974496135</v>
      </c>
      <c r="AN139" s="59">
        <f ca="1">AVERAGE(OFFSET($AM$3,0,0,'Données projet'!$E$10+1,1))-AVERAGE(OFFSET($H$3,0,0,'Données projet'!$E$10+1,1))</f>
        <v>270.30888762640245</v>
      </c>
      <c r="AO139" s="59">
        <f t="shared" si="144"/>
        <v>202.23783851977691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0.26248377330601463</v>
      </c>
      <c r="AV139" s="21">
        <f>EXP(-LN(2)/25)*AV138+(1-EXP(-LN(2)/25))/(LN(2)/25)*Calculateur!AQ139*Calculateur!AS139*VLOOKUP('Données projet'!$B$10,Paramètres!$A$1:$I$89,3,0)*0.475*44/12</f>
        <v>0.65068186777289305</v>
      </c>
      <c r="AW139" s="21">
        <f>EXP(-LN(2)/2)*AW138+(1-EXP(-LN(2)/2))/(LN(2)/2)*AQ139*AT139*VLOOKUP('Données projet'!$B$10,Paramètres!$A$1:$I$89,3,0)*0.475*44/12</f>
        <v>2.0530919838071631E-15</v>
      </c>
      <c r="AX139" s="21">
        <f t="shared" si="114"/>
        <v>0.91316564107890974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-1.7053025658242404E-13</v>
      </c>
      <c r="BE139" s="13">
        <f>BD139*VLOOKUP('Données projet'!$B$11,Paramètres!$A$1:$I$89,3,0)*VLOOKUP('Données projet'!$B$11,Paramètres!$A$1:$I$89,5,0)</f>
        <v>-1.0197709343628959E-13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243.85350804244348</v>
      </c>
      <c r="BJ139" s="59">
        <f t="shared" si="146"/>
        <v>304.60992308960545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0.55463590714896727</v>
      </c>
      <c r="BQ139" s="21">
        <f>EXP(-LN(2)/25)*BQ138+(1-EXP(-LN(2)/25))/(LN(2)/25)*Calculateur!BL139*Calculateur!BN139*VLOOKUP('Données projet'!$B$11,Paramètres!$A$1:$I$89,3,0)*0.475*44/12</f>
        <v>0.93824147560761428</v>
      </c>
      <c r="BR139" s="21">
        <f>EXP(-LN(2)/2)*BR138+(1-EXP(-LN(2)/2))/(LN(2)/2)*BL139*BO139*VLOOKUP('Données projet'!$B$11,Paramètres!$A$1:$I$89,3,0)*0.475*44/12</f>
        <v>4.1502651618415821E-16</v>
      </c>
      <c r="BS139" s="22">
        <f t="shared" si="117"/>
        <v>1.492877382756582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1.5961632016114892E-13</v>
      </c>
      <c r="P140" s="13">
        <f t="shared" si="141"/>
        <v>2.2708641912150958E-12</v>
      </c>
      <c r="Q140" s="20">
        <f t="shared" si="108"/>
        <v>4.2330868906469593E-12</v>
      </c>
      <c r="R140" s="59">
        <f t="shared" si="109"/>
        <v>293.33333333333752</v>
      </c>
      <c r="S140" s="59">
        <f ca="1">AVERAGE(OFFSET($R$3,0,0,'Données projet'!$E$9+1,1))-AVERAGE(OFFSET($H$3,0,0,'Données projet'!$E$9+1,1))</f>
        <v>158.58786357608489</v>
      </c>
      <c r="T140" s="59">
        <f t="shared" si="142"/>
        <v>163.20074068819849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0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497</v>
      </c>
      <c r="AJ140" s="13">
        <f>AI140*VLOOKUP('Données projet'!$B$10,Paramètres!$A$1:$I$89,3,0)*VLOOKUP('Données projet'!$B$10,Paramètres!$A$1:$I$89,5,0)</f>
        <v>297.20600000000002</v>
      </c>
      <c r="AK140" s="13">
        <f t="shared" si="143"/>
        <v>70.590415164571112</v>
      </c>
      <c r="AL140" s="20">
        <f t="shared" si="112"/>
        <v>640.57875641162809</v>
      </c>
      <c r="AM140" s="59">
        <f t="shared" si="113"/>
        <v>933.91208974496135</v>
      </c>
      <c r="AN140" s="59">
        <f ca="1">AVERAGE(OFFSET($AM$3,0,0,'Données projet'!$E$10+1,1))-AVERAGE(OFFSET($H$3,0,0,'Données projet'!$E$10+1,1))</f>
        <v>270.30888762640245</v>
      </c>
      <c r="AO140" s="59">
        <f t="shared" si="144"/>
        <v>202.23783851977691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0.25733662661077689</v>
      </c>
      <c r="AV140" s="21">
        <f>EXP(-LN(2)/25)*AV139+(1-EXP(-LN(2)/25))/(LN(2)/25)*Calculateur!AQ140*Calculateur!AS140*VLOOKUP('Données projet'!$B$10,Paramètres!$A$1:$I$89,3,0)*0.475*44/12</f>
        <v>0.63288893788077105</v>
      </c>
      <c r="AW140" s="21">
        <f>EXP(-LN(2)/2)*AW139+(1-EXP(-LN(2)/2))/(LN(2)/2)*AQ140*AT140*VLOOKUP('Données projet'!$B$10,Paramètres!$A$1:$I$89,3,0)*0.475*44/12</f>
        <v>1.4517552641497864E-15</v>
      </c>
      <c r="AX140" s="21">
        <f t="shared" si="114"/>
        <v>0.89022556449154944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-1.7053025658242404E-13</v>
      </c>
      <c r="BE140" s="13">
        <f>BD140*VLOOKUP('Données projet'!$B$11,Paramètres!$A$1:$I$89,3,0)*VLOOKUP('Données projet'!$B$11,Paramètres!$A$1:$I$89,5,0)</f>
        <v>-1.0197709343628959E-13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243.85350804244348</v>
      </c>
      <c r="BJ140" s="59">
        <f t="shared" si="146"/>
        <v>304.60992308960545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0.54375983530427552</v>
      </c>
      <c r="BQ140" s="21">
        <f>EXP(-LN(2)/25)*BQ139+(1-EXP(-LN(2)/25))/(LN(2)/25)*Calculateur!BL140*Calculateur!BN140*VLOOKUP('Données projet'!$B$11,Paramètres!$A$1:$I$89,3,0)*0.475*44/12</f>
        <v>0.91258521311714924</v>
      </c>
      <c r="BR140" s="21">
        <f>EXP(-LN(2)/2)*BR139+(1-EXP(-LN(2)/2))/(LN(2)/2)*BL140*BO140*VLOOKUP('Données projet'!$B$11,Paramètres!$A$1:$I$89,3,0)*0.475*44/12</f>
        <v>2.9346806396604668E-16</v>
      </c>
      <c r="BS140" s="22">
        <f t="shared" si="117"/>
        <v>1.4563450484214251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1.5961632016114892E-13</v>
      </c>
      <c r="P141" s="13">
        <f t="shared" si="141"/>
        <v>2.2708641912150958E-12</v>
      </c>
      <c r="Q141" s="20">
        <f t="shared" si="108"/>
        <v>4.2330868906469593E-12</v>
      </c>
      <c r="R141" s="59">
        <f t="shared" si="109"/>
        <v>293.33333333333752</v>
      </c>
      <c r="S141" s="59">
        <f ca="1">AVERAGE(OFFSET($R$3,0,0,'Données projet'!$E$9+1,1))-AVERAGE(OFFSET($H$3,0,0,'Données projet'!$E$9+1,1))</f>
        <v>158.58786357608489</v>
      </c>
      <c r="T141" s="59">
        <f t="shared" si="142"/>
        <v>163.20074068819849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0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497</v>
      </c>
      <c r="AJ141" s="13">
        <f>AI141*VLOOKUP('Données projet'!$B$10,Paramètres!$A$1:$I$89,3,0)*VLOOKUP('Données projet'!$B$10,Paramètres!$A$1:$I$89,5,0)</f>
        <v>297.20600000000002</v>
      </c>
      <c r="AK141" s="13">
        <f t="shared" si="143"/>
        <v>70.590415164571112</v>
      </c>
      <c r="AL141" s="20">
        <f t="shared" si="112"/>
        <v>640.57875641162809</v>
      </c>
      <c r="AM141" s="59">
        <f t="shared" si="113"/>
        <v>933.91208974496135</v>
      </c>
      <c r="AN141" s="59">
        <f ca="1">AVERAGE(OFFSET($AM$3,0,0,'Données projet'!$E$10+1,1))-AVERAGE(OFFSET($H$3,0,0,'Données projet'!$E$10+1,1))</f>
        <v>270.30888762640245</v>
      </c>
      <c r="AO141" s="59">
        <f t="shared" si="144"/>
        <v>202.23783851977691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0.25229041232278326</v>
      </c>
      <c r="AV141" s="21">
        <f>EXP(-LN(2)/25)*AV140+(1-EXP(-LN(2)/25))/(LN(2)/25)*Calculateur!AQ141*Calculateur!AS141*VLOOKUP('Données projet'!$B$10,Paramètres!$A$1:$I$89,3,0)*0.475*44/12</f>
        <v>0.61558255659223859</v>
      </c>
      <c r="AW141" s="21">
        <f>EXP(-LN(2)/2)*AW140+(1-EXP(-LN(2)/2))/(LN(2)/2)*AQ141*AT141*VLOOKUP('Données projet'!$B$10,Paramètres!$A$1:$I$89,3,0)*0.475*44/12</f>
        <v>1.0265459919035815E-15</v>
      </c>
      <c r="AX141" s="21">
        <f t="shared" si="114"/>
        <v>0.86787296891502286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-1.7053025658242404E-13</v>
      </c>
      <c r="BE141" s="13">
        <f>BD141*VLOOKUP('Données projet'!$B$11,Paramètres!$A$1:$I$89,3,0)*VLOOKUP('Données projet'!$B$11,Paramètres!$A$1:$I$89,5,0)</f>
        <v>-1.0197709343628959E-13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243.85350804244348</v>
      </c>
      <c r="BJ141" s="59">
        <f t="shared" si="146"/>
        <v>304.60992308960545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0.53309703659470942</v>
      </c>
      <c r="BQ141" s="21">
        <f>EXP(-LN(2)/25)*BQ140+(1-EXP(-LN(2)/25))/(LN(2)/25)*Calculateur!BL141*Calculateur!BN141*VLOOKUP('Données projet'!$B$11,Paramètres!$A$1:$I$89,3,0)*0.475*44/12</f>
        <v>0.88763052247369023</v>
      </c>
      <c r="BR141" s="21">
        <f>EXP(-LN(2)/2)*BR140+(1-EXP(-LN(2)/2))/(LN(2)/2)*BL141*BO141*VLOOKUP('Données projet'!$B$11,Paramètres!$A$1:$I$89,3,0)*0.475*44/12</f>
        <v>2.0751325809207911E-16</v>
      </c>
      <c r="BS141" s="22">
        <f t="shared" si="117"/>
        <v>1.4207275590683999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1.5961632016114892E-13</v>
      </c>
      <c r="P142" s="13">
        <f t="shared" si="141"/>
        <v>2.2708641912150958E-12</v>
      </c>
      <c r="Q142" s="20">
        <f t="shared" si="108"/>
        <v>4.2330868906469593E-12</v>
      </c>
      <c r="R142" s="59">
        <f t="shared" si="109"/>
        <v>293.33333333333752</v>
      </c>
      <c r="S142" s="59">
        <f ca="1">AVERAGE(OFFSET($R$3,0,0,'Données projet'!$E$9+1,1))-AVERAGE(OFFSET($H$3,0,0,'Données projet'!$E$9+1,1))</f>
        <v>158.58786357608489</v>
      </c>
      <c r="T142" s="59">
        <f t="shared" si="142"/>
        <v>163.20074068819849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0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497</v>
      </c>
      <c r="AJ142" s="13">
        <f>AI142*VLOOKUP('Données projet'!$B$10,Paramètres!$A$1:$I$89,3,0)*VLOOKUP('Données projet'!$B$10,Paramètres!$A$1:$I$89,5,0)</f>
        <v>297.20600000000002</v>
      </c>
      <c r="AK142" s="13">
        <f t="shared" si="143"/>
        <v>70.590415164571112</v>
      </c>
      <c r="AL142" s="20">
        <f t="shared" si="112"/>
        <v>640.57875641162809</v>
      </c>
      <c r="AM142" s="59">
        <f t="shared" si="113"/>
        <v>933.91208974496135</v>
      </c>
      <c r="AN142" s="59">
        <f ca="1">AVERAGE(OFFSET($AM$3,0,0,'Données projet'!$E$10+1,1))-AVERAGE(OFFSET($H$3,0,0,'Données projet'!$E$10+1,1))</f>
        <v>270.30888762640245</v>
      </c>
      <c r="AO142" s="59">
        <f t="shared" si="144"/>
        <v>202.23783851977691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0.24734315121909042</v>
      </c>
      <c r="AV142" s="21">
        <f>EXP(-LN(2)/25)*AV141+(1-EXP(-LN(2)/25))/(LN(2)/25)*Calculateur!AQ142*Calculateur!AS142*VLOOKUP('Données projet'!$B$10,Paramètres!$A$1:$I$89,3,0)*0.475*44/12</f>
        <v>0.59874941921014413</v>
      </c>
      <c r="AW142" s="21">
        <f>EXP(-LN(2)/2)*AW141+(1-EXP(-LN(2)/2))/(LN(2)/2)*AQ142*AT142*VLOOKUP('Données projet'!$B$10,Paramètres!$A$1:$I$89,3,0)*0.475*44/12</f>
        <v>7.2587763207489322E-16</v>
      </c>
      <c r="AX142" s="21">
        <f t="shared" si="114"/>
        <v>0.84609257042923536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-1.7053025658242404E-13</v>
      </c>
      <c r="BE142" s="13">
        <f>BD142*VLOOKUP('Données projet'!$B$11,Paramètres!$A$1:$I$89,3,0)*VLOOKUP('Données projet'!$B$11,Paramètres!$A$1:$I$89,5,0)</f>
        <v>-1.0197709343628959E-13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243.85350804244348</v>
      </c>
      <c r="BJ142" s="59">
        <f t="shared" si="146"/>
        <v>304.60992308960545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0.52264332886417286</v>
      </c>
      <c r="BQ142" s="21">
        <f>EXP(-LN(2)/25)*BQ141+(1-EXP(-LN(2)/25))/(LN(2)/25)*Calculateur!BL142*Calculateur!BN142*VLOOKUP('Données projet'!$B$11,Paramètres!$A$1:$I$89,3,0)*0.475*44/12</f>
        <v>0.86335821915818667</v>
      </c>
      <c r="BR142" s="21">
        <f>EXP(-LN(2)/2)*BR141+(1-EXP(-LN(2)/2))/(LN(2)/2)*BL142*BO142*VLOOKUP('Données projet'!$B$11,Paramètres!$A$1:$I$89,3,0)*0.475*44/12</f>
        <v>1.4673403198302334E-16</v>
      </c>
      <c r="BS142" s="22">
        <f t="shared" si="117"/>
        <v>1.3860015480223598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1.5961632016114892E-13</v>
      </c>
      <c r="P143" s="13">
        <f t="shared" si="141"/>
        <v>2.2708641912150958E-12</v>
      </c>
      <c r="Q143" s="20">
        <f t="shared" si="108"/>
        <v>4.2330868906469593E-12</v>
      </c>
      <c r="R143" s="59">
        <f t="shared" si="109"/>
        <v>293.33333333333752</v>
      </c>
      <c r="S143" s="59">
        <f ca="1">AVERAGE(OFFSET($R$3,0,0,'Données projet'!$E$9+1,1))-AVERAGE(OFFSET($H$3,0,0,'Données projet'!$E$9+1,1))</f>
        <v>158.58786357608489</v>
      </c>
      <c r="T143" s="59">
        <f t="shared" si="142"/>
        <v>163.20074068819849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0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497</v>
      </c>
      <c r="AJ143" s="13">
        <f>AI143*VLOOKUP('Données projet'!$B$10,Paramètres!$A$1:$I$89,3,0)*VLOOKUP('Données projet'!$B$10,Paramètres!$A$1:$I$89,5,0)</f>
        <v>297.20600000000002</v>
      </c>
      <c r="AK143" s="13">
        <f t="shared" si="143"/>
        <v>70.590415164571112</v>
      </c>
      <c r="AL143" s="20">
        <f t="shared" si="112"/>
        <v>640.57875641162809</v>
      </c>
      <c r="AM143" s="59">
        <f t="shared" si="113"/>
        <v>933.91208974496135</v>
      </c>
      <c r="AN143" s="59">
        <f ca="1">AVERAGE(OFFSET($AM$3,0,0,'Données projet'!$E$10+1,1))-AVERAGE(OFFSET($H$3,0,0,'Données projet'!$E$10+1,1))</f>
        <v>270.30888762640245</v>
      </c>
      <c r="AO143" s="59">
        <f t="shared" si="144"/>
        <v>202.23783851977691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0.24249290288810968</v>
      </c>
      <c r="AV143" s="21">
        <f>EXP(-LN(2)/25)*AV142+(1-EXP(-LN(2)/25))/(LN(2)/25)*Calculateur!AQ143*Calculateur!AS143*VLOOKUP('Données projet'!$B$10,Paramètres!$A$1:$I$89,3,0)*0.475*44/12</f>
        <v>0.58237658485497923</v>
      </c>
      <c r="AW143" s="21">
        <f>EXP(-LN(2)/2)*AW142+(1-EXP(-LN(2)/2))/(LN(2)/2)*AQ143*AT143*VLOOKUP('Données projet'!$B$10,Paramètres!$A$1:$I$89,3,0)*0.475*44/12</f>
        <v>5.1327299595179077E-16</v>
      </c>
      <c r="AX143" s="21">
        <f t="shared" si="114"/>
        <v>0.82486948774308944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-1.7053025658242404E-13</v>
      </c>
      <c r="BE143" s="13">
        <f>BD143*VLOOKUP('Données projet'!$B$11,Paramètres!$A$1:$I$89,3,0)*VLOOKUP('Données projet'!$B$11,Paramètres!$A$1:$I$89,5,0)</f>
        <v>-1.0197709343628959E-13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243.85350804244348</v>
      </c>
      <c r="BJ143" s="59">
        <f t="shared" si="146"/>
        <v>304.60992308960545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0.51239461196610003</v>
      </c>
      <c r="BQ143" s="21">
        <f>EXP(-LN(2)/25)*BQ142+(1-EXP(-LN(2)/25))/(LN(2)/25)*Calculateur!BL143*Calculateur!BN143*VLOOKUP('Données projet'!$B$11,Paramètres!$A$1:$I$89,3,0)*0.475*44/12</f>
        <v>0.83974964325327051</v>
      </c>
      <c r="BR143" s="21">
        <f>EXP(-LN(2)/2)*BR142+(1-EXP(-LN(2)/2))/(LN(2)/2)*BL143*BO143*VLOOKUP('Données projet'!$B$11,Paramètres!$A$1:$I$89,3,0)*0.475*44/12</f>
        <v>1.0375662904603955E-16</v>
      </c>
      <c r="BS143" s="22">
        <f t="shared" si="117"/>
        <v>1.3521442552193705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1.5961632016114892E-13</v>
      </c>
      <c r="P144" s="13">
        <f t="shared" si="141"/>
        <v>2.2708641912150958E-12</v>
      </c>
      <c r="Q144" s="20">
        <f t="shared" si="108"/>
        <v>4.2330868906469593E-12</v>
      </c>
      <c r="R144" s="59">
        <f t="shared" si="109"/>
        <v>293.33333333333752</v>
      </c>
      <c r="S144" s="59">
        <f ca="1">AVERAGE(OFFSET($R$3,0,0,'Données projet'!$E$9+1,1))-AVERAGE(OFFSET($H$3,0,0,'Données projet'!$E$9+1,1))</f>
        <v>158.58786357608489</v>
      </c>
      <c r="T144" s="59">
        <f t="shared" si="142"/>
        <v>163.20074068819849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0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497</v>
      </c>
      <c r="AJ144" s="13">
        <f>AI144*VLOOKUP('Données projet'!$B$10,Paramètres!$A$1:$I$89,3,0)*VLOOKUP('Données projet'!$B$10,Paramètres!$A$1:$I$89,5,0)</f>
        <v>297.20600000000002</v>
      </c>
      <c r="AK144" s="13">
        <f t="shared" si="143"/>
        <v>70.590415164571112</v>
      </c>
      <c r="AL144" s="20">
        <f t="shared" si="112"/>
        <v>640.57875641162809</v>
      </c>
      <c r="AM144" s="59">
        <f t="shared" si="113"/>
        <v>933.91208974496135</v>
      </c>
      <c r="AN144" s="59">
        <f ca="1">AVERAGE(OFFSET($AM$3,0,0,'Données projet'!$E$10+1,1))-AVERAGE(OFFSET($H$3,0,0,'Données projet'!$E$10+1,1))</f>
        <v>270.30888762640245</v>
      </c>
      <c r="AO144" s="59">
        <f t="shared" si="144"/>
        <v>202.23783851977691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0.2377377649685401</v>
      </c>
      <c r="AV144" s="21">
        <f>EXP(-LN(2)/25)*AV143+(1-EXP(-LN(2)/25))/(LN(2)/25)*Calculateur!AQ144*Calculateur!AS144*VLOOKUP('Données projet'!$B$10,Paramètres!$A$1:$I$89,3,0)*0.475*44/12</f>
        <v>0.56645146651626621</v>
      </c>
      <c r="AW144" s="21">
        <f>EXP(-LN(2)/2)*AW143+(1-EXP(-LN(2)/2))/(LN(2)/2)*AQ144*AT144*VLOOKUP('Données projet'!$B$10,Paramètres!$A$1:$I$89,3,0)*0.475*44/12</f>
        <v>3.6293881603744661E-16</v>
      </c>
      <c r="AX144" s="21">
        <f t="shared" si="114"/>
        <v>0.80418923148480659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-1.7053025658242404E-13</v>
      </c>
      <c r="BE144" s="13">
        <f>BD144*VLOOKUP('Données projet'!$B$11,Paramètres!$A$1:$I$89,3,0)*VLOOKUP('Données projet'!$B$11,Paramètres!$A$1:$I$89,5,0)</f>
        <v>-1.0197709343628959E-13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243.85350804244348</v>
      </c>
      <c r="BJ144" s="59">
        <f t="shared" si="146"/>
        <v>304.60992308960545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0.50234686615529833</v>
      </c>
      <c r="BQ144" s="21">
        <f>EXP(-LN(2)/25)*BQ143+(1-EXP(-LN(2)/25))/(LN(2)/25)*Calculateur!BL144*Calculateur!BN144*VLOOKUP('Données projet'!$B$11,Paramètres!$A$1:$I$89,3,0)*0.475*44/12</f>
        <v>0.81678664509799537</v>
      </c>
      <c r="BR144" s="21">
        <f>EXP(-LN(2)/2)*BR143+(1-EXP(-LN(2)/2))/(LN(2)/2)*BL144*BO144*VLOOKUP('Données projet'!$B$11,Paramètres!$A$1:$I$89,3,0)*0.475*44/12</f>
        <v>7.3367015991511671E-17</v>
      </c>
      <c r="BS144" s="22">
        <f t="shared" si="117"/>
        <v>1.3191335112532938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1.5961632016114892E-13</v>
      </c>
      <c r="P145" s="13">
        <f t="shared" si="141"/>
        <v>2.2708641912150958E-12</v>
      </c>
      <c r="Q145" s="20">
        <f t="shared" si="108"/>
        <v>4.2330868906469593E-12</v>
      </c>
      <c r="R145" s="59">
        <f t="shared" si="109"/>
        <v>293.33333333333752</v>
      </c>
      <c r="S145" s="59">
        <f ca="1">AVERAGE(OFFSET($R$3,0,0,'Données projet'!$E$9+1,1))-AVERAGE(OFFSET($H$3,0,0,'Données projet'!$E$9+1,1))</f>
        <v>158.58786357608489</v>
      </c>
      <c r="T145" s="59">
        <f t="shared" si="142"/>
        <v>163.20074068819849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0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497</v>
      </c>
      <c r="AJ145" s="13">
        <f>AI145*VLOOKUP('Données projet'!$B$10,Paramètres!$A$1:$I$89,3,0)*VLOOKUP('Données projet'!$B$10,Paramètres!$A$1:$I$89,5,0)</f>
        <v>297.20600000000002</v>
      </c>
      <c r="AK145" s="13">
        <f t="shared" si="143"/>
        <v>70.590415164571112</v>
      </c>
      <c r="AL145" s="20">
        <f t="shared" si="112"/>
        <v>640.57875641162809</v>
      </c>
      <c r="AM145" s="59">
        <f t="shared" si="113"/>
        <v>933.91208974496135</v>
      </c>
      <c r="AN145" s="59">
        <f ca="1">AVERAGE(OFFSET($AM$3,0,0,'Données projet'!$E$10+1,1))-AVERAGE(OFFSET($H$3,0,0,'Données projet'!$E$10+1,1))</f>
        <v>270.30888762640245</v>
      </c>
      <c r="AO145" s="59">
        <f t="shared" si="144"/>
        <v>202.23783851977691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0.23307587240322553</v>
      </c>
      <c r="AV145" s="21">
        <f>EXP(-LN(2)/25)*AV144+(1-EXP(-LN(2)/25))/(LN(2)/25)*Calculateur!AQ145*Calculateur!AS145*VLOOKUP('Données projet'!$B$10,Paramètres!$A$1:$I$89,3,0)*0.475*44/12</f>
        <v>0.55096182137599092</v>
      </c>
      <c r="AW145" s="21">
        <f>EXP(-LN(2)/2)*AW144+(1-EXP(-LN(2)/2))/(LN(2)/2)*AQ145*AT145*VLOOKUP('Données projet'!$B$10,Paramètres!$A$1:$I$89,3,0)*0.475*44/12</f>
        <v>2.5663649797589538E-16</v>
      </c>
      <c r="AX145" s="21">
        <f t="shared" si="114"/>
        <v>0.78403769377921662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-1.7053025658242404E-13</v>
      </c>
      <c r="BE145" s="13">
        <f>BD145*VLOOKUP('Données projet'!$B$11,Paramètres!$A$1:$I$89,3,0)*VLOOKUP('Données projet'!$B$11,Paramètres!$A$1:$I$89,5,0)</f>
        <v>-1.0197709343628959E-13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243.85350804244348</v>
      </c>
      <c r="BJ145" s="59">
        <f t="shared" si="146"/>
        <v>304.60992308960545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0.49249615051132667</v>
      </c>
      <c r="BQ145" s="21">
        <f>EXP(-LN(2)/25)*BQ144+(1-EXP(-LN(2)/25))/(LN(2)/25)*Calculateur!BL145*Calculateur!BN145*VLOOKUP('Données projet'!$B$11,Paramètres!$A$1:$I$89,3,0)*0.475*44/12</f>
        <v>0.79445157133484778</v>
      </c>
      <c r="BR145" s="21">
        <f>EXP(-LN(2)/2)*BR144+(1-EXP(-LN(2)/2))/(LN(2)/2)*BL145*BO145*VLOOKUP('Données projet'!$B$11,Paramètres!$A$1:$I$89,3,0)*0.475*44/12</f>
        <v>5.1878314523019777E-17</v>
      </c>
      <c r="BS145" s="22">
        <f t="shared" si="117"/>
        <v>1.2869477218461745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1.5961632016114892E-13</v>
      </c>
      <c r="P146" s="13">
        <f t="shared" si="141"/>
        <v>2.2708641912150958E-12</v>
      </c>
      <c r="Q146" s="20">
        <f t="shared" si="108"/>
        <v>4.2330868906469593E-12</v>
      </c>
      <c r="R146" s="59">
        <f t="shared" si="109"/>
        <v>293.33333333333752</v>
      </c>
      <c r="S146" s="59">
        <f ca="1">AVERAGE(OFFSET($R$3,0,0,'Données projet'!$E$9+1,1))-AVERAGE(OFFSET($H$3,0,0,'Données projet'!$E$9+1,1))</f>
        <v>158.58786357608489</v>
      </c>
      <c r="T146" s="59">
        <f t="shared" si="142"/>
        <v>163.20074068819849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0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497</v>
      </c>
      <c r="AJ146" s="13">
        <f>AI146*VLOOKUP('Données projet'!$B$10,Paramètres!$A$1:$I$89,3,0)*VLOOKUP('Données projet'!$B$10,Paramètres!$A$1:$I$89,5,0)</f>
        <v>297.20600000000002</v>
      </c>
      <c r="AK146" s="13">
        <f t="shared" si="143"/>
        <v>70.590415164571112</v>
      </c>
      <c r="AL146" s="20">
        <f t="shared" si="112"/>
        <v>640.57875641162809</v>
      </c>
      <c r="AM146" s="59">
        <f t="shared" si="113"/>
        <v>933.91208974496135</v>
      </c>
      <c r="AN146" s="59">
        <f ca="1">AVERAGE(OFFSET($AM$3,0,0,'Données projet'!$E$10+1,1))-AVERAGE(OFFSET($H$3,0,0,'Données projet'!$E$10+1,1))</f>
        <v>270.30888762640245</v>
      </c>
      <c r="AO146" s="59">
        <f t="shared" si="144"/>
        <v>202.23783851977691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0.22850539670764308</v>
      </c>
      <c r="AV146" s="21">
        <f>EXP(-LN(2)/25)*AV145+(1-EXP(-LN(2)/25))/(LN(2)/25)*Calculateur!AQ146*Calculateur!AS146*VLOOKUP('Données projet'!$B$10,Paramètres!$A$1:$I$89,3,0)*0.475*44/12</f>
        <v>0.53589574139664153</v>
      </c>
      <c r="AW146" s="21">
        <f>EXP(-LN(2)/2)*AW145+(1-EXP(-LN(2)/2))/(LN(2)/2)*AQ146*AT146*VLOOKUP('Données projet'!$B$10,Paramètres!$A$1:$I$89,3,0)*0.475*44/12</f>
        <v>1.814694080187233E-16</v>
      </c>
      <c r="AX146" s="21">
        <f t="shared" si="114"/>
        <v>0.76440113810428478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-1.7053025658242404E-13</v>
      </c>
      <c r="BE146" s="13">
        <f>BD146*VLOOKUP('Données projet'!$B$11,Paramètres!$A$1:$I$89,3,0)*VLOOKUP('Données projet'!$B$11,Paramètres!$A$1:$I$89,5,0)</f>
        <v>-1.0197709343628959E-13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243.85350804244348</v>
      </c>
      <c r="BJ146" s="59">
        <f t="shared" si="146"/>
        <v>304.60992308960545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0.48283860139279</v>
      </c>
      <c r="BQ146" s="21">
        <f>EXP(-LN(2)/25)*BQ145+(1-EXP(-LN(2)/25))/(LN(2)/25)*Calculateur!BL146*Calculateur!BN146*VLOOKUP('Données projet'!$B$11,Paramètres!$A$1:$I$89,3,0)*0.475*44/12</f>
        <v>0.772727251338304</v>
      </c>
      <c r="BR146" s="21">
        <f>EXP(-LN(2)/2)*BR145+(1-EXP(-LN(2)/2))/(LN(2)/2)*BL146*BO146*VLOOKUP('Données projet'!$B$11,Paramètres!$A$1:$I$89,3,0)*0.475*44/12</f>
        <v>3.6683507995755836E-17</v>
      </c>
      <c r="BS146" s="22">
        <f t="shared" si="117"/>
        <v>1.255565852731094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1.5961632016114892E-13</v>
      </c>
      <c r="P147" s="13">
        <f t="shared" si="141"/>
        <v>2.2708641912150958E-12</v>
      </c>
      <c r="Q147" s="20">
        <f t="shared" si="108"/>
        <v>4.2330868906469593E-12</v>
      </c>
      <c r="R147" s="59">
        <f t="shared" si="109"/>
        <v>293.33333333333752</v>
      </c>
      <c r="S147" s="59">
        <f ca="1">AVERAGE(OFFSET($R$3,0,0,'Données projet'!$E$9+1,1))-AVERAGE(OFFSET($H$3,0,0,'Données projet'!$E$9+1,1))</f>
        <v>158.58786357608489</v>
      </c>
      <c r="T147" s="59">
        <f t="shared" si="142"/>
        <v>163.20074068819849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0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497</v>
      </c>
      <c r="AJ147" s="13">
        <f>AI147*VLOOKUP('Données projet'!$B$10,Paramètres!$A$1:$I$89,3,0)*VLOOKUP('Données projet'!$B$10,Paramètres!$A$1:$I$89,5,0)</f>
        <v>297.20600000000002</v>
      </c>
      <c r="AK147" s="13">
        <f t="shared" si="143"/>
        <v>70.590415164571112</v>
      </c>
      <c r="AL147" s="20">
        <f t="shared" si="112"/>
        <v>640.57875641162809</v>
      </c>
      <c r="AM147" s="59">
        <f t="shared" si="113"/>
        <v>933.91208974496135</v>
      </c>
      <c r="AN147" s="59">
        <f ca="1">AVERAGE(OFFSET($AM$3,0,0,'Données projet'!$E$10+1,1))-AVERAGE(OFFSET($H$3,0,0,'Données projet'!$E$10+1,1))</f>
        <v>270.30888762640245</v>
      </c>
      <c r="AO147" s="59">
        <f t="shared" si="144"/>
        <v>202.23783851977691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0.2240245452527361</v>
      </c>
      <c r="AV147" s="21">
        <f>EXP(-LN(2)/25)*AV146+(1-EXP(-LN(2)/25))/(LN(2)/25)*Calculateur!AQ147*Calculateur!AS147*VLOOKUP('Données projet'!$B$10,Paramètres!$A$1:$I$89,3,0)*0.475*44/12</f>
        <v>0.52124164416661811</v>
      </c>
      <c r="AW147" s="21">
        <f>EXP(-LN(2)/2)*AW146+(1-EXP(-LN(2)/2))/(LN(2)/2)*AQ147*AT147*VLOOKUP('Données projet'!$B$10,Paramètres!$A$1:$I$89,3,0)*0.475*44/12</f>
        <v>1.2831824898794769E-16</v>
      </c>
      <c r="AX147" s="21">
        <f t="shared" si="114"/>
        <v>0.7452661894193543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-1.7053025658242404E-13</v>
      </c>
      <c r="BE147" s="13">
        <f>BD147*VLOOKUP('Données projet'!$B$11,Paramètres!$A$1:$I$89,3,0)*VLOOKUP('Données projet'!$B$11,Paramètres!$A$1:$I$89,5,0)</f>
        <v>-1.0197709343628959E-13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243.85350804244348</v>
      </c>
      <c r="BJ147" s="59">
        <f t="shared" si="146"/>
        <v>304.60992308960545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0.47337043092194453</v>
      </c>
      <c r="BQ147" s="21">
        <f>EXP(-LN(2)/25)*BQ146+(1-EXP(-LN(2)/25))/(LN(2)/25)*Calculateur!BL147*Calculateur!BN147*VLOOKUP('Données projet'!$B$11,Paramètres!$A$1:$I$89,3,0)*0.475*44/12</f>
        <v>0.75159698401449804</v>
      </c>
      <c r="BR147" s="21">
        <f>EXP(-LN(2)/2)*BR146+(1-EXP(-LN(2)/2))/(LN(2)/2)*BL147*BO147*VLOOKUP('Données projet'!$B$11,Paramètres!$A$1:$I$89,3,0)*0.475*44/12</f>
        <v>2.5939157261509888E-17</v>
      </c>
      <c r="BS147" s="22">
        <f t="shared" si="117"/>
        <v>1.2249674149364425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1.5961632016114892E-13</v>
      </c>
      <c r="P148" s="13">
        <f t="shared" si="141"/>
        <v>2.2708641912150958E-12</v>
      </c>
      <c r="Q148" s="20">
        <f t="shared" si="108"/>
        <v>4.2330868906469593E-12</v>
      </c>
      <c r="R148" s="59">
        <f t="shared" si="109"/>
        <v>293.33333333333752</v>
      </c>
      <c r="S148" s="59">
        <f ca="1">AVERAGE(OFFSET($R$3,0,0,'Données projet'!$E$9+1,1))-AVERAGE(OFFSET($H$3,0,0,'Données projet'!$E$9+1,1))</f>
        <v>158.58786357608489</v>
      </c>
      <c r="T148" s="59">
        <f t="shared" si="142"/>
        <v>163.20074068819849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0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497</v>
      </c>
      <c r="AJ148" s="13">
        <f>AI148*VLOOKUP('Données projet'!$B$10,Paramètres!$A$1:$I$89,3,0)*VLOOKUP('Données projet'!$B$10,Paramètres!$A$1:$I$89,5,0)</f>
        <v>297.20600000000002</v>
      </c>
      <c r="AK148" s="13">
        <f t="shared" si="143"/>
        <v>70.590415164571112</v>
      </c>
      <c r="AL148" s="20">
        <f t="shared" si="112"/>
        <v>640.57875641162809</v>
      </c>
      <c r="AM148" s="59">
        <f t="shared" si="113"/>
        <v>933.91208974496135</v>
      </c>
      <c r="AN148" s="59">
        <f ca="1">AVERAGE(OFFSET($AM$3,0,0,'Données projet'!$E$10+1,1))-AVERAGE(OFFSET($H$3,0,0,'Données projet'!$E$10+1,1))</f>
        <v>270.30888762640245</v>
      </c>
      <c r="AO148" s="59">
        <f t="shared" si="144"/>
        <v>202.23783851977691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0.21963156056181032</v>
      </c>
      <c r="AV148" s="21">
        <f>EXP(-LN(2)/25)*AV147+(1-EXP(-LN(2)/25))/(LN(2)/25)*Calculateur!AQ148*Calculateur!AS148*VLOOKUP('Données projet'!$B$10,Paramètres!$A$1:$I$89,3,0)*0.475*44/12</f>
        <v>0.50698826399597519</v>
      </c>
      <c r="AW148" s="21">
        <f>EXP(-LN(2)/2)*AW147+(1-EXP(-LN(2)/2))/(LN(2)/2)*AQ148*AT148*VLOOKUP('Données projet'!$B$10,Paramètres!$A$1:$I$89,3,0)*0.475*44/12</f>
        <v>9.0734704009361652E-17</v>
      </c>
      <c r="AX148" s="21">
        <f t="shared" si="114"/>
        <v>0.72661982455778562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-1.7053025658242404E-13</v>
      </c>
      <c r="BE148" s="13">
        <f>BD148*VLOOKUP('Données projet'!$B$11,Paramètres!$A$1:$I$89,3,0)*VLOOKUP('Données projet'!$B$11,Paramètres!$A$1:$I$89,5,0)</f>
        <v>-1.0197709343628959E-13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243.85350804244348</v>
      </c>
      <c r="BJ148" s="59">
        <f t="shared" si="146"/>
        <v>304.60992308960545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0.46408792549901862</v>
      </c>
      <c r="BQ148" s="21">
        <f>EXP(-LN(2)/25)*BQ147+(1-EXP(-LN(2)/25))/(LN(2)/25)*Calculateur!BL148*Calculateur!BN148*VLOOKUP('Données projet'!$B$11,Paramètres!$A$1:$I$89,3,0)*0.475*44/12</f>
        <v>0.73104452496185401</v>
      </c>
      <c r="BR148" s="21">
        <f>EXP(-LN(2)/2)*BR147+(1-EXP(-LN(2)/2))/(LN(2)/2)*BL148*BO148*VLOOKUP('Données projet'!$B$11,Paramètres!$A$1:$I$89,3,0)*0.475*44/12</f>
        <v>1.8341753997877918E-17</v>
      </c>
      <c r="BS148" s="22">
        <f t="shared" si="117"/>
        <v>1.1951324504608727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1.5961632016114892E-13</v>
      </c>
      <c r="P149" s="13">
        <f t="shared" si="141"/>
        <v>2.2708641912150958E-12</v>
      </c>
      <c r="Q149" s="20">
        <f t="shared" si="108"/>
        <v>4.2330868906469593E-12</v>
      </c>
      <c r="R149" s="59">
        <f t="shared" si="109"/>
        <v>293.33333333333752</v>
      </c>
      <c r="S149" s="59">
        <f ca="1">AVERAGE(OFFSET($R$3,0,0,'Données projet'!$E$9+1,1))-AVERAGE(OFFSET($H$3,0,0,'Données projet'!$E$9+1,1))</f>
        <v>158.58786357608489</v>
      </c>
      <c r="T149" s="59">
        <f t="shared" si="142"/>
        <v>163.20074068819849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0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497</v>
      </c>
      <c r="AJ149" s="13">
        <f>AI149*VLOOKUP('Données projet'!$B$10,Paramètres!$A$1:$I$89,3,0)*VLOOKUP('Données projet'!$B$10,Paramètres!$A$1:$I$89,5,0)</f>
        <v>297.20600000000002</v>
      </c>
      <c r="AK149" s="13">
        <f t="shared" si="143"/>
        <v>70.590415164571112</v>
      </c>
      <c r="AL149" s="20">
        <f t="shared" si="112"/>
        <v>640.57875641162809</v>
      </c>
      <c r="AM149" s="59">
        <f t="shared" si="113"/>
        <v>933.91208974496135</v>
      </c>
      <c r="AN149" s="59">
        <f ca="1">AVERAGE(OFFSET($AM$3,0,0,'Données projet'!$E$10+1,1))-AVERAGE(OFFSET($H$3,0,0,'Données projet'!$E$10+1,1))</f>
        <v>270.30888762640245</v>
      </c>
      <c r="AO149" s="59">
        <f t="shared" si="144"/>
        <v>202.23783851977691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0.21532471962121752</v>
      </c>
      <c r="AV149" s="21">
        <f>EXP(-LN(2)/25)*AV148+(1-EXP(-LN(2)/25))/(LN(2)/25)*Calculateur!AQ149*Calculateur!AS149*VLOOKUP('Données projet'!$B$10,Paramètres!$A$1:$I$89,3,0)*0.475*44/12</f>
        <v>0.4931246432556512</v>
      </c>
      <c r="AW149" s="21">
        <f>EXP(-LN(2)/2)*AW148+(1-EXP(-LN(2)/2))/(LN(2)/2)*AQ149*AT149*VLOOKUP('Données projet'!$B$10,Paramètres!$A$1:$I$89,3,0)*0.475*44/12</f>
        <v>6.4159124493973846E-17</v>
      </c>
      <c r="AX149" s="21">
        <f t="shared" si="114"/>
        <v>0.70844936287686877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-1.7053025658242404E-13</v>
      </c>
      <c r="BE149" s="13">
        <f>BD149*VLOOKUP('Données projet'!$B$11,Paramètres!$A$1:$I$89,3,0)*VLOOKUP('Données projet'!$B$11,Paramètres!$A$1:$I$89,5,0)</f>
        <v>-1.0197709343628959E-13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243.85350804244348</v>
      </c>
      <c r="BJ149" s="59">
        <f t="shared" si="146"/>
        <v>304.60992308960545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0.45498744434566701</v>
      </c>
      <c r="BQ149" s="21">
        <f>EXP(-LN(2)/25)*BQ148+(1-EXP(-LN(2)/25))/(LN(2)/25)*Calculateur!BL149*Calculateur!BN149*VLOOKUP('Données projet'!$B$11,Paramètres!$A$1:$I$89,3,0)*0.475*44/12</f>
        <v>0.7110540739828114</v>
      </c>
      <c r="BR149" s="21">
        <f>EXP(-LN(2)/2)*BR148+(1-EXP(-LN(2)/2))/(LN(2)/2)*BL149*BO149*VLOOKUP('Données projet'!$B$11,Paramètres!$A$1:$I$89,3,0)*0.475*44/12</f>
        <v>1.2969578630754944E-17</v>
      </c>
      <c r="BS149" s="22">
        <f t="shared" si="117"/>
        <v>1.1660415183284785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1.5961632016114892E-13</v>
      </c>
      <c r="P150" s="13">
        <f t="shared" si="141"/>
        <v>2.2708641912150958E-12</v>
      </c>
      <c r="Q150" s="20">
        <f t="shared" si="108"/>
        <v>4.2330868906469593E-12</v>
      </c>
      <c r="R150" s="59">
        <f t="shared" si="109"/>
        <v>293.33333333333752</v>
      </c>
      <c r="S150" s="59">
        <f ca="1">AVERAGE(OFFSET($R$3,0,0,'Données projet'!$E$9+1,1))-AVERAGE(OFFSET($H$3,0,0,'Données projet'!$E$9+1,1))</f>
        <v>158.58786357608489</v>
      </c>
      <c r="T150" s="59">
        <f t="shared" si="142"/>
        <v>163.20074068819849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0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497</v>
      </c>
      <c r="AJ150" s="13">
        <f>AI150*VLOOKUP('Données projet'!$B$10,Paramètres!$A$1:$I$89,3,0)*VLOOKUP('Données projet'!$B$10,Paramètres!$A$1:$I$89,5,0)</f>
        <v>297.20600000000002</v>
      </c>
      <c r="AK150" s="13">
        <f t="shared" si="143"/>
        <v>70.590415164571112</v>
      </c>
      <c r="AL150" s="20">
        <f t="shared" si="112"/>
        <v>640.57875641162809</v>
      </c>
      <c r="AM150" s="59">
        <f t="shared" si="113"/>
        <v>933.91208974496135</v>
      </c>
      <c r="AN150" s="59">
        <f ca="1">AVERAGE(OFFSET($AM$3,0,0,'Données projet'!$E$10+1,1))-AVERAGE(OFFSET($H$3,0,0,'Données projet'!$E$10+1,1))</f>
        <v>270.30888762640245</v>
      </c>
      <c r="AO150" s="59">
        <f t="shared" si="144"/>
        <v>202.23783851977691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0.21110233320455615</v>
      </c>
      <c r="AV150" s="21">
        <f>EXP(-LN(2)/25)*AV149+(1-EXP(-LN(2)/25))/(LN(2)/25)*Calculateur!AQ150*Calculateur!AS150*VLOOKUP('Données projet'!$B$10,Paramètres!$A$1:$I$89,3,0)*0.475*44/12</f>
        <v>0.47964012395352745</v>
      </c>
      <c r="AW150" s="21">
        <f>EXP(-LN(2)/2)*AW149+(1-EXP(-LN(2)/2))/(LN(2)/2)*AQ150*AT150*VLOOKUP('Données projet'!$B$10,Paramètres!$A$1:$I$89,3,0)*0.475*44/12</f>
        <v>4.5367352004680826E-17</v>
      </c>
      <c r="AX150" s="21">
        <f t="shared" si="114"/>
        <v>0.69074245715808358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-1.7053025658242404E-13</v>
      </c>
      <c r="BE150" s="13">
        <f>BD150*VLOOKUP('Données projet'!$B$11,Paramètres!$A$1:$I$89,3,0)*VLOOKUP('Données projet'!$B$11,Paramètres!$A$1:$I$89,5,0)</f>
        <v>-1.0197709343628959E-13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243.85350804244348</v>
      </c>
      <c r="BJ150" s="59">
        <f t="shared" si="146"/>
        <v>304.60992308960545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0.44606541807698719</v>
      </c>
      <c r="BQ150" s="21">
        <f>EXP(-LN(2)/25)*BQ149+(1-EXP(-LN(2)/25))/(LN(2)/25)*Calculateur!BL150*Calculateur!BN150*VLOOKUP('Données projet'!$B$11,Paramètres!$A$1:$I$89,3,0)*0.475*44/12</f>
        <v>0.69161026293704275</v>
      </c>
      <c r="BR150" s="21">
        <f>EXP(-LN(2)/2)*BR149+(1-EXP(-LN(2)/2))/(LN(2)/2)*BL150*BO150*VLOOKUP('Données projet'!$B$11,Paramètres!$A$1:$I$89,3,0)*0.475*44/12</f>
        <v>9.1708769989389589E-18</v>
      </c>
      <c r="BS150" s="22">
        <f t="shared" si="117"/>
        <v>1.1376756810140298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1.5961632016114892E-13</v>
      </c>
      <c r="P151" s="13">
        <f t="shared" si="141"/>
        <v>2.2708641912150958E-12</v>
      </c>
      <c r="Q151" s="20">
        <f t="shared" si="108"/>
        <v>4.2330868906469593E-12</v>
      </c>
      <c r="R151" s="59">
        <f t="shared" si="109"/>
        <v>293.33333333333752</v>
      </c>
      <c r="S151" s="59">
        <f ca="1">AVERAGE(OFFSET($R$3,0,0,'Données projet'!$E$9+1,1))-AVERAGE(OFFSET($H$3,0,0,'Données projet'!$E$9+1,1))</f>
        <v>158.58786357608489</v>
      </c>
      <c r="T151" s="59">
        <f t="shared" si="142"/>
        <v>163.20074068819849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0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497</v>
      </c>
      <c r="AJ151" s="13">
        <f>AI151*VLOOKUP('Données projet'!$B$10,Paramètres!$A$1:$I$89,3,0)*VLOOKUP('Données projet'!$B$10,Paramètres!$A$1:$I$89,5,0)</f>
        <v>297.20600000000002</v>
      </c>
      <c r="AK151" s="13">
        <f t="shared" si="143"/>
        <v>70.590415164571112</v>
      </c>
      <c r="AL151" s="20">
        <f t="shared" si="112"/>
        <v>640.57875641162809</v>
      </c>
      <c r="AM151" s="59">
        <f t="shared" si="113"/>
        <v>933.91208974496135</v>
      </c>
      <c r="AN151" s="59">
        <f ca="1">AVERAGE(OFFSET($AM$3,0,0,'Données projet'!$E$10+1,1))-AVERAGE(OFFSET($H$3,0,0,'Données projet'!$E$10+1,1))</f>
        <v>270.30888762640245</v>
      </c>
      <c r="AO151" s="59">
        <f t="shared" si="144"/>
        <v>202.23783851977691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0.20696274521012409</v>
      </c>
      <c r="AV151" s="21">
        <f>EXP(-LN(2)/25)*AV150+(1-EXP(-LN(2)/25))/(LN(2)/25)*Calculateur!AQ151*Calculateur!AS151*VLOOKUP('Données projet'!$B$10,Paramètres!$A$1:$I$89,3,0)*0.475*44/12</f>
        <v>0.46652433954084038</v>
      </c>
      <c r="AW151" s="21">
        <f>EXP(-LN(2)/2)*AW150+(1-EXP(-LN(2)/2))/(LN(2)/2)*AQ151*AT151*VLOOKUP('Données projet'!$B$10,Paramètres!$A$1:$I$89,3,0)*0.475*44/12</f>
        <v>3.2079562246986923E-17</v>
      </c>
      <c r="AX151" s="21">
        <f t="shared" si="114"/>
        <v>0.67348708475096442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-1.7053025658242404E-13</v>
      </c>
      <c r="BE151" s="13">
        <f>BD151*VLOOKUP('Données projet'!$B$11,Paramètres!$A$1:$I$89,3,0)*VLOOKUP('Données projet'!$B$11,Paramètres!$A$1:$I$89,5,0)</f>
        <v>-1.0197709343628959E-13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243.85350804244348</v>
      </c>
      <c r="BJ151" s="59">
        <f t="shared" si="146"/>
        <v>304.60992308960545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0.43731834730153751</v>
      </c>
      <c r="BQ151" s="21">
        <f>EXP(-LN(2)/25)*BQ150+(1-EXP(-LN(2)/25))/(LN(2)/25)*Calculateur!BL151*Calculateur!BN151*VLOOKUP('Données projet'!$B$11,Paramètres!$A$1:$I$89,3,0)*0.475*44/12</f>
        <v>0.67269814392682625</v>
      </c>
      <c r="BR151" s="21">
        <f>EXP(-LN(2)/2)*BR150+(1-EXP(-LN(2)/2))/(LN(2)/2)*BL151*BO151*VLOOKUP('Données projet'!$B$11,Paramètres!$A$1:$I$89,3,0)*0.475*44/12</f>
        <v>6.4847893153774721E-18</v>
      </c>
      <c r="BS151" s="22">
        <f t="shared" si="117"/>
        <v>1.1100164912283637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1.5961632016114892E-13</v>
      </c>
      <c r="P152" s="13">
        <f t="shared" si="141"/>
        <v>2.2708641912150958E-12</v>
      </c>
      <c r="Q152" s="20">
        <f t="shared" si="108"/>
        <v>4.2330868906469593E-12</v>
      </c>
      <c r="R152" s="59">
        <f t="shared" si="109"/>
        <v>293.33333333333752</v>
      </c>
      <c r="S152" s="59">
        <f ca="1">AVERAGE(OFFSET($R$3,0,0,'Données projet'!$E$9+1,1))-AVERAGE(OFFSET($H$3,0,0,'Données projet'!$E$9+1,1))</f>
        <v>158.58786357608489</v>
      </c>
      <c r="T152" s="59">
        <f t="shared" si="142"/>
        <v>163.20074068819849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0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497</v>
      </c>
      <c r="AJ152" s="13">
        <f>AI152*VLOOKUP('Données projet'!$B$10,Paramètres!$A$1:$I$89,3,0)*VLOOKUP('Données projet'!$B$10,Paramètres!$A$1:$I$89,5,0)</f>
        <v>297.20600000000002</v>
      </c>
      <c r="AK152" s="13">
        <f t="shared" si="143"/>
        <v>70.590415164571112</v>
      </c>
      <c r="AL152" s="20">
        <f t="shared" si="112"/>
        <v>640.57875641162809</v>
      </c>
      <c r="AM152" s="59">
        <f t="shared" si="113"/>
        <v>933.91208974496135</v>
      </c>
      <c r="AN152" s="59">
        <f ca="1">AVERAGE(OFFSET($AM$3,0,0,'Données projet'!$E$10+1,1))-AVERAGE(OFFSET($H$3,0,0,'Données projet'!$E$10+1,1))</f>
        <v>270.30888762640245</v>
      </c>
      <c r="AO152" s="59">
        <f t="shared" si="144"/>
        <v>202.23783851977691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0.20290433201136349</v>
      </c>
      <c r="AV152" s="21">
        <f>EXP(-LN(2)/25)*AV151+(1-EXP(-LN(2)/25))/(LN(2)/25)*Calculateur!AQ152*Calculateur!AS152*VLOOKUP('Données projet'!$B$10,Paramètres!$A$1:$I$89,3,0)*0.475*44/12</f>
        <v>0.45376720694264733</v>
      </c>
      <c r="AW152" s="21">
        <f>EXP(-LN(2)/2)*AW151+(1-EXP(-LN(2)/2))/(LN(2)/2)*AQ152*AT152*VLOOKUP('Données projet'!$B$10,Paramètres!$A$1:$I$89,3,0)*0.475*44/12</f>
        <v>2.2683676002340413E-17</v>
      </c>
      <c r="AX152" s="21">
        <f t="shared" si="114"/>
        <v>0.65667153895401076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-1.7053025658242404E-13</v>
      </c>
      <c r="BE152" s="13">
        <f>BD152*VLOOKUP('Données projet'!$B$11,Paramètres!$A$1:$I$89,3,0)*VLOOKUP('Données projet'!$B$11,Paramètres!$A$1:$I$89,5,0)</f>
        <v>-1.0197709343628959E-13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243.85350804244348</v>
      </c>
      <c r="BJ152" s="59">
        <f t="shared" si="146"/>
        <v>304.60992308960545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0.42874280124880804</v>
      </c>
      <c r="BQ152" s="21">
        <f>EXP(-LN(2)/25)*BQ151+(1-EXP(-LN(2)/25))/(LN(2)/25)*Calculateur!BL152*Calculateur!BN152*VLOOKUP('Données projet'!$B$11,Paramètres!$A$1:$I$89,3,0)*0.475*44/12</f>
        <v>0.6543031778054893</v>
      </c>
      <c r="BR152" s="21">
        <f>EXP(-LN(2)/2)*BR151+(1-EXP(-LN(2)/2))/(LN(2)/2)*BL152*BO152*VLOOKUP('Données projet'!$B$11,Paramètres!$A$1:$I$89,3,0)*0.475*44/12</f>
        <v>4.5854384994694794E-18</v>
      </c>
      <c r="BS152" s="22">
        <f t="shared" si="117"/>
        <v>1.0830459790542974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1.5961632016114892E-13</v>
      </c>
      <c r="P153" s="13">
        <f t="shared" si="141"/>
        <v>2.2708641912150958E-12</v>
      </c>
      <c r="Q153" s="20">
        <f t="shared" si="108"/>
        <v>4.2330868906469593E-12</v>
      </c>
      <c r="R153" s="59">
        <f t="shared" si="109"/>
        <v>293.33333333333752</v>
      </c>
      <c r="S153" s="59">
        <f ca="1">AVERAGE(OFFSET($R$3,0,0,'Données projet'!$E$9+1,1))-AVERAGE(OFFSET($H$3,0,0,'Données projet'!$E$9+1,1))</f>
        <v>158.58786357608489</v>
      </c>
      <c r="T153" s="59">
        <f t="shared" si="142"/>
        <v>163.20074068819849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0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497</v>
      </c>
      <c r="AJ153" s="13">
        <f>AI153*VLOOKUP('Données projet'!$B$10,Paramètres!$A$1:$I$89,3,0)*VLOOKUP('Données projet'!$B$10,Paramètres!$A$1:$I$89,5,0)</f>
        <v>297.20600000000002</v>
      </c>
      <c r="AK153" s="13">
        <f t="shared" si="143"/>
        <v>70.590415164571112</v>
      </c>
      <c r="AL153" s="20">
        <f t="shared" si="112"/>
        <v>640.57875641162809</v>
      </c>
      <c r="AM153" s="59">
        <f t="shared" si="113"/>
        <v>933.91208974496135</v>
      </c>
      <c r="AN153" s="59">
        <f ca="1">AVERAGE(OFFSET($AM$3,0,0,'Données projet'!$E$10+1,1))-AVERAGE(OFFSET($H$3,0,0,'Données projet'!$E$10+1,1))</f>
        <v>270.30888762640245</v>
      </c>
      <c r="AO153" s="59">
        <f t="shared" si="144"/>
        <v>202.23783851977691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0.19892550182004295</v>
      </c>
      <c r="AV153" s="21">
        <f>EXP(-LN(2)/25)*AV152+(1-EXP(-LN(2)/25))/(LN(2)/25)*Calculateur!AQ153*Calculateur!AS153*VLOOKUP('Données projet'!$B$10,Paramètres!$A$1:$I$89,3,0)*0.475*44/12</f>
        <v>0.4413589188062203</v>
      </c>
      <c r="AW153" s="21">
        <f>EXP(-LN(2)/2)*AW152+(1-EXP(-LN(2)/2))/(LN(2)/2)*AQ153*AT153*VLOOKUP('Données projet'!$B$10,Paramètres!$A$1:$I$89,3,0)*0.475*44/12</f>
        <v>1.6039781123493461E-17</v>
      </c>
      <c r="AX153" s="21">
        <f t="shared" si="114"/>
        <v>0.64028442062626323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-1.7053025658242404E-13</v>
      </c>
      <c r="BE153" s="13">
        <f>BD153*VLOOKUP('Données projet'!$B$11,Paramètres!$A$1:$I$89,3,0)*VLOOKUP('Données projet'!$B$11,Paramètres!$A$1:$I$89,5,0)</f>
        <v>-1.0197709343628959E-13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243.85350804244348</v>
      </c>
      <c r="BJ153" s="59">
        <f t="shared" si="146"/>
        <v>304.60992308960545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0.42033541642360595</v>
      </c>
      <c r="BQ153" s="21">
        <f>EXP(-LN(2)/25)*BQ152+(1-EXP(-LN(2)/25))/(LN(2)/25)*Calculateur!BL153*Calculateur!BN153*VLOOKUP('Données projet'!$B$11,Paramètres!$A$1:$I$89,3,0)*0.475*44/12</f>
        <v>0.63641122300008945</v>
      </c>
      <c r="BR153" s="21">
        <f>EXP(-LN(2)/2)*BR152+(1-EXP(-LN(2)/2))/(LN(2)/2)*BL153*BO153*VLOOKUP('Données projet'!$B$11,Paramètres!$A$1:$I$89,3,0)*0.475*44/12</f>
        <v>3.2423946576887361E-18</v>
      </c>
      <c r="BS153" s="22">
        <f t="shared" si="117"/>
        <v>1.0567466394236953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1.5961632016114892E-13</v>
      </c>
      <c r="P154" s="13">
        <f t="shared" si="141"/>
        <v>2.2708641912150958E-12</v>
      </c>
      <c r="Q154" s="20">
        <f t="shared" ref="Q154:Q203" si="162">(O154+P154)*0.475*44/12</f>
        <v>4.2330868906469593E-12</v>
      </c>
      <c r="R154" s="59">
        <f t="shared" si="109"/>
        <v>293.33333333333752</v>
      </c>
      <c r="S154" s="59">
        <f ca="1">AVERAGE(OFFSET($R$3,0,0,'Données projet'!$E$9+1,1))-AVERAGE(OFFSET($H$3,0,0,'Données projet'!$E$9+1,1))</f>
        <v>158.58786357608489</v>
      </c>
      <c r="T154" s="59">
        <f t="shared" si="142"/>
        <v>163.20074068819849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0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497</v>
      </c>
      <c r="AJ154" s="13">
        <f>AI154*VLOOKUP('Données projet'!$B$10,Paramètres!$A$1:$I$89,3,0)*VLOOKUP('Données projet'!$B$10,Paramètres!$A$1:$I$89,5,0)</f>
        <v>297.20600000000002</v>
      </c>
      <c r="AK154" s="13">
        <f t="shared" ref="AK154:AK203" si="164">EXP(-1.0587+0.8836*LN(AJ154)+0.284)</f>
        <v>70.590415164571112</v>
      </c>
      <c r="AL154" s="20">
        <f t="shared" ref="AL154:AL203" si="165">(AJ154+AK154)*0.475*44/12</f>
        <v>640.57875641162809</v>
      </c>
      <c r="AM154" s="59">
        <f t="shared" si="113"/>
        <v>933.91208974496135</v>
      </c>
      <c r="AN154" s="59">
        <f ca="1">AVERAGE(OFFSET($AM$3,0,0,'Données projet'!$E$10+1,1))-AVERAGE(OFFSET($H$3,0,0,'Données projet'!$E$10+1,1))</f>
        <v>270.30888762640245</v>
      </c>
      <c r="AO154" s="59">
        <f t="shared" si="144"/>
        <v>202.23783851977691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0.19502469406192743</v>
      </c>
      <c r="AV154" s="21">
        <f>EXP(-LN(2)/25)*AV153+(1-EXP(-LN(2)/25))/(LN(2)/25)*Calculateur!AQ154*Calculateur!AS154*VLOOKUP('Données projet'!$B$10,Paramètres!$A$1:$I$89,3,0)*0.475*44/12</f>
        <v>0.42928993596140741</v>
      </c>
      <c r="AW154" s="21">
        <f>EXP(-LN(2)/2)*AW153+(1-EXP(-LN(2)/2))/(LN(2)/2)*AQ154*AT154*VLOOKUP('Données projet'!$B$10,Paramètres!$A$1:$I$89,3,0)*0.475*44/12</f>
        <v>1.1341838001170207E-17</v>
      </c>
      <c r="AX154" s="21">
        <f t="shared" ref="AX154:AX203" si="166">SUM(AU154:AW154)</f>
        <v>0.62431463002333487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-1.7053025658242404E-13</v>
      </c>
      <c r="BE154" s="13">
        <f>BD154*VLOOKUP('Données projet'!$B$11,Paramètres!$A$1:$I$89,3,0)*VLOOKUP('Données projet'!$B$11,Paramètres!$A$1:$I$89,5,0)</f>
        <v>-1.0197709343628959E-13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243.85350804244348</v>
      </c>
      <c r="BJ154" s="59">
        <f t="shared" si="146"/>
        <v>304.60992308960545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0.41209289528682769</v>
      </c>
      <c r="BQ154" s="21">
        <f>EXP(-LN(2)/25)*BQ153+(1-EXP(-LN(2)/25))/(LN(2)/25)*Calculateur!BL154*Calculateur!BN154*VLOOKUP('Données projet'!$B$11,Paramètres!$A$1:$I$89,3,0)*0.475*44/12</f>
        <v>0.61900852463974032</v>
      </c>
      <c r="BR154" s="21">
        <f>EXP(-LN(2)/2)*BR153+(1-EXP(-LN(2)/2))/(LN(2)/2)*BL154*BO154*VLOOKUP('Données projet'!$B$11,Paramètres!$A$1:$I$89,3,0)*0.475*44/12</f>
        <v>2.2927192497347397E-18</v>
      </c>
      <c r="BS154" s="22">
        <f t="shared" ref="BS154:BS203" si="169">SUM(BP154:BR154)</f>
        <v>1.031101419926568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1.5961632016114892E-13</v>
      </c>
      <c r="P155" s="13">
        <f t="shared" si="141"/>
        <v>2.2708641912150958E-12</v>
      </c>
      <c r="Q155" s="20">
        <f t="shared" si="162"/>
        <v>4.2330868906469593E-12</v>
      </c>
      <c r="R155" s="59">
        <f t="shared" si="109"/>
        <v>293.33333333333752</v>
      </c>
      <c r="S155" s="59">
        <f ca="1">AVERAGE(OFFSET($R$3,0,0,'Données projet'!$E$9+1,1))-AVERAGE(OFFSET($H$3,0,0,'Données projet'!$E$9+1,1))</f>
        <v>158.58786357608489</v>
      </c>
      <c r="T155" s="59">
        <f t="shared" si="142"/>
        <v>163.20074068819849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0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497</v>
      </c>
      <c r="AJ155" s="13">
        <f>AI155*VLOOKUP('Données projet'!$B$10,Paramètres!$A$1:$I$89,3,0)*VLOOKUP('Données projet'!$B$10,Paramètres!$A$1:$I$89,5,0)</f>
        <v>297.20600000000002</v>
      </c>
      <c r="AK155" s="13">
        <f t="shared" si="164"/>
        <v>70.590415164571112</v>
      </c>
      <c r="AL155" s="20">
        <f t="shared" si="165"/>
        <v>640.57875641162809</v>
      </c>
      <c r="AM155" s="59">
        <f t="shared" si="113"/>
        <v>933.91208974496135</v>
      </c>
      <c r="AN155" s="59">
        <f ca="1">AVERAGE(OFFSET($AM$3,0,0,'Données projet'!$E$10+1,1))-AVERAGE(OFFSET($H$3,0,0,'Données projet'!$E$10+1,1))</f>
        <v>270.30888762640245</v>
      </c>
      <c r="AO155" s="59">
        <f t="shared" si="144"/>
        <v>202.23783851977691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0.19120037876469076</v>
      </c>
      <c r="AV155" s="21">
        <f>EXP(-LN(2)/25)*AV154+(1-EXP(-LN(2)/25))/(LN(2)/25)*Calculateur!AQ155*Calculateur!AS155*VLOOKUP('Données projet'!$B$10,Paramètres!$A$1:$I$89,3,0)*0.475*44/12</f>
        <v>0.41755098008716612</v>
      </c>
      <c r="AW155" s="21">
        <f>EXP(-LN(2)/2)*AW154+(1-EXP(-LN(2)/2))/(LN(2)/2)*AQ155*AT155*VLOOKUP('Données projet'!$B$10,Paramètres!$A$1:$I$89,3,0)*0.475*44/12</f>
        <v>8.0198905617467307E-18</v>
      </c>
      <c r="AX155" s="21">
        <f t="shared" si="166"/>
        <v>0.60875135885185694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-1.7053025658242404E-13</v>
      </c>
      <c r="BE155" s="13">
        <f>BD155*VLOOKUP('Données projet'!$B$11,Paramètres!$A$1:$I$89,3,0)*VLOOKUP('Données projet'!$B$11,Paramètres!$A$1:$I$89,5,0)</f>
        <v>-1.0197709343628959E-13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243.85350804244348</v>
      </c>
      <c r="BJ155" s="59">
        <f t="shared" si="146"/>
        <v>304.60992308960545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0.40401200496210021</v>
      </c>
      <c r="BQ155" s="21">
        <f>EXP(-LN(2)/25)*BQ154+(1-EXP(-LN(2)/25))/(LN(2)/25)*Calculateur!BL155*Calculateur!BN155*VLOOKUP('Données projet'!$B$11,Paramètres!$A$1:$I$89,3,0)*0.475*44/12</f>
        <v>0.60208170398122307</v>
      </c>
      <c r="BR155" s="21">
        <f>EXP(-LN(2)/2)*BR154+(1-EXP(-LN(2)/2))/(LN(2)/2)*BL155*BO155*VLOOKUP('Données projet'!$B$11,Paramètres!$A$1:$I$89,3,0)*0.475*44/12</f>
        <v>1.621197328844368E-18</v>
      </c>
      <c r="BS155" s="22">
        <f t="shared" si="169"/>
        <v>1.0060937089433233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1.5961632016114892E-13</v>
      </c>
      <c r="P156" s="13">
        <f t="shared" si="141"/>
        <v>2.2708641912150958E-12</v>
      </c>
      <c r="Q156" s="20">
        <f t="shared" si="162"/>
        <v>4.2330868906469593E-12</v>
      </c>
      <c r="R156" s="59">
        <f t="shared" si="109"/>
        <v>293.33333333333752</v>
      </c>
      <c r="S156" s="59">
        <f ca="1">AVERAGE(OFFSET($R$3,0,0,'Données projet'!$E$9+1,1))-AVERAGE(OFFSET($H$3,0,0,'Données projet'!$E$9+1,1))</f>
        <v>158.58786357608489</v>
      </c>
      <c r="T156" s="59">
        <f t="shared" si="142"/>
        <v>163.20074068819849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0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497</v>
      </c>
      <c r="AJ156" s="13">
        <f>AI156*VLOOKUP('Données projet'!$B$10,Paramètres!$A$1:$I$89,3,0)*VLOOKUP('Données projet'!$B$10,Paramètres!$A$1:$I$89,5,0)</f>
        <v>297.20600000000002</v>
      </c>
      <c r="AK156" s="13">
        <f t="shared" si="164"/>
        <v>70.590415164571112</v>
      </c>
      <c r="AL156" s="20">
        <f t="shared" si="165"/>
        <v>640.57875641162809</v>
      </c>
      <c r="AM156" s="59">
        <f t="shared" si="113"/>
        <v>933.91208974496135</v>
      </c>
      <c r="AN156" s="59">
        <f ca="1">AVERAGE(OFFSET($AM$3,0,0,'Données projet'!$E$10+1,1))-AVERAGE(OFFSET($H$3,0,0,'Données projet'!$E$10+1,1))</f>
        <v>270.30888762640245</v>
      </c>
      <c r="AO156" s="59">
        <f t="shared" si="144"/>
        <v>202.23783851977691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0.18745105595783088</v>
      </c>
      <c r="AV156" s="21">
        <f>EXP(-LN(2)/25)*AV155+(1-EXP(-LN(2)/25))/(LN(2)/25)*Calculateur!AQ156*Calculateur!AS156*VLOOKUP('Données projet'!$B$10,Paramètres!$A$1:$I$89,3,0)*0.475*44/12</f>
        <v>0.40613302657863087</v>
      </c>
      <c r="AW156" s="21">
        <f>EXP(-LN(2)/2)*AW155+(1-EXP(-LN(2)/2))/(LN(2)/2)*AQ156*AT156*VLOOKUP('Données projet'!$B$10,Paramètres!$A$1:$I$89,3,0)*0.475*44/12</f>
        <v>5.6709190005851033E-18</v>
      </c>
      <c r="AX156" s="21">
        <f t="shared" si="166"/>
        <v>0.59358408253646178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-1.7053025658242404E-13</v>
      </c>
      <c r="BE156" s="13">
        <f>BD156*VLOOKUP('Données projet'!$B$11,Paramètres!$A$1:$I$89,3,0)*VLOOKUP('Données projet'!$B$11,Paramètres!$A$1:$I$89,5,0)</f>
        <v>-1.0197709343628959E-13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243.85350804244348</v>
      </c>
      <c r="BJ156" s="59">
        <f t="shared" si="146"/>
        <v>304.60992308960545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0.39608957596778421</v>
      </c>
      <c r="BQ156" s="21">
        <f>EXP(-LN(2)/25)*BQ155+(1-EXP(-LN(2)/25))/(LN(2)/25)*Calculateur!BL156*Calculateur!BN156*VLOOKUP('Données projet'!$B$11,Paramètres!$A$1:$I$89,3,0)*0.475*44/12</f>
        <v>0.58561774812375578</v>
      </c>
      <c r="BR156" s="21">
        <f>EXP(-LN(2)/2)*BR155+(1-EXP(-LN(2)/2))/(LN(2)/2)*BL156*BO156*VLOOKUP('Données projet'!$B$11,Paramètres!$A$1:$I$89,3,0)*0.475*44/12</f>
        <v>1.1463596248673699E-18</v>
      </c>
      <c r="BS156" s="22">
        <f t="shared" si="169"/>
        <v>0.98170732409153993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1.5961632016114892E-13</v>
      </c>
      <c r="P157" s="13">
        <f t="shared" si="141"/>
        <v>2.2708641912150958E-12</v>
      </c>
      <c r="Q157" s="20">
        <f t="shared" si="162"/>
        <v>4.2330868906469593E-12</v>
      </c>
      <c r="R157" s="59">
        <f t="shared" si="109"/>
        <v>293.33333333333752</v>
      </c>
      <c r="S157" s="59">
        <f ca="1">AVERAGE(OFFSET($R$3,0,0,'Données projet'!$E$9+1,1))-AVERAGE(OFFSET($H$3,0,0,'Données projet'!$E$9+1,1))</f>
        <v>158.58786357608489</v>
      </c>
      <c r="T157" s="59">
        <f t="shared" si="142"/>
        <v>163.20074068819849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0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497</v>
      </c>
      <c r="AJ157" s="13">
        <f>AI157*VLOOKUP('Données projet'!$B$10,Paramètres!$A$1:$I$89,3,0)*VLOOKUP('Données projet'!$B$10,Paramètres!$A$1:$I$89,5,0)</f>
        <v>297.20600000000002</v>
      </c>
      <c r="AK157" s="13">
        <f t="shared" si="164"/>
        <v>70.590415164571112</v>
      </c>
      <c r="AL157" s="20">
        <f t="shared" si="165"/>
        <v>640.57875641162809</v>
      </c>
      <c r="AM157" s="59">
        <f t="shared" si="113"/>
        <v>933.91208974496135</v>
      </c>
      <c r="AN157" s="59">
        <f ca="1">AVERAGE(OFFSET($AM$3,0,0,'Données projet'!$E$10+1,1))-AVERAGE(OFFSET($H$3,0,0,'Données projet'!$E$10+1,1))</f>
        <v>270.30888762640245</v>
      </c>
      <c r="AO157" s="59">
        <f t="shared" si="144"/>
        <v>202.23783851977691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0.18377525508435241</v>
      </c>
      <c r="AV157" s="21">
        <f>EXP(-LN(2)/25)*AV156+(1-EXP(-LN(2)/25))/(LN(2)/25)*Calculateur!AQ157*Calculateur!AS157*VLOOKUP('Données projet'!$B$10,Paramètres!$A$1:$I$89,3,0)*0.475*44/12</f>
        <v>0.39502729760923055</v>
      </c>
      <c r="AW157" s="21">
        <f>EXP(-LN(2)/2)*AW156+(1-EXP(-LN(2)/2))/(LN(2)/2)*AQ157*AT157*VLOOKUP('Données projet'!$B$10,Paramètres!$A$1:$I$89,3,0)*0.475*44/12</f>
        <v>4.0099452808733654E-18</v>
      </c>
      <c r="AX157" s="21">
        <f t="shared" si="166"/>
        <v>0.57880255269358294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-1.7053025658242404E-13</v>
      </c>
      <c r="BE157" s="13">
        <f>BD157*VLOOKUP('Données projet'!$B$11,Paramètres!$A$1:$I$89,3,0)*VLOOKUP('Données projet'!$B$11,Paramètres!$A$1:$I$89,5,0)</f>
        <v>-1.0197709343628959E-13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243.85350804244348</v>
      </c>
      <c r="BJ157" s="59">
        <f t="shared" si="146"/>
        <v>304.60992308960545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0.38832250097384219</v>
      </c>
      <c r="BQ157" s="21">
        <f>EXP(-LN(2)/25)*BQ156+(1-EXP(-LN(2)/25))/(LN(2)/25)*Calculateur!BL157*Calculateur!BN157*VLOOKUP('Données projet'!$B$11,Paramètres!$A$1:$I$89,3,0)*0.475*44/12</f>
        <v>0.56960400000501277</v>
      </c>
      <c r="BR157" s="21">
        <f>EXP(-LN(2)/2)*BR156+(1-EXP(-LN(2)/2))/(LN(2)/2)*BL157*BO157*VLOOKUP('Données projet'!$B$11,Paramètres!$A$1:$I$89,3,0)*0.475*44/12</f>
        <v>8.1059866442218401E-19</v>
      </c>
      <c r="BS157" s="22">
        <f t="shared" si="169"/>
        <v>0.9579265009788549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1.5961632016114892E-13</v>
      </c>
      <c r="P158" s="13">
        <f t="shared" si="141"/>
        <v>2.2708641912150958E-12</v>
      </c>
      <c r="Q158" s="20">
        <f t="shared" si="162"/>
        <v>4.2330868906469593E-12</v>
      </c>
      <c r="R158" s="59">
        <f t="shared" si="109"/>
        <v>293.33333333333752</v>
      </c>
      <c r="S158" s="59">
        <f ca="1">AVERAGE(OFFSET($R$3,0,0,'Données projet'!$E$9+1,1))-AVERAGE(OFFSET($H$3,0,0,'Données projet'!$E$9+1,1))</f>
        <v>158.58786357608489</v>
      </c>
      <c r="T158" s="59">
        <f t="shared" si="142"/>
        <v>163.20074068819849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0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497</v>
      </c>
      <c r="AJ158" s="13">
        <f>AI158*VLOOKUP('Données projet'!$B$10,Paramètres!$A$1:$I$89,3,0)*VLOOKUP('Données projet'!$B$10,Paramètres!$A$1:$I$89,5,0)</f>
        <v>297.20600000000002</v>
      </c>
      <c r="AK158" s="13">
        <f t="shared" si="164"/>
        <v>70.590415164571112</v>
      </c>
      <c r="AL158" s="20">
        <f t="shared" si="165"/>
        <v>640.57875641162809</v>
      </c>
      <c r="AM158" s="59">
        <f t="shared" si="113"/>
        <v>933.91208974496135</v>
      </c>
      <c r="AN158" s="59">
        <f ca="1">AVERAGE(OFFSET($AM$3,0,0,'Données projet'!$E$10+1,1))-AVERAGE(OFFSET($H$3,0,0,'Données projet'!$E$10+1,1))</f>
        <v>270.30888762640245</v>
      </c>
      <c r="AO158" s="59">
        <f t="shared" si="144"/>
        <v>202.23783851977691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0.1801715344239857</v>
      </c>
      <c r="AV158" s="21">
        <f>EXP(-LN(2)/25)*AV157+(1-EXP(-LN(2)/25))/(LN(2)/25)*Calculateur!AQ158*Calculateur!AS158*VLOOKUP('Données projet'!$B$10,Paramètres!$A$1:$I$89,3,0)*0.475*44/12</f>
        <v>0.38422525538252339</v>
      </c>
      <c r="AW158" s="21">
        <f>EXP(-LN(2)/2)*AW157+(1-EXP(-LN(2)/2))/(LN(2)/2)*AQ158*AT158*VLOOKUP('Données projet'!$B$10,Paramètres!$A$1:$I$89,3,0)*0.475*44/12</f>
        <v>2.8354595002925516E-18</v>
      </c>
      <c r="AX158" s="21">
        <f t="shared" si="166"/>
        <v>0.56439678980650909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-1.7053025658242404E-13</v>
      </c>
      <c r="BE158" s="13">
        <f>BD158*VLOOKUP('Données projet'!$B$11,Paramètres!$A$1:$I$89,3,0)*VLOOKUP('Données projet'!$B$11,Paramètres!$A$1:$I$89,5,0)</f>
        <v>-1.0197709343628959E-13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243.85350804244348</v>
      </c>
      <c r="BJ158" s="59">
        <f t="shared" si="146"/>
        <v>304.60992308960545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0.38070773358308341</v>
      </c>
      <c r="BQ158" s="21">
        <f>EXP(-LN(2)/25)*BQ157+(1-EXP(-LN(2)/25))/(LN(2)/25)*Calculateur!BL158*Calculateur!BN158*VLOOKUP('Données projet'!$B$11,Paramètres!$A$1:$I$89,3,0)*0.475*44/12</f>
        <v>0.55402814867070316</v>
      </c>
      <c r="BR158" s="21">
        <f>EXP(-LN(2)/2)*BR157+(1-EXP(-LN(2)/2))/(LN(2)/2)*BL158*BO158*VLOOKUP('Données projet'!$B$11,Paramètres!$A$1:$I$89,3,0)*0.475*44/12</f>
        <v>5.7317981243368493E-19</v>
      </c>
      <c r="BS158" s="22">
        <f t="shared" si="169"/>
        <v>0.93473588225378657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1.5961632016114892E-13</v>
      </c>
      <c r="P159" s="13">
        <f t="shared" si="141"/>
        <v>2.2708641912150958E-12</v>
      </c>
      <c r="Q159" s="20">
        <f t="shared" si="162"/>
        <v>4.2330868906469593E-12</v>
      </c>
      <c r="R159" s="59">
        <f t="shared" si="109"/>
        <v>293.33333333333752</v>
      </c>
      <c r="S159" s="59">
        <f ca="1">AVERAGE(OFFSET($R$3,0,0,'Données projet'!$E$9+1,1))-AVERAGE(OFFSET($H$3,0,0,'Données projet'!$E$9+1,1))</f>
        <v>158.58786357608489</v>
      </c>
      <c r="T159" s="59">
        <f t="shared" si="142"/>
        <v>163.20074068819849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0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497</v>
      </c>
      <c r="AJ159" s="13">
        <f>AI159*VLOOKUP('Données projet'!$B$10,Paramètres!$A$1:$I$89,3,0)*VLOOKUP('Données projet'!$B$10,Paramètres!$A$1:$I$89,5,0)</f>
        <v>297.20600000000002</v>
      </c>
      <c r="AK159" s="13">
        <f t="shared" si="164"/>
        <v>70.590415164571112</v>
      </c>
      <c r="AL159" s="20">
        <f t="shared" si="165"/>
        <v>640.57875641162809</v>
      </c>
      <c r="AM159" s="59">
        <f t="shared" si="113"/>
        <v>933.91208974496135</v>
      </c>
      <c r="AN159" s="59">
        <f ca="1">AVERAGE(OFFSET($AM$3,0,0,'Données projet'!$E$10+1,1))-AVERAGE(OFFSET($H$3,0,0,'Données projet'!$E$10+1,1))</f>
        <v>270.30888762640245</v>
      </c>
      <c r="AO159" s="59">
        <f t="shared" si="144"/>
        <v>202.23783851977691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0.17663848052771622</v>
      </c>
      <c r="AV159" s="21">
        <f>EXP(-LN(2)/25)*AV158+(1-EXP(-LN(2)/25))/(LN(2)/25)*Calculateur!AQ159*Calculateur!AS159*VLOOKUP('Données projet'!$B$10,Paramètres!$A$1:$I$89,3,0)*0.475*44/12</f>
        <v>0.37371859556856024</v>
      </c>
      <c r="AW159" s="21">
        <f>EXP(-LN(2)/2)*AW158+(1-EXP(-LN(2)/2))/(LN(2)/2)*AQ159*AT159*VLOOKUP('Données projet'!$B$10,Paramètres!$A$1:$I$89,3,0)*0.475*44/12</f>
        <v>2.0049726404366827E-18</v>
      </c>
      <c r="AX159" s="21">
        <f t="shared" si="166"/>
        <v>0.55035707609627649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-1.7053025658242404E-13</v>
      </c>
      <c r="BE159" s="13">
        <f>BD159*VLOOKUP('Données projet'!$B$11,Paramètres!$A$1:$I$89,3,0)*VLOOKUP('Données projet'!$B$11,Paramètres!$A$1:$I$89,5,0)</f>
        <v>-1.0197709343628959E-13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243.85350804244348</v>
      </c>
      <c r="BJ159" s="59">
        <f t="shared" si="146"/>
        <v>304.60992308960545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0.37324228713630792</v>
      </c>
      <c r="BQ159" s="21">
        <f>EXP(-LN(2)/25)*BQ158+(1-EXP(-LN(2)/25))/(LN(2)/25)*Calculateur!BL159*Calculateur!BN159*VLOOKUP('Données projet'!$B$11,Paramètres!$A$1:$I$89,3,0)*0.475*44/12</f>
        <v>0.53887821981022865</v>
      </c>
      <c r="BR159" s="21">
        <f>EXP(-LN(2)/2)*BR158+(1-EXP(-LN(2)/2))/(LN(2)/2)*BL159*BO159*VLOOKUP('Données projet'!$B$11,Paramètres!$A$1:$I$89,3,0)*0.475*44/12</f>
        <v>4.0529933221109201E-19</v>
      </c>
      <c r="BS159" s="22">
        <f t="shared" si="169"/>
        <v>0.91212050694653657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1.5961632016114892E-13</v>
      </c>
      <c r="P160" s="13">
        <f t="shared" si="141"/>
        <v>2.2708641912150958E-12</v>
      </c>
      <c r="Q160" s="20">
        <f t="shared" si="162"/>
        <v>4.2330868906469593E-12</v>
      </c>
      <c r="R160" s="59">
        <f t="shared" si="109"/>
        <v>293.33333333333752</v>
      </c>
      <c r="S160" s="59">
        <f ca="1">AVERAGE(OFFSET($R$3,0,0,'Données projet'!$E$9+1,1))-AVERAGE(OFFSET($H$3,0,0,'Données projet'!$E$9+1,1))</f>
        <v>158.58786357608489</v>
      </c>
      <c r="T160" s="59">
        <f t="shared" si="142"/>
        <v>163.20074068819849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0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497</v>
      </c>
      <c r="AJ160" s="13">
        <f>AI160*VLOOKUP('Données projet'!$B$10,Paramètres!$A$1:$I$89,3,0)*VLOOKUP('Données projet'!$B$10,Paramètres!$A$1:$I$89,5,0)</f>
        <v>297.20600000000002</v>
      </c>
      <c r="AK160" s="13">
        <f t="shared" si="164"/>
        <v>70.590415164571112</v>
      </c>
      <c r="AL160" s="20">
        <f t="shared" si="165"/>
        <v>640.57875641162809</v>
      </c>
      <c r="AM160" s="59">
        <f t="shared" si="113"/>
        <v>933.91208974496135</v>
      </c>
      <c r="AN160" s="59">
        <f ca="1">AVERAGE(OFFSET($AM$3,0,0,'Données projet'!$E$10+1,1))-AVERAGE(OFFSET($H$3,0,0,'Données projet'!$E$10+1,1))</f>
        <v>270.30888762640245</v>
      </c>
      <c r="AO160" s="59">
        <f t="shared" si="144"/>
        <v>202.23783851977691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0.17317470766340251</v>
      </c>
      <c r="AV160" s="21">
        <f>EXP(-LN(2)/25)*AV159+(1-EXP(-LN(2)/25))/(LN(2)/25)*Calculateur!AQ160*Calculateur!AS160*VLOOKUP('Données projet'!$B$10,Paramètres!$A$1:$I$89,3,0)*0.475*44/12</f>
        <v>0.36349924091973118</v>
      </c>
      <c r="AW160" s="21">
        <f>EXP(-LN(2)/2)*AW159+(1-EXP(-LN(2)/2))/(LN(2)/2)*AQ160*AT160*VLOOKUP('Données projet'!$B$10,Paramètres!$A$1:$I$89,3,0)*0.475*44/12</f>
        <v>1.4177297501462758E-18</v>
      </c>
      <c r="AX160" s="21">
        <f t="shared" si="166"/>
        <v>0.53667394858313366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-1.7053025658242404E-13</v>
      </c>
      <c r="BE160" s="13">
        <f>BD160*VLOOKUP('Données projet'!$B$11,Paramètres!$A$1:$I$89,3,0)*VLOOKUP('Données projet'!$B$11,Paramètres!$A$1:$I$89,5,0)</f>
        <v>-1.0197709343628959E-13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243.85350804244348</v>
      </c>
      <c r="BJ160" s="59">
        <f t="shared" si="146"/>
        <v>304.60992308960545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0.36592323354088097</v>
      </c>
      <c r="BQ160" s="21">
        <f>EXP(-LN(2)/25)*BQ159+(1-EXP(-LN(2)/25))/(LN(2)/25)*Calculateur!BL160*Calculateur!BN160*VLOOKUP('Données projet'!$B$11,Paramètres!$A$1:$I$89,3,0)*0.475*44/12</f>
        <v>0.524142566551144</v>
      </c>
      <c r="BR160" s="21">
        <f>EXP(-LN(2)/2)*BR159+(1-EXP(-LN(2)/2))/(LN(2)/2)*BL160*BO160*VLOOKUP('Données projet'!$B$11,Paramètres!$A$1:$I$89,3,0)*0.475*44/12</f>
        <v>2.8658990621684247E-19</v>
      </c>
      <c r="BS160" s="22">
        <f t="shared" si="169"/>
        <v>0.89006580009202496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1.5961632016114892E-13</v>
      </c>
      <c r="P161" s="13">
        <f t="shared" si="141"/>
        <v>2.2708641912150958E-12</v>
      </c>
      <c r="Q161" s="20">
        <f t="shared" si="162"/>
        <v>4.2330868906469593E-12</v>
      </c>
      <c r="R161" s="59">
        <f t="shared" si="109"/>
        <v>293.33333333333752</v>
      </c>
      <c r="S161" s="59">
        <f ca="1">AVERAGE(OFFSET($R$3,0,0,'Données projet'!$E$9+1,1))-AVERAGE(OFFSET($H$3,0,0,'Données projet'!$E$9+1,1))</f>
        <v>158.58786357608489</v>
      </c>
      <c r="T161" s="59">
        <f t="shared" si="142"/>
        <v>163.20074068819849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0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497</v>
      </c>
      <c r="AJ161" s="13">
        <f>AI161*VLOOKUP('Données projet'!$B$10,Paramètres!$A$1:$I$89,3,0)*VLOOKUP('Données projet'!$B$10,Paramètres!$A$1:$I$89,5,0)</f>
        <v>297.20600000000002</v>
      </c>
      <c r="AK161" s="13">
        <f t="shared" si="164"/>
        <v>70.590415164571112</v>
      </c>
      <c r="AL161" s="20">
        <f t="shared" si="165"/>
        <v>640.57875641162809</v>
      </c>
      <c r="AM161" s="59">
        <f t="shared" si="113"/>
        <v>933.91208974496135</v>
      </c>
      <c r="AN161" s="59">
        <f ca="1">AVERAGE(OFFSET($AM$3,0,0,'Données projet'!$E$10+1,1))-AVERAGE(OFFSET($H$3,0,0,'Données projet'!$E$10+1,1))</f>
        <v>270.30888762640245</v>
      </c>
      <c r="AO161" s="59">
        <f t="shared" si="144"/>
        <v>202.23783851977691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0.16977885727226516</v>
      </c>
      <c r="AV161" s="21">
        <f>EXP(-LN(2)/25)*AV160+(1-EXP(-LN(2)/25))/(LN(2)/25)*Calculateur!AQ161*Calculateur!AS161*VLOOKUP('Données projet'!$B$10,Paramètres!$A$1:$I$89,3,0)*0.475*44/12</f>
        <v>0.35355933506118686</v>
      </c>
      <c r="AW161" s="21">
        <f>EXP(-LN(2)/2)*AW160+(1-EXP(-LN(2)/2))/(LN(2)/2)*AQ161*AT161*VLOOKUP('Données projet'!$B$10,Paramètres!$A$1:$I$89,3,0)*0.475*44/12</f>
        <v>1.0024863202183413E-18</v>
      </c>
      <c r="AX161" s="21">
        <f t="shared" si="166"/>
        <v>0.52333819233345202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-1.7053025658242404E-13</v>
      </c>
      <c r="BE161" s="13">
        <f>BD161*VLOOKUP('Données projet'!$B$11,Paramètres!$A$1:$I$89,3,0)*VLOOKUP('Données projet'!$B$11,Paramètres!$A$1:$I$89,5,0)</f>
        <v>-1.0197709343628959E-13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243.85350804244348</v>
      </c>
      <c r="BJ161" s="59">
        <f t="shared" si="146"/>
        <v>304.60992308960545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0.35874770212227847</v>
      </c>
      <c r="BQ161" s="21">
        <f>EXP(-LN(2)/25)*BQ160+(1-EXP(-LN(2)/25))/(LN(2)/25)*Calculateur!BL161*Calculateur!BN161*VLOOKUP('Données projet'!$B$11,Paramètres!$A$1:$I$89,3,0)*0.475*44/12</f>
        <v>0.50980986050534338</v>
      </c>
      <c r="BR161" s="21">
        <f>EXP(-LN(2)/2)*BR160+(1-EXP(-LN(2)/2))/(LN(2)/2)*BL161*BO161*VLOOKUP('Données projet'!$B$11,Paramètres!$A$1:$I$89,3,0)*0.475*44/12</f>
        <v>2.02649666105546E-19</v>
      </c>
      <c r="BS161" s="22">
        <f t="shared" si="169"/>
        <v>0.86855756262762185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1.5961632016114892E-13</v>
      </c>
      <c r="P162" s="13">
        <f t="shared" si="141"/>
        <v>2.2708641912150958E-12</v>
      </c>
      <c r="Q162" s="20">
        <f t="shared" si="162"/>
        <v>4.2330868906469593E-12</v>
      </c>
      <c r="R162" s="59">
        <f t="shared" si="109"/>
        <v>293.33333333333752</v>
      </c>
      <c r="S162" s="59">
        <f ca="1">AVERAGE(OFFSET($R$3,0,0,'Données projet'!$E$9+1,1))-AVERAGE(OFFSET($H$3,0,0,'Données projet'!$E$9+1,1))</f>
        <v>158.58786357608489</v>
      </c>
      <c r="T162" s="59">
        <f t="shared" si="142"/>
        <v>163.20074068819849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0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497</v>
      </c>
      <c r="AJ162" s="13">
        <f>AI162*VLOOKUP('Données projet'!$B$10,Paramètres!$A$1:$I$89,3,0)*VLOOKUP('Données projet'!$B$10,Paramètres!$A$1:$I$89,5,0)</f>
        <v>297.20600000000002</v>
      </c>
      <c r="AK162" s="13">
        <f t="shared" si="164"/>
        <v>70.590415164571112</v>
      </c>
      <c r="AL162" s="20">
        <f t="shared" si="165"/>
        <v>640.57875641162809</v>
      </c>
      <c r="AM162" s="59">
        <f t="shared" si="113"/>
        <v>933.91208974496135</v>
      </c>
      <c r="AN162" s="59">
        <f ca="1">AVERAGE(OFFSET($AM$3,0,0,'Données projet'!$E$10+1,1))-AVERAGE(OFFSET($H$3,0,0,'Données projet'!$E$10+1,1))</f>
        <v>270.30888762640245</v>
      </c>
      <c r="AO162" s="59">
        <f t="shared" si="144"/>
        <v>202.23783851977691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0.16644959743603377</v>
      </c>
      <c r="AV162" s="21">
        <f>EXP(-LN(2)/25)*AV161+(1-EXP(-LN(2)/25))/(LN(2)/25)*Calculateur!AQ162*Calculateur!AS162*VLOOKUP('Données projet'!$B$10,Paramètres!$A$1:$I$89,3,0)*0.475*44/12</f>
        <v>0.34389123645106134</v>
      </c>
      <c r="AW162" s="21">
        <f>EXP(-LN(2)/2)*AW161+(1-EXP(-LN(2)/2))/(LN(2)/2)*AQ162*AT162*VLOOKUP('Données projet'!$B$10,Paramètres!$A$1:$I$89,3,0)*0.475*44/12</f>
        <v>7.0886487507313791E-19</v>
      </c>
      <c r="AX162" s="21">
        <f t="shared" si="166"/>
        <v>0.51034083388709517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-1.7053025658242404E-13</v>
      </c>
      <c r="BE162" s="13">
        <f>BD162*VLOOKUP('Données projet'!$B$11,Paramètres!$A$1:$I$89,3,0)*VLOOKUP('Données projet'!$B$11,Paramètres!$A$1:$I$89,5,0)</f>
        <v>-1.0197709343628959E-13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243.85350804244348</v>
      </c>
      <c r="BJ162" s="59">
        <f t="shared" si="146"/>
        <v>304.60992308960545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0.35171287849815275</v>
      </c>
      <c r="BQ162" s="21">
        <f>EXP(-LN(2)/25)*BQ161+(1-EXP(-LN(2)/25))/(LN(2)/25)*Calculateur!BL162*Calculateur!BN162*VLOOKUP('Données projet'!$B$11,Paramètres!$A$1:$I$89,3,0)*0.475*44/12</f>
        <v>0.49586908306008937</v>
      </c>
      <c r="BR162" s="21">
        <f>EXP(-LN(2)/2)*BR161+(1-EXP(-LN(2)/2))/(LN(2)/2)*BL162*BO162*VLOOKUP('Données projet'!$B$11,Paramètres!$A$1:$I$89,3,0)*0.475*44/12</f>
        <v>1.4329495310842123E-19</v>
      </c>
      <c r="BS162" s="22">
        <f t="shared" si="169"/>
        <v>0.84758196155824206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1.5961632016114892E-13</v>
      </c>
      <c r="P163" s="13">
        <f t="shared" si="141"/>
        <v>2.2708641912150958E-12</v>
      </c>
      <c r="Q163" s="20">
        <f t="shared" si="162"/>
        <v>4.2330868906469593E-12</v>
      </c>
      <c r="R163" s="59">
        <f t="shared" si="109"/>
        <v>293.33333333333752</v>
      </c>
      <c r="S163" s="59">
        <f ca="1">AVERAGE(OFFSET($R$3,0,0,'Données projet'!$E$9+1,1))-AVERAGE(OFFSET($H$3,0,0,'Données projet'!$E$9+1,1))</f>
        <v>158.58786357608489</v>
      </c>
      <c r="T163" s="59">
        <f t="shared" si="142"/>
        <v>163.20074068819849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0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497</v>
      </c>
      <c r="AJ163" s="13">
        <f>AI163*VLOOKUP('Données projet'!$B$10,Paramètres!$A$1:$I$89,3,0)*VLOOKUP('Données projet'!$B$10,Paramètres!$A$1:$I$89,5,0)</f>
        <v>297.20600000000002</v>
      </c>
      <c r="AK163" s="13">
        <f t="shared" si="164"/>
        <v>70.590415164571112</v>
      </c>
      <c r="AL163" s="20">
        <f t="shared" si="165"/>
        <v>640.57875641162809</v>
      </c>
      <c r="AM163" s="59">
        <f t="shared" si="113"/>
        <v>933.91208974496135</v>
      </c>
      <c r="AN163" s="59">
        <f ca="1">AVERAGE(OFFSET($AM$3,0,0,'Données projet'!$E$10+1,1))-AVERAGE(OFFSET($H$3,0,0,'Données projet'!$E$10+1,1))</f>
        <v>270.30888762640245</v>
      </c>
      <c r="AO163" s="59">
        <f t="shared" si="144"/>
        <v>202.23783851977691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0.1631856223545429</v>
      </c>
      <c r="AV163" s="21">
        <f>EXP(-LN(2)/25)*AV162+(1-EXP(-LN(2)/25))/(LN(2)/25)*Calculateur!AQ163*Calculateur!AS163*VLOOKUP('Données projet'!$B$10,Paramètres!$A$1:$I$89,3,0)*0.475*44/12</f>
        <v>0.3344875125058529</v>
      </c>
      <c r="AW163" s="21">
        <f>EXP(-LN(2)/2)*AW162+(1-EXP(-LN(2)/2))/(LN(2)/2)*AQ163*AT163*VLOOKUP('Données projet'!$B$10,Paramètres!$A$1:$I$89,3,0)*0.475*44/12</f>
        <v>5.0124316010917067E-19</v>
      </c>
      <c r="AX163" s="21">
        <f t="shared" si="166"/>
        <v>0.49767313486039577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-1.7053025658242404E-13</v>
      </c>
      <c r="BE163" s="13">
        <f>BD163*VLOOKUP('Données projet'!$B$11,Paramètres!$A$1:$I$89,3,0)*VLOOKUP('Données projet'!$B$11,Paramètres!$A$1:$I$89,5,0)</f>
        <v>-1.0197709343628959E-13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243.85350804244348</v>
      </c>
      <c r="BJ163" s="59">
        <f t="shared" si="146"/>
        <v>304.60992308960545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0.34481600347447738</v>
      </c>
      <c r="BQ163" s="21">
        <f>EXP(-LN(2)/25)*BQ162+(1-EXP(-LN(2)/25))/(LN(2)/25)*Calculateur!BL163*Calculateur!BN163*VLOOKUP('Données projet'!$B$11,Paramètres!$A$1:$I$89,3,0)*0.475*44/12</f>
        <v>0.48230951690718948</v>
      </c>
      <c r="BR163" s="21">
        <f>EXP(-LN(2)/2)*BR162+(1-EXP(-LN(2)/2))/(LN(2)/2)*BL163*BO163*VLOOKUP('Données projet'!$B$11,Paramètres!$A$1:$I$89,3,0)*0.475*44/12</f>
        <v>1.01324833052773E-19</v>
      </c>
      <c r="BS163" s="22">
        <f t="shared" si="169"/>
        <v>0.82712552038166687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1.5961632016114892E-13</v>
      </c>
      <c r="P164" s="13">
        <f t="shared" si="141"/>
        <v>2.2708641912150958E-12</v>
      </c>
      <c r="Q164" s="20">
        <f t="shared" si="162"/>
        <v>4.2330868906469593E-12</v>
      </c>
      <c r="R164" s="59">
        <f t="shared" si="109"/>
        <v>293.33333333333752</v>
      </c>
      <c r="S164" s="59">
        <f ca="1">AVERAGE(OFFSET($R$3,0,0,'Données projet'!$E$9+1,1))-AVERAGE(OFFSET($H$3,0,0,'Données projet'!$E$9+1,1))</f>
        <v>158.58786357608489</v>
      </c>
      <c r="T164" s="59">
        <f t="shared" si="142"/>
        <v>163.20074068819849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0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497</v>
      </c>
      <c r="AJ164" s="13">
        <f>AI164*VLOOKUP('Données projet'!$B$10,Paramètres!$A$1:$I$89,3,0)*VLOOKUP('Données projet'!$B$10,Paramètres!$A$1:$I$89,5,0)</f>
        <v>297.20600000000002</v>
      </c>
      <c r="AK164" s="13">
        <f t="shared" si="164"/>
        <v>70.590415164571112</v>
      </c>
      <c r="AL164" s="20">
        <f t="shared" si="165"/>
        <v>640.57875641162809</v>
      </c>
      <c r="AM164" s="59">
        <f t="shared" si="113"/>
        <v>933.91208974496135</v>
      </c>
      <c r="AN164" s="59">
        <f ca="1">AVERAGE(OFFSET($AM$3,0,0,'Données projet'!$E$10+1,1))-AVERAGE(OFFSET($H$3,0,0,'Données projet'!$E$10+1,1))</f>
        <v>270.30888762640245</v>
      </c>
      <c r="AO164" s="59">
        <f t="shared" si="144"/>
        <v>202.23783851977691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0.15998565183357183</v>
      </c>
      <c r="AV164" s="21">
        <f>EXP(-LN(2)/25)*AV163+(1-EXP(-LN(2)/25))/(LN(2)/25)*Calculateur!AQ164*Calculateur!AS164*VLOOKUP('Données projet'!$B$10,Paramètres!$A$1:$I$89,3,0)*0.475*44/12</f>
        <v>0.32534093388644653</v>
      </c>
      <c r="AW164" s="21">
        <f>EXP(-LN(2)/2)*AW163+(1-EXP(-LN(2)/2))/(LN(2)/2)*AQ164*AT164*VLOOKUP('Données projet'!$B$10,Paramètres!$A$1:$I$89,3,0)*0.475*44/12</f>
        <v>3.5443243753656895E-19</v>
      </c>
      <c r="AX164" s="21">
        <f t="shared" si="166"/>
        <v>0.48532658572001836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-1.7053025658242404E-13</v>
      </c>
      <c r="BE164" s="13">
        <f>BD164*VLOOKUP('Données projet'!$B$11,Paramètres!$A$1:$I$89,3,0)*VLOOKUP('Données projet'!$B$11,Paramètres!$A$1:$I$89,5,0)</f>
        <v>-1.0197709343628959E-13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243.85350804244348</v>
      </c>
      <c r="BJ164" s="59">
        <f t="shared" si="146"/>
        <v>304.60992308960545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0.33805437196333793</v>
      </c>
      <c r="BQ164" s="21">
        <f>EXP(-LN(2)/25)*BQ163+(1-EXP(-LN(2)/25))/(LN(2)/25)*Calculateur!BL164*Calculateur!BN164*VLOOKUP('Données projet'!$B$11,Paramètres!$A$1:$I$89,3,0)*0.475*44/12</f>
        <v>0.46912073780380725</v>
      </c>
      <c r="BR164" s="21">
        <f>EXP(-LN(2)/2)*BR163+(1-EXP(-LN(2)/2))/(LN(2)/2)*BL164*BO164*VLOOKUP('Données projet'!$B$11,Paramètres!$A$1:$I$89,3,0)*0.475*44/12</f>
        <v>7.1647476554210616E-20</v>
      </c>
      <c r="BS164" s="22">
        <f t="shared" si="169"/>
        <v>0.80717510976714513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1.5961632016114892E-13</v>
      </c>
      <c r="P165" s="13">
        <f t="shared" si="141"/>
        <v>2.2708641912150958E-12</v>
      </c>
      <c r="Q165" s="20">
        <f t="shared" si="162"/>
        <v>4.2330868906469593E-12</v>
      </c>
      <c r="R165" s="59">
        <f t="shared" si="109"/>
        <v>293.33333333333752</v>
      </c>
      <c r="S165" s="59">
        <f ca="1">AVERAGE(OFFSET($R$3,0,0,'Données projet'!$E$9+1,1))-AVERAGE(OFFSET($H$3,0,0,'Données projet'!$E$9+1,1))</f>
        <v>158.58786357608489</v>
      </c>
      <c r="T165" s="59">
        <f t="shared" si="142"/>
        <v>163.20074068819849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0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497</v>
      </c>
      <c r="AJ165" s="13">
        <f>AI165*VLOOKUP('Données projet'!$B$10,Paramètres!$A$1:$I$89,3,0)*VLOOKUP('Données projet'!$B$10,Paramètres!$A$1:$I$89,5,0)</f>
        <v>297.20600000000002</v>
      </c>
      <c r="AK165" s="13">
        <f t="shared" si="164"/>
        <v>70.590415164571112</v>
      </c>
      <c r="AL165" s="20">
        <f t="shared" si="165"/>
        <v>640.57875641162809</v>
      </c>
      <c r="AM165" s="59">
        <f t="shared" si="113"/>
        <v>933.91208974496135</v>
      </c>
      <c r="AN165" s="59">
        <f ca="1">AVERAGE(OFFSET($AM$3,0,0,'Données projet'!$E$10+1,1))-AVERAGE(OFFSET($H$3,0,0,'Données projet'!$E$10+1,1))</f>
        <v>270.30888762640245</v>
      </c>
      <c r="AO165" s="59">
        <f t="shared" si="144"/>
        <v>202.23783851977691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0.15684843078272773</v>
      </c>
      <c r="AV165" s="21">
        <f>EXP(-LN(2)/25)*AV164+(1-EXP(-LN(2)/25))/(LN(2)/25)*Calculateur!AQ165*Calculateur!AS165*VLOOKUP('Données projet'!$B$10,Paramètres!$A$1:$I$89,3,0)*0.475*44/12</f>
        <v>0.31644446894038553</v>
      </c>
      <c r="AW165" s="21">
        <f>EXP(-LN(2)/2)*AW164+(1-EXP(-LN(2)/2))/(LN(2)/2)*AQ165*AT165*VLOOKUP('Données projet'!$B$10,Paramètres!$A$1:$I$89,3,0)*0.475*44/12</f>
        <v>2.5062158005458534E-19</v>
      </c>
      <c r="AX165" s="21">
        <f t="shared" si="166"/>
        <v>0.47329289972311328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-1.7053025658242404E-13</v>
      </c>
      <c r="BE165" s="13">
        <f>BD165*VLOOKUP('Données projet'!$B$11,Paramètres!$A$1:$I$89,3,0)*VLOOKUP('Données projet'!$B$11,Paramètres!$A$1:$I$89,5,0)</f>
        <v>-1.0197709343628959E-13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243.85350804244348</v>
      </c>
      <c r="BJ165" s="59">
        <f t="shared" si="146"/>
        <v>304.60992308960545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0.3314253319219439</v>
      </c>
      <c r="BQ165" s="21">
        <f>EXP(-LN(2)/25)*BQ164+(1-EXP(-LN(2)/25))/(LN(2)/25)*Calculateur!BL165*Calculateur!BN165*VLOOKUP('Données projet'!$B$11,Paramètres!$A$1:$I$89,3,0)*0.475*44/12</f>
        <v>0.45629260655857473</v>
      </c>
      <c r="BR165" s="21">
        <f>EXP(-LN(2)/2)*BR164+(1-EXP(-LN(2)/2))/(LN(2)/2)*BL165*BO165*VLOOKUP('Données projet'!$B$11,Paramètres!$A$1:$I$89,3,0)*0.475*44/12</f>
        <v>5.0662416526386501E-20</v>
      </c>
      <c r="BS165" s="22">
        <f t="shared" si="169"/>
        <v>0.78771793848051863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1.5961632016114892E-13</v>
      </c>
      <c r="P166" s="13">
        <f t="shared" si="141"/>
        <v>2.2708641912150958E-12</v>
      </c>
      <c r="Q166" s="20">
        <f t="shared" si="162"/>
        <v>4.2330868906469593E-12</v>
      </c>
      <c r="R166" s="59">
        <f t="shared" si="109"/>
        <v>293.33333333333752</v>
      </c>
      <c r="S166" s="59">
        <f ca="1">AVERAGE(OFFSET($R$3,0,0,'Données projet'!$E$9+1,1))-AVERAGE(OFFSET($H$3,0,0,'Données projet'!$E$9+1,1))</f>
        <v>158.58786357608489</v>
      </c>
      <c r="T166" s="59">
        <f t="shared" si="142"/>
        <v>163.20074068819849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0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497</v>
      </c>
      <c r="AJ166" s="13">
        <f>AI166*VLOOKUP('Données projet'!$B$10,Paramètres!$A$1:$I$89,3,0)*VLOOKUP('Données projet'!$B$10,Paramètres!$A$1:$I$89,5,0)</f>
        <v>297.20600000000002</v>
      </c>
      <c r="AK166" s="13">
        <f t="shared" si="164"/>
        <v>70.590415164571112</v>
      </c>
      <c r="AL166" s="20">
        <f t="shared" si="165"/>
        <v>640.57875641162809</v>
      </c>
      <c r="AM166" s="59">
        <f t="shared" si="113"/>
        <v>933.91208974496135</v>
      </c>
      <c r="AN166" s="59">
        <f ca="1">AVERAGE(OFFSET($AM$3,0,0,'Données projet'!$E$10+1,1))-AVERAGE(OFFSET($H$3,0,0,'Données projet'!$E$10+1,1))</f>
        <v>270.30888762640245</v>
      </c>
      <c r="AO166" s="59">
        <f t="shared" si="144"/>
        <v>202.23783851977691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0.15377272872317477</v>
      </c>
      <c r="AV166" s="21">
        <f>EXP(-LN(2)/25)*AV165+(1-EXP(-LN(2)/25))/(LN(2)/25)*Calculateur!AQ166*Calculateur!AS166*VLOOKUP('Données projet'!$B$10,Paramètres!$A$1:$I$89,3,0)*0.475*44/12</f>
        <v>0.3077912782961193</v>
      </c>
      <c r="AW166" s="21">
        <f>EXP(-LN(2)/2)*AW165+(1-EXP(-LN(2)/2))/(LN(2)/2)*AQ166*AT166*VLOOKUP('Données projet'!$B$10,Paramètres!$A$1:$I$89,3,0)*0.475*44/12</f>
        <v>1.7721621876828448E-19</v>
      </c>
      <c r="AX166" s="21">
        <f t="shared" si="166"/>
        <v>0.46156400701929406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-1.7053025658242404E-13</v>
      </c>
      <c r="BE166" s="13">
        <f>BD166*VLOOKUP('Données projet'!$B$11,Paramètres!$A$1:$I$89,3,0)*VLOOKUP('Données projet'!$B$11,Paramètres!$A$1:$I$89,5,0)</f>
        <v>-1.0197709343628959E-13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243.85350804244348</v>
      </c>
      <c r="BJ166" s="59">
        <f t="shared" si="146"/>
        <v>304.60992308960545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0.32492628331244644</v>
      </c>
      <c r="BQ166" s="21">
        <f>EXP(-LN(2)/25)*BQ165+(1-EXP(-LN(2)/25))/(LN(2)/25)*Calculateur!BL166*Calculateur!BN166*VLOOKUP('Données projet'!$B$11,Paramètres!$A$1:$I$89,3,0)*0.475*44/12</f>
        <v>0.44381526123684517</v>
      </c>
      <c r="BR166" s="21">
        <f>EXP(-LN(2)/2)*BR165+(1-EXP(-LN(2)/2))/(LN(2)/2)*BL166*BO166*VLOOKUP('Données projet'!$B$11,Paramètres!$A$1:$I$89,3,0)*0.475*44/12</f>
        <v>3.5823738277105308E-20</v>
      </c>
      <c r="BS166" s="22">
        <f t="shared" si="169"/>
        <v>0.76874154454929156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1.5961632016114892E-13</v>
      </c>
      <c r="P167" s="13">
        <f t="shared" si="141"/>
        <v>2.2708641912150958E-12</v>
      </c>
      <c r="Q167" s="20">
        <f t="shared" si="162"/>
        <v>4.2330868906469593E-12</v>
      </c>
      <c r="R167" s="59">
        <f t="shared" si="109"/>
        <v>293.33333333333752</v>
      </c>
      <c r="S167" s="59">
        <f ca="1">AVERAGE(OFFSET($R$3,0,0,'Données projet'!$E$9+1,1))-AVERAGE(OFFSET($H$3,0,0,'Données projet'!$E$9+1,1))</f>
        <v>158.58786357608489</v>
      </c>
      <c r="T167" s="59">
        <f t="shared" si="142"/>
        <v>163.20074068819849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0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497</v>
      </c>
      <c r="AJ167" s="13">
        <f>AI167*VLOOKUP('Données projet'!$B$10,Paramètres!$A$1:$I$89,3,0)*VLOOKUP('Données projet'!$B$10,Paramètres!$A$1:$I$89,5,0)</f>
        <v>297.20600000000002</v>
      </c>
      <c r="AK167" s="13">
        <f t="shared" si="164"/>
        <v>70.590415164571112</v>
      </c>
      <c r="AL167" s="20">
        <f t="shared" si="165"/>
        <v>640.57875641162809</v>
      </c>
      <c r="AM167" s="59">
        <f t="shared" si="113"/>
        <v>933.91208974496135</v>
      </c>
      <c r="AN167" s="59">
        <f ca="1">AVERAGE(OFFSET($AM$3,0,0,'Données projet'!$E$10+1,1))-AVERAGE(OFFSET($H$3,0,0,'Données projet'!$E$10+1,1))</f>
        <v>270.30888762640245</v>
      </c>
      <c r="AO167" s="59">
        <f t="shared" si="144"/>
        <v>202.23783851977691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0.15075733930501664</v>
      </c>
      <c r="AV167" s="21">
        <f>EXP(-LN(2)/25)*AV166+(1-EXP(-LN(2)/25))/(LN(2)/25)*Calculateur!AQ167*Calculateur!AS167*VLOOKUP('Données projet'!$B$10,Paramètres!$A$1:$I$89,3,0)*0.475*44/12</f>
        <v>0.29937470960507206</v>
      </c>
      <c r="AW167" s="21">
        <f>EXP(-LN(2)/2)*AW166+(1-EXP(-LN(2)/2))/(LN(2)/2)*AQ167*AT167*VLOOKUP('Données projet'!$B$10,Paramètres!$A$1:$I$89,3,0)*0.475*44/12</f>
        <v>1.2531079002729267E-19</v>
      </c>
      <c r="AX167" s="21">
        <f t="shared" si="166"/>
        <v>0.45013204891008873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-1.7053025658242404E-13</v>
      </c>
      <c r="BE167" s="13">
        <f>BD167*VLOOKUP('Données projet'!$B$11,Paramètres!$A$1:$I$89,3,0)*VLOOKUP('Données projet'!$B$11,Paramètres!$A$1:$I$89,5,0)</f>
        <v>-1.0197709343628959E-13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243.85350804244348</v>
      </c>
      <c r="BJ167" s="59">
        <f t="shared" si="146"/>
        <v>304.60992308960545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0.31855467708215301</v>
      </c>
      <c r="BQ167" s="21">
        <f>EXP(-LN(2)/25)*BQ166+(1-EXP(-LN(2)/25))/(LN(2)/25)*Calculateur!BL167*Calculateur!BN167*VLOOKUP('Données projet'!$B$11,Paramètres!$A$1:$I$89,3,0)*0.475*44/12</f>
        <v>0.43167910957909339</v>
      </c>
      <c r="BR167" s="21">
        <f>EXP(-LN(2)/2)*BR166+(1-EXP(-LN(2)/2))/(LN(2)/2)*BL167*BO167*VLOOKUP('Données projet'!$B$11,Paramètres!$A$1:$I$89,3,0)*0.475*44/12</f>
        <v>2.533120826319325E-20</v>
      </c>
      <c r="BS167" s="22">
        <f t="shared" si="169"/>
        <v>0.7502337866612464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1.5961632016114892E-13</v>
      </c>
      <c r="P168" s="13">
        <f t="shared" si="141"/>
        <v>2.2708641912150958E-12</v>
      </c>
      <c r="Q168" s="20">
        <f t="shared" si="162"/>
        <v>4.2330868906469593E-12</v>
      </c>
      <c r="R168" s="59">
        <f t="shared" si="109"/>
        <v>293.33333333333752</v>
      </c>
      <c r="S168" s="59">
        <f ca="1">AVERAGE(OFFSET($R$3,0,0,'Données projet'!$E$9+1,1))-AVERAGE(OFFSET($H$3,0,0,'Données projet'!$E$9+1,1))</f>
        <v>158.58786357608489</v>
      </c>
      <c r="T168" s="59">
        <f t="shared" si="142"/>
        <v>163.20074068819849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0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497</v>
      </c>
      <c r="AJ168" s="13">
        <f>AI168*VLOOKUP('Données projet'!$B$10,Paramètres!$A$1:$I$89,3,0)*VLOOKUP('Données projet'!$B$10,Paramètres!$A$1:$I$89,5,0)</f>
        <v>297.20600000000002</v>
      </c>
      <c r="AK168" s="13">
        <f t="shared" si="164"/>
        <v>70.590415164571112</v>
      </c>
      <c r="AL168" s="20">
        <f t="shared" si="165"/>
        <v>640.57875641162809</v>
      </c>
      <c r="AM168" s="59">
        <f t="shared" si="113"/>
        <v>933.91208974496135</v>
      </c>
      <c r="AN168" s="59">
        <f ca="1">AVERAGE(OFFSET($AM$3,0,0,'Données projet'!$E$10+1,1))-AVERAGE(OFFSET($H$3,0,0,'Données projet'!$E$10+1,1))</f>
        <v>270.30888762640245</v>
      </c>
      <c r="AO168" s="59">
        <f t="shared" si="144"/>
        <v>202.23783851977691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0.14780107983414265</v>
      </c>
      <c r="AV168" s="21">
        <f>EXP(-LN(2)/25)*AV167+(1-EXP(-LN(2)/25))/(LN(2)/25)*Calculateur!AQ168*Calculateur!AS168*VLOOKUP('Données projet'!$B$10,Paramètres!$A$1:$I$89,3,0)*0.475*44/12</f>
        <v>0.29118829242748961</v>
      </c>
      <c r="AW168" s="21">
        <f>EXP(-LN(2)/2)*AW167+(1-EXP(-LN(2)/2))/(LN(2)/2)*AQ168*AT168*VLOOKUP('Données projet'!$B$10,Paramètres!$A$1:$I$89,3,0)*0.475*44/12</f>
        <v>8.8608109384142239E-20</v>
      </c>
      <c r="AX168" s="21">
        <f t="shared" si="166"/>
        <v>0.43898937226163226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-1.7053025658242404E-13</v>
      </c>
      <c r="BE168" s="13">
        <f>BD168*VLOOKUP('Données projet'!$B$11,Paramètres!$A$1:$I$89,3,0)*VLOOKUP('Données projet'!$B$11,Paramètres!$A$1:$I$89,5,0)</f>
        <v>-1.0197709343628959E-13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243.85350804244348</v>
      </c>
      <c r="BJ168" s="59">
        <f t="shared" si="146"/>
        <v>304.60992308960545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0.31230801416373954</v>
      </c>
      <c r="BQ168" s="21">
        <f>EXP(-LN(2)/25)*BQ167+(1-EXP(-LN(2)/25))/(LN(2)/25)*Calculateur!BL168*Calculateur!BN168*VLOOKUP('Données projet'!$B$11,Paramètres!$A$1:$I$89,3,0)*0.475*44/12</f>
        <v>0.41987482162663531</v>
      </c>
      <c r="BR168" s="21">
        <f>EXP(-LN(2)/2)*BR167+(1-EXP(-LN(2)/2))/(LN(2)/2)*BL168*BO168*VLOOKUP('Données projet'!$B$11,Paramètres!$A$1:$I$89,3,0)*0.475*44/12</f>
        <v>1.7911869138552654E-20</v>
      </c>
      <c r="BS168" s="22">
        <f t="shared" si="169"/>
        <v>0.7321828357903748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1.5961632016114892E-13</v>
      </c>
      <c r="P169" s="13">
        <f t="shared" si="141"/>
        <v>2.2708641912150958E-12</v>
      </c>
      <c r="Q169" s="20">
        <f t="shared" si="162"/>
        <v>4.2330868906469593E-12</v>
      </c>
      <c r="R169" s="59">
        <f t="shared" si="109"/>
        <v>293.33333333333752</v>
      </c>
      <c r="S169" s="59">
        <f ca="1">AVERAGE(OFFSET($R$3,0,0,'Données projet'!$E$9+1,1))-AVERAGE(OFFSET($H$3,0,0,'Données projet'!$E$9+1,1))</f>
        <v>158.58786357608489</v>
      </c>
      <c r="T169" s="59">
        <f t="shared" si="142"/>
        <v>163.20074068819849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0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497</v>
      </c>
      <c r="AJ169" s="13">
        <f>AI169*VLOOKUP('Données projet'!$B$10,Paramètres!$A$1:$I$89,3,0)*VLOOKUP('Données projet'!$B$10,Paramètres!$A$1:$I$89,5,0)</f>
        <v>297.20600000000002</v>
      </c>
      <c r="AK169" s="13">
        <f t="shared" si="164"/>
        <v>70.590415164571112</v>
      </c>
      <c r="AL169" s="20">
        <f t="shared" si="165"/>
        <v>640.57875641162809</v>
      </c>
      <c r="AM169" s="59">
        <f t="shared" si="113"/>
        <v>933.91208974496135</v>
      </c>
      <c r="AN169" s="59">
        <f ca="1">AVERAGE(OFFSET($AM$3,0,0,'Données projet'!$E$10+1,1))-AVERAGE(OFFSET($H$3,0,0,'Données projet'!$E$10+1,1))</f>
        <v>270.30888762640245</v>
      </c>
      <c r="AO169" s="59">
        <f t="shared" si="144"/>
        <v>202.23783851977691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0.14490279080835225</v>
      </c>
      <c r="AV169" s="21">
        <f>EXP(-LN(2)/25)*AV168+(1-EXP(-LN(2)/25))/(LN(2)/25)*Calculateur!AQ169*Calculateur!AS169*VLOOKUP('Données projet'!$B$10,Paramètres!$A$1:$I$89,3,0)*0.475*44/12</f>
        <v>0.28322573325813311</v>
      </c>
      <c r="AW169" s="21">
        <f>EXP(-LN(2)/2)*AW168+(1-EXP(-LN(2)/2))/(LN(2)/2)*AQ169*AT169*VLOOKUP('Données projet'!$B$10,Paramètres!$A$1:$I$89,3,0)*0.475*44/12</f>
        <v>6.2655395013646334E-20</v>
      </c>
      <c r="AX169" s="21">
        <f t="shared" si="166"/>
        <v>0.42812852406648538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-1.7053025658242404E-13</v>
      </c>
      <c r="BE169" s="13">
        <f>BD169*VLOOKUP('Données projet'!$B$11,Paramètres!$A$1:$I$89,3,0)*VLOOKUP('Données projet'!$B$11,Paramètres!$A$1:$I$89,5,0)</f>
        <v>-1.0197709343628959E-13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243.85350804244348</v>
      </c>
      <c r="BJ169" s="59">
        <f t="shared" si="146"/>
        <v>304.60992308960545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0.30618384449506802</v>
      </c>
      <c r="BQ169" s="21">
        <f>EXP(-LN(2)/25)*BQ168+(1-EXP(-LN(2)/25))/(LN(2)/25)*Calculateur!BL169*Calculateur!BN169*VLOOKUP('Données projet'!$B$11,Paramètres!$A$1:$I$89,3,0)*0.475*44/12</f>
        <v>0.40839332254899774</v>
      </c>
      <c r="BR169" s="21">
        <f>EXP(-LN(2)/2)*BR168+(1-EXP(-LN(2)/2))/(LN(2)/2)*BL169*BO169*VLOOKUP('Données projet'!$B$11,Paramètres!$A$1:$I$89,3,0)*0.475*44/12</f>
        <v>1.2665604131596625E-20</v>
      </c>
      <c r="BS169" s="22">
        <f t="shared" si="169"/>
        <v>0.71457716704406571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1.5961632016114892E-13</v>
      </c>
      <c r="P170" s="13">
        <f t="shared" si="141"/>
        <v>2.2708641912150958E-12</v>
      </c>
      <c r="Q170" s="20">
        <f t="shared" si="162"/>
        <v>4.2330868906469593E-12</v>
      </c>
      <c r="R170" s="59">
        <f t="shared" si="109"/>
        <v>293.33333333333752</v>
      </c>
      <c r="S170" s="59">
        <f ca="1">AVERAGE(OFFSET($R$3,0,0,'Données projet'!$E$9+1,1))-AVERAGE(OFFSET($H$3,0,0,'Données projet'!$E$9+1,1))</f>
        <v>158.58786357608489</v>
      </c>
      <c r="T170" s="59">
        <f t="shared" si="142"/>
        <v>163.20074068819849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0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497</v>
      </c>
      <c r="AJ170" s="13">
        <f>AI170*VLOOKUP('Données projet'!$B$10,Paramètres!$A$1:$I$89,3,0)*VLOOKUP('Données projet'!$B$10,Paramètres!$A$1:$I$89,5,0)</f>
        <v>297.20600000000002</v>
      </c>
      <c r="AK170" s="13">
        <f t="shared" si="164"/>
        <v>70.590415164571112</v>
      </c>
      <c r="AL170" s="20">
        <f t="shared" si="165"/>
        <v>640.57875641162809</v>
      </c>
      <c r="AM170" s="59">
        <f t="shared" si="113"/>
        <v>933.91208974496135</v>
      </c>
      <c r="AN170" s="59">
        <f ca="1">AVERAGE(OFFSET($AM$3,0,0,'Données projet'!$E$10+1,1))-AVERAGE(OFFSET($H$3,0,0,'Données projet'!$E$10+1,1))</f>
        <v>270.30888762640245</v>
      </c>
      <c r="AO170" s="59">
        <f t="shared" si="144"/>
        <v>202.23783851977691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0.14206133546257585</v>
      </c>
      <c r="AV170" s="21">
        <f>EXP(-LN(2)/25)*AV169+(1-EXP(-LN(2)/25))/(LN(2)/25)*Calculateur!AQ170*Calculateur!AS170*VLOOKUP('Données projet'!$B$10,Paramètres!$A$1:$I$89,3,0)*0.475*44/12</f>
        <v>0.27548091068799546</v>
      </c>
      <c r="AW170" s="21">
        <f>EXP(-LN(2)/2)*AW169+(1-EXP(-LN(2)/2))/(LN(2)/2)*AQ170*AT170*VLOOKUP('Données projet'!$B$10,Paramètres!$A$1:$I$89,3,0)*0.475*44/12</f>
        <v>4.4304054692071119E-20</v>
      </c>
      <c r="AX170" s="21">
        <f t="shared" si="166"/>
        <v>0.41754224615057134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-1.7053025658242404E-13</v>
      </c>
      <c r="BE170" s="13">
        <f>BD170*VLOOKUP('Données projet'!$B$11,Paramètres!$A$1:$I$89,3,0)*VLOOKUP('Données projet'!$B$11,Paramètres!$A$1:$I$89,5,0)</f>
        <v>-1.0197709343628959E-13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243.85350804244348</v>
      </c>
      <c r="BJ170" s="59">
        <f t="shared" si="146"/>
        <v>304.60992308960545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0.3001797660582245</v>
      </c>
      <c r="BQ170" s="21">
        <f>EXP(-LN(2)/25)*BQ169+(1-EXP(-LN(2)/25))/(LN(2)/25)*Calculateur!BL170*Calculateur!BN170*VLOOKUP('Données projet'!$B$11,Paramètres!$A$1:$I$89,3,0)*0.475*44/12</f>
        <v>0.39722578566742395</v>
      </c>
      <c r="BR170" s="21">
        <f>EXP(-LN(2)/2)*BR169+(1-EXP(-LN(2)/2))/(LN(2)/2)*BL170*BO170*VLOOKUP('Données projet'!$B$11,Paramètres!$A$1:$I$89,3,0)*0.475*44/12</f>
        <v>8.955934569276327E-21</v>
      </c>
      <c r="BS170" s="22">
        <f t="shared" si="169"/>
        <v>0.69740555172564844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1.5961632016114892E-13</v>
      </c>
      <c r="P171" s="13">
        <f t="shared" si="141"/>
        <v>2.2708641912150958E-12</v>
      </c>
      <c r="Q171" s="20">
        <f t="shared" si="162"/>
        <v>4.2330868906469593E-12</v>
      </c>
      <c r="R171" s="59">
        <f t="shared" si="109"/>
        <v>293.33333333333752</v>
      </c>
      <c r="S171" s="59">
        <f ca="1">AVERAGE(OFFSET($R$3,0,0,'Données projet'!$E$9+1,1))-AVERAGE(OFFSET($H$3,0,0,'Données projet'!$E$9+1,1))</f>
        <v>158.58786357608489</v>
      </c>
      <c r="T171" s="59">
        <f t="shared" si="142"/>
        <v>163.20074068819849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0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497</v>
      </c>
      <c r="AJ171" s="13">
        <f>AI171*VLOOKUP('Données projet'!$B$10,Paramètres!$A$1:$I$89,3,0)*VLOOKUP('Données projet'!$B$10,Paramètres!$A$1:$I$89,5,0)</f>
        <v>297.20600000000002</v>
      </c>
      <c r="AK171" s="13">
        <f t="shared" si="164"/>
        <v>70.590415164571112</v>
      </c>
      <c r="AL171" s="20">
        <f t="shared" si="165"/>
        <v>640.57875641162809</v>
      </c>
      <c r="AM171" s="59">
        <f t="shared" si="113"/>
        <v>933.91208974496135</v>
      </c>
      <c r="AN171" s="59">
        <f ca="1">AVERAGE(OFFSET($AM$3,0,0,'Données projet'!$E$10+1,1))-AVERAGE(OFFSET($H$3,0,0,'Données projet'!$E$10+1,1))</f>
        <v>270.30888762640245</v>
      </c>
      <c r="AO171" s="59">
        <f t="shared" si="144"/>
        <v>202.23783851977691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0.1392755993230135</v>
      </c>
      <c r="AV171" s="21">
        <f>EXP(-LN(2)/25)*AV170+(1-EXP(-LN(2)/25))/(LN(2)/25)*Calculateur!AQ171*Calculateur!AS171*VLOOKUP('Données projet'!$B$10,Paramètres!$A$1:$I$89,3,0)*0.475*44/12</f>
        <v>0.26794787069832077</v>
      </c>
      <c r="AW171" s="21">
        <f>EXP(-LN(2)/2)*AW170+(1-EXP(-LN(2)/2))/(LN(2)/2)*AQ171*AT171*VLOOKUP('Données projet'!$B$10,Paramètres!$A$1:$I$89,3,0)*0.475*44/12</f>
        <v>3.1327697506823167E-20</v>
      </c>
      <c r="AX171" s="21">
        <f t="shared" si="166"/>
        <v>0.4072234700213343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-1.7053025658242404E-13</v>
      </c>
      <c r="BE171" s="13">
        <f>BD171*VLOOKUP('Données projet'!$B$11,Paramètres!$A$1:$I$89,3,0)*VLOOKUP('Données projet'!$B$11,Paramètres!$A$1:$I$89,5,0)</f>
        <v>-1.0197709343628959E-13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243.85350804244348</v>
      </c>
      <c r="BJ171" s="59">
        <f t="shared" si="146"/>
        <v>304.60992308960545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0.29429342393740121</v>
      </c>
      <c r="BQ171" s="21">
        <f>EXP(-LN(2)/25)*BQ170+(1-EXP(-LN(2)/25))/(LN(2)/25)*Calculateur!BL171*Calculateur!BN171*VLOOKUP('Données projet'!$B$11,Paramètres!$A$1:$I$89,3,0)*0.475*44/12</f>
        <v>0.38636362566915206</v>
      </c>
      <c r="BR171" s="21">
        <f>EXP(-LN(2)/2)*BR170+(1-EXP(-LN(2)/2))/(LN(2)/2)*BL171*BO171*VLOOKUP('Données projet'!$B$11,Paramètres!$A$1:$I$89,3,0)*0.475*44/12</f>
        <v>6.3328020657983126E-21</v>
      </c>
      <c r="BS171" s="22">
        <f t="shared" si="169"/>
        <v>0.68065704960655327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1.5961632016114892E-13</v>
      </c>
      <c r="P172" s="13">
        <f t="shared" si="141"/>
        <v>2.2708641912150958E-12</v>
      </c>
      <c r="Q172" s="20">
        <f t="shared" si="162"/>
        <v>4.2330868906469593E-12</v>
      </c>
      <c r="R172" s="59">
        <f t="shared" si="109"/>
        <v>293.33333333333752</v>
      </c>
      <c r="S172" s="59">
        <f ca="1">AVERAGE(OFFSET($R$3,0,0,'Données projet'!$E$9+1,1))-AVERAGE(OFFSET($H$3,0,0,'Données projet'!$E$9+1,1))</f>
        <v>158.58786357608489</v>
      </c>
      <c r="T172" s="59">
        <f t="shared" si="142"/>
        <v>163.20074068819849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0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497</v>
      </c>
      <c r="AJ172" s="13">
        <f>AI172*VLOOKUP('Données projet'!$B$10,Paramètres!$A$1:$I$89,3,0)*VLOOKUP('Données projet'!$B$10,Paramètres!$A$1:$I$89,5,0)</f>
        <v>297.20600000000002</v>
      </c>
      <c r="AK172" s="13">
        <f t="shared" si="164"/>
        <v>70.590415164571112</v>
      </c>
      <c r="AL172" s="20">
        <f t="shared" si="165"/>
        <v>640.57875641162809</v>
      </c>
      <c r="AM172" s="59">
        <f t="shared" si="113"/>
        <v>933.91208974496135</v>
      </c>
      <c r="AN172" s="59">
        <f ca="1">AVERAGE(OFFSET($AM$3,0,0,'Données projet'!$E$10+1,1))-AVERAGE(OFFSET($H$3,0,0,'Données projet'!$E$10+1,1))</f>
        <v>270.30888762640245</v>
      </c>
      <c r="AO172" s="59">
        <f t="shared" si="144"/>
        <v>202.23783851977691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0.13654448977001671</v>
      </c>
      <c r="AV172" s="21">
        <f>EXP(-LN(2)/25)*AV171+(1-EXP(-LN(2)/25))/(LN(2)/25)*Calculateur!AQ172*Calculateur!AS172*VLOOKUP('Données projet'!$B$10,Paramètres!$A$1:$I$89,3,0)*0.475*44/12</f>
        <v>0.26062082208330906</v>
      </c>
      <c r="AW172" s="21">
        <f>EXP(-LN(2)/2)*AW171+(1-EXP(-LN(2)/2))/(LN(2)/2)*AQ172*AT172*VLOOKUP('Données projet'!$B$10,Paramètres!$A$1:$I$89,3,0)*0.475*44/12</f>
        <v>2.215202734603556E-20</v>
      </c>
      <c r="AX172" s="21">
        <f t="shared" si="166"/>
        <v>0.39716531185332576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-1.7053025658242404E-13</v>
      </c>
      <c r="BE172" s="13">
        <f>BD172*VLOOKUP('Données projet'!$B$11,Paramètres!$A$1:$I$89,3,0)*VLOOKUP('Données projet'!$B$11,Paramètres!$A$1:$I$89,5,0)</f>
        <v>-1.0197709343628959E-13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243.85350804244348</v>
      </c>
      <c r="BJ172" s="59">
        <f t="shared" si="146"/>
        <v>304.60992308960545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0.28852250939525309</v>
      </c>
      <c r="BQ172" s="21">
        <f>EXP(-LN(2)/25)*BQ171+(1-EXP(-LN(2)/25))/(LN(2)/25)*Calculateur!BL172*Calculateur!BN172*VLOOKUP('Données projet'!$B$11,Paramètres!$A$1:$I$89,3,0)*0.475*44/12</f>
        <v>0.37579849200724907</v>
      </c>
      <c r="BR172" s="21">
        <f>EXP(-LN(2)/2)*BR171+(1-EXP(-LN(2)/2))/(LN(2)/2)*BL172*BO172*VLOOKUP('Données projet'!$B$11,Paramètres!$A$1:$I$89,3,0)*0.475*44/12</f>
        <v>4.4779672846381635E-21</v>
      </c>
      <c r="BS172" s="22">
        <f t="shared" si="169"/>
        <v>0.66432100140250216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1.5961632016114892E-13</v>
      </c>
      <c r="P173" s="13">
        <f t="shared" si="141"/>
        <v>2.2708641912150958E-12</v>
      </c>
      <c r="Q173" s="20">
        <f t="shared" si="162"/>
        <v>4.2330868906469593E-12</v>
      </c>
      <c r="R173" s="59">
        <f t="shared" si="109"/>
        <v>293.33333333333752</v>
      </c>
      <c r="S173" s="59">
        <f ca="1">AVERAGE(OFFSET($R$3,0,0,'Données projet'!$E$9+1,1))-AVERAGE(OFFSET($H$3,0,0,'Données projet'!$E$9+1,1))</f>
        <v>158.58786357608489</v>
      </c>
      <c r="T173" s="59">
        <f t="shared" si="142"/>
        <v>163.20074068819849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0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497</v>
      </c>
      <c r="AJ173" s="13">
        <f>AI173*VLOOKUP('Données projet'!$B$10,Paramètres!$A$1:$I$89,3,0)*VLOOKUP('Données projet'!$B$10,Paramètres!$A$1:$I$89,5,0)</f>
        <v>297.20600000000002</v>
      </c>
      <c r="AK173" s="13">
        <f t="shared" si="164"/>
        <v>70.590415164571112</v>
      </c>
      <c r="AL173" s="20">
        <f t="shared" si="165"/>
        <v>640.57875641162809</v>
      </c>
      <c r="AM173" s="59">
        <f t="shared" si="113"/>
        <v>933.91208974496135</v>
      </c>
      <c r="AN173" s="59">
        <f ca="1">AVERAGE(OFFSET($AM$3,0,0,'Données projet'!$E$10+1,1))-AVERAGE(OFFSET($H$3,0,0,'Données projet'!$E$10+1,1))</f>
        <v>270.30888762640245</v>
      </c>
      <c r="AO173" s="59">
        <f t="shared" si="144"/>
        <v>202.23783851977691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0.13386693560954183</v>
      </c>
      <c r="AV173" s="21">
        <f>EXP(-LN(2)/25)*AV172+(1-EXP(-LN(2)/25))/(LN(2)/25)*Calculateur!AQ173*Calculateur!AS173*VLOOKUP('Données projet'!$B$10,Paramètres!$A$1:$I$89,3,0)*0.475*44/12</f>
        <v>0.25349413199798759</v>
      </c>
      <c r="AW173" s="21">
        <f>EXP(-LN(2)/2)*AW172+(1-EXP(-LN(2)/2))/(LN(2)/2)*AQ173*AT173*VLOOKUP('Données projet'!$B$10,Paramètres!$A$1:$I$89,3,0)*0.475*44/12</f>
        <v>1.5663848753411583E-20</v>
      </c>
      <c r="AX173" s="21">
        <f t="shared" si="166"/>
        <v>0.38736106760752942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-1.7053025658242404E-13</v>
      </c>
      <c r="BE173" s="13">
        <f>BD173*VLOOKUP('Données projet'!$B$11,Paramètres!$A$1:$I$89,3,0)*VLOOKUP('Données projet'!$B$11,Paramètres!$A$1:$I$89,5,0)</f>
        <v>-1.0197709343628959E-13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243.85350804244348</v>
      </c>
      <c r="BJ173" s="59">
        <f t="shared" si="146"/>
        <v>304.60992308960545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0.28286475896736618</v>
      </c>
      <c r="BQ173" s="21">
        <f>EXP(-LN(2)/25)*BQ172+(1-EXP(-LN(2)/25))/(LN(2)/25)*Calculateur!BL173*Calculateur!BN173*VLOOKUP('Données projet'!$B$11,Paramètres!$A$1:$I$89,3,0)*0.475*44/12</f>
        <v>0.36552226248092706</v>
      </c>
      <c r="BR173" s="21">
        <f>EXP(-LN(2)/2)*BR172+(1-EXP(-LN(2)/2))/(LN(2)/2)*BL173*BO173*VLOOKUP('Données projet'!$B$11,Paramètres!$A$1:$I$89,3,0)*0.475*44/12</f>
        <v>3.1664010328991563E-21</v>
      </c>
      <c r="BS173" s="22">
        <f t="shared" si="169"/>
        <v>0.64838702144829319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1.5961632016114892E-13</v>
      </c>
      <c r="P174" s="13">
        <f t="shared" si="141"/>
        <v>2.2708641912150958E-12</v>
      </c>
      <c r="Q174" s="20">
        <f t="shared" si="162"/>
        <v>4.2330868906469593E-12</v>
      </c>
      <c r="R174" s="59">
        <f t="shared" si="109"/>
        <v>293.33333333333752</v>
      </c>
      <c r="S174" s="59">
        <f ca="1">AVERAGE(OFFSET($R$3,0,0,'Données projet'!$E$9+1,1))-AVERAGE(OFFSET($H$3,0,0,'Données projet'!$E$9+1,1))</f>
        <v>158.58786357608489</v>
      </c>
      <c r="T174" s="59">
        <f t="shared" si="142"/>
        <v>163.20074068819849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0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497</v>
      </c>
      <c r="AJ174" s="13">
        <f>AI174*VLOOKUP('Données projet'!$B$10,Paramètres!$A$1:$I$89,3,0)*VLOOKUP('Données projet'!$B$10,Paramètres!$A$1:$I$89,5,0)</f>
        <v>297.20600000000002</v>
      </c>
      <c r="AK174" s="13">
        <f t="shared" si="164"/>
        <v>70.590415164571112</v>
      </c>
      <c r="AL174" s="20">
        <f t="shared" si="165"/>
        <v>640.57875641162809</v>
      </c>
      <c r="AM174" s="59">
        <f t="shared" si="113"/>
        <v>933.91208974496135</v>
      </c>
      <c r="AN174" s="59">
        <f ca="1">AVERAGE(OFFSET($AM$3,0,0,'Données projet'!$E$10+1,1))-AVERAGE(OFFSET($H$3,0,0,'Données projet'!$E$10+1,1))</f>
        <v>270.30888762640245</v>
      </c>
      <c r="AO174" s="59">
        <f t="shared" si="144"/>
        <v>202.23783851977691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0.13124188665300709</v>
      </c>
      <c r="AV174" s="21">
        <f>EXP(-LN(2)/25)*AV173+(1-EXP(-LN(2)/25))/(LN(2)/25)*Calculateur!AQ174*Calculateur!AS174*VLOOKUP('Données projet'!$B$10,Paramètres!$A$1:$I$89,3,0)*0.475*44/12</f>
        <v>0.2465623216278256</v>
      </c>
      <c r="AW174" s="21">
        <f>EXP(-LN(2)/2)*AW173+(1-EXP(-LN(2)/2))/(LN(2)/2)*AQ174*AT174*VLOOKUP('Données projet'!$B$10,Paramètres!$A$1:$I$89,3,0)*0.475*44/12</f>
        <v>1.107601367301778E-20</v>
      </c>
      <c r="AX174" s="21">
        <f t="shared" si="166"/>
        <v>0.37780420828083272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-1.7053025658242404E-13</v>
      </c>
      <c r="BE174" s="13">
        <f>BD174*VLOOKUP('Données projet'!$B$11,Paramètres!$A$1:$I$89,3,0)*VLOOKUP('Données projet'!$B$11,Paramètres!$A$1:$I$89,5,0)</f>
        <v>-1.0197709343628959E-13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243.85350804244348</v>
      </c>
      <c r="BJ174" s="59">
        <f t="shared" si="146"/>
        <v>304.60992308960545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0.27731795357448313</v>
      </c>
      <c r="BQ174" s="21">
        <f>EXP(-LN(2)/25)*BQ173+(1-EXP(-LN(2)/25))/(LN(2)/25)*Calculateur!BL174*Calculateur!BN174*VLOOKUP('Données projet'!$B$11,Paramètres!$A$1:$I$89,3,0)*0.475*44/12</f>
        <v>0.35552703699140575</v>
      </c>
      <c r="BR174" s="21">
        <f>EXP(-LN(2)/2)*BR173+(1-EXP(-LN(2)/2))/(LN(2)/2)*BL174*BO174*VLOOKUP('Données projet'!$B$11,Paramètres!$A$1:$I$89,3,0)*0.475*44/12</f>
        <v>2.2389836423190818E-21</v>
      </c>
      <c r="BS174" s="22">
        <f t="shared" si="169"/>
        <v>0.63284499056588883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1.5961632016114892E-13</v>
      </c>
      <c r="P175" s="13">
        <f t="shared" si="141"/>
        <v>2.2708641912150958E-12</v>
      </c>
      <c r="Q175" s="20">
        <f t="shared" si="162"/>
        <v>4.2330868906469593E-12</v>
      </c>
      <c r="R175" s="59">
        <f t="shared" si="109"/>
        <v>293.33333333333752</v>
      </c>
      <c r="S175" s="59">
        <f ca="1">AVERAGE(OFFSET($R$3,0,0,'Données projet'!$E$9+1,1))-AVERAGE(OFFSET($H$3,0,0,'Données projet'!$E$9+1,1))</f>
        <v>158.58786357608489</v>
      </c>
      <c r="T175" s="59">
        <f t="shared" si="142"/>
        <v>163.20074068819849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0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497</v>
      </c>
      <c r="AJ175" s="13">
        <f>AI175*VLOOKUP('Données projet'!$B$10,Paramètres!$A$1:$I$89,3,0)*VLOOKUP('Données projet'!$B$10,Paramètres!$A$1:$I$89,5,0)</f>
        <v>297.20600000000002</v>
      </c>
      <c r="AK175" s="13">
        <f t="shared" si="164"/>
        <v>70.590415164571112</v>
      </c>
      <c r="AL175" s="20">
        <f t="shared" si="165"/>
        <v>640.57875641162809</v>
      </c>
      <c r="AM175" s="59">
        <f t="shared" si="113"/>
        <v>933.91208974496135</v>
      </c>
      <c r="AN175" s="59">
        <f ca="1">AVERAGE(OFFSET($AM$3,0,0,'Données projet'!$E$10+1,1))-AVERAGE(OFFSET($H$3,0,0,'Données projet'!$E$10+1,1))</f>
        <v>270.30888762640245</v>
      </c>
      <c r="AO175" s="59">
        <f t="shared" si="144"/>
        <v>202.23783851977691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0.12866831330538825</v>
      </c>
      <c r="AV175" s="21">
        <f>EXP(-LN(2)/25)*AV174+(1-EXP(-LN(2)/25))/(LN(2)/25)*Calculateur!AQ175*Calculateur!AS175*VLOOKUP('Données projet'!$B$10,Paramètres!$A$1:$I$89,3,0)*0.475*44/12</f>
        <v>0.23982006197676373</v>
      </c>
      <c r="AW175" s="21">
        <f>EXP(-LN(2)/2)*AW174+(1-EXP(-LN(2)/2))/(LN(2)/2)*AQ175*AT175*VLOOKUP('Données projet'!$B$10,Paramètres!$A$1:$I$89,3,0)*0.475*44/12</f>
        <v>7.8319243767057917E-21</v>
      </c>
      <c r="AX175" s="21">
        <f t="shared" si="166"/>
        <v>0.36848837528215195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-1.7053025658242404E-13</v>
      </c>
      <c r="BE175" s="13">
        <f>BD175*VLOOKUP('Données projet'!$B$11,Paramètres!$A$1:$I$89,3,0)*VLOOKUP('Données projet'!$B$11,Paramètres!$A$1:$I$89,5,0)</f>
        <v>-1.0197709343628959E-13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243.85350804244348</v>
      </c>
      <c r="BJ175" s="59">
        <f t="shared" si="146"/>
        <v>304.60992308960545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0.27187991765213732</v>
      </c>
      <c r="BQ175" s="21">
        <f>EXP(-LN(2)/25)*BQ174+(1-EXP(-LN(2)/25))/(LN(2)/25)*Calculateur!BL175*Calculateur!BN175*VLOOKUP('Données projet'!$B$11,Paramètres!$A$1:$I$89,3,0)*0.475*44/12</f>
        <v>0.34580513146852143</v>
      </c>
      <c r="BR175" s="21">
        <f>EXP(-LN(2)/2)*BR174+(1-EXP(-LN(2)/2))/(LN(2)/2)*BL175*BO175*VLOOKUP('Données projet'!$B$11,Paramètres!$A$1:$I$89,3,0)*0.475*44/12</f>
        <v>1.5832005164495782E-21</v>
      </c>
      <c r="BS175" s="22">
        <f t="shared" si="169"/>
        <v>0.61768504912065869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1.5961632016114892E-13</v>
      </c>
      <c r="P176" s="13">
        <f t="shared" si="141"/>
        <v>2.2708641912150958E-12</v>
      </c>
      <c r="Q176" s="20">
        <f t="shared" si="162"/>
        <v>4.2330868906469593E-12</v>
      </c>
      <c r="R176" s="59">
        <f t="shared" si="109"/>
        <v>293.33333333333752</v>
      </c>
      <c r="S176" s="59">
        <f ca="1">AVERAGE(OFFSET($R$3,0,0,'Données projet'!$E$9+1,1))-AVERAGE(OFFSET($H$3,0,0,'Données projet'!$E$9+1,1))</f>
        <v>158.58786357608489</v>
      </c>
      <c r="T176" s="59">
        <f t="shared" si="142"/>
        <v>163.20074068819849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0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497</v>
      </c>
      <c r="AJ176" s="13">
        <f>AI176*VLOOKUP('Données projet'!$B$10,Paramètres!$A$1:$I$89,3,0)*VLOOKUP('Données projet'!$B$10,Paramètres!$A$1:$I$89,5,0)</f>
        <v>297.20600000000002</v>
      </c>
      <c r="AK176" s="13">
        <f t="shared" si="164"/>
        <v>70.590415164571112</v>
      </c>
      <c r="AL176" s="20">
        <f t="shared" si="165"/>
        <v>640.57875641162809</v>
      </c>
      <c r="AM176" s="59">
        <f t="shared" si="113"/>
        <v>933.91208974496135</v>
      </c>
      <c r="AN176" s="59">
        <f ca="1">AVERAGE(OFFSET($AM$3,0,0,'Données projet'!$E$10+1,1))-AVERAGE(OFFSET($H$3,0,0,'Données projet'!$E$10+1,1))</f>
        <v>270.30888762640245</v>
      </c>
      <c r="AO176" s="59">
        <f t="shared" si="144"/>
        <v>202.23783851977691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0.12614520616139147</v>
      </c>
      <c r="AV176" s="21">
        <f>EXP(-LN(2)/25)*AV175+(1-EXP(-LN(2)/25))/(LN(2)/25)*Calculateur!AQ176*Calculateur!AS176*VLOOKUP('Données projet'!$B$10,Paramètres!$A$1:$I$89,3,0)*0.475*44/12</f>
        <v>0.23326216977042019</v>
      </c>
      <c r="AW176" s="21">
        <f>EXP(-LN(2)/2)*AW175+(1-EXP(-LN(2)/2))/(LN(2)/2)*AQ176*AT176*VLOOKUP('Données projet'!$B$10,Paramètres!$A$1:$I$89,3,0)*0.475*44/12</f>
        <v>5.5380068365088899E-21</v>
      </c>
      <c r="AX176" s="21">
        <f t="shared" si="166"/>
        <v>0.35940737593181166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-1.7053025658242404E-13</v>
      </c>
      <c r="BE176" s="13">
        <f>BD176*VLOOKUP('Données projet'!$B$11,Paramètres!$A$1:$I$89,3,0)*VLOOKUP('Données projet'!$B$11,Paramètres!$A$1:$I$89,5,0)</f>
        <v>-1.0197709343628959E-13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243.85350804244348</v>
      </c>
      <c r="BJ176" s="59">
        <f t="shared" si="146"/>
        <v>304.60992308960545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0.26654851829735426</v>
      </c>
      <c r="BQ176" s="21">
        <f>EXP(-LN(2)/25)*BQ175+(1-EXP(-LN(2)/25))/(LN(2)/25)*Calculateur!BL176*Calculateur!BN176*VLOOKUP('Données projet'!$B$11,Paramètres!$A$1:$I$89,3,0)*0.475*44/12</f>
        <v>0.33634907196341318</v>
      </c>
      <c r="BR176" s="21">
        <f>EXP(-LN(2)/2)*BR175+(1-EXP(-LN(2)/2))/(LN(2)/2)*BL176*BO176*VLOOKUP('Données projet'!$B$11,Paramètres!$A$1:$I$89,3,0)*0.475*44/12</f>
        <v>1.1194918211595409E-21</v>
      </c>
      <c r="BS176" s="22">
        <f t="shared" si="169"/>
        <v>0.60289759026076739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1.5961632016114892E-13</v>
      </c>
      <c r="P177" s="13">
        <f t="shared" si="141"/>
        <v>2.2708641912150958E-12</v>
      </c>
      <c r="Q177" s="20">
        <f t="shared" si="162"/>
        <v>4.2330868906469593E-12</v>
      </c>
      <c r="R177" s="59">
        <f t="shared" si="109"/>
        <v>293.33333333333752</v>
      </c>
      <c r="S177" s="59">
        <f ca="1">AVERAGE(OFFSET($R$3,0,0,'Données projet'!$E$9+1,1))-AVERAGE(OFFSET($H$3,0,0,'Données projet'!$E$9+1,1))</f>
        <v>158.58786357608489</v>
      </c>
      <c r="T177" s="59">
        <f t="shared" si="142"/>
        <v>163.20074068819849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0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497</v>
      </c>
      <c r="AJ177" s="13">
        <f>AI177*VLOOKUP('Données projet'!$B$10,Paramètres!$A$1:$I$89,3,0)*VLOOKUP('Données projet'!$B$10,Paramètres!$A$1:$I$89,5,0)</f>
        <v>297.20600000000002</v>
      </c>
      <c r="AK177" s="13">
        <f t="shared" si="164"/>
        <v>70.590415164571112</v>
      </c>
      <c r="AL177" s="20">
        <f t="shared" si="165"/>
        <v>640.57875641162809</v>
      </c>
      <c r="AM177" s="59">
        <f t="shared" si="113"/>
        <v>933.91208974496135</v>
      </c>
      <c r="AN177" s="59">
        <f ca="1">AVERAGE(OFFSET($AM$3,0,0,'Données projet'!$E$10+1,1))-AVERAGE(OFFSET($H$3,0,0,'Données projet'!$E$10+1,1))</f>
        <v>270.30888762640245</v>
      </c>
      <c r="AO177" s="59">
        <f t="shared" si="144"/>
        <v>202.23783851977691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0.12367157560954505</v>
      </c>
      <c r="AV177" s="21">
        <f>EXP(-LN(2)/25)*AV176+(1-EXP(-LN(2)/25))/(LN(2)/25)*Calculateur!AQ177*Calculateur!AS177*VLOOKUP('Données projet'!$B$10,Paramètres!$A$1:$I$89,3,0)*0.475*44/12</f>
        <v>0.22688360347132366</v>
      </c>
      <c r="AW177" s="21">
        <f>EXP(-LN(2)/2)*AW176+(1-EXP(-LN(2)/2))/(LN(2)/2)*AQ177*AT177*VLOOKUP('Données projet'!$B$10,Paramètres!$A$1:$I$89,3,0)*0.475*44/12</f>
        <v>3.9159621883528959E-21</v>
      </c>
      <c r="AX177" s="21">
        <f t="shared" si="166"/>
        <v>0.3505551790808687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-1.7053025658242404E-13</v>
      </c>
      <c r="BE177" s="13">
        <f>BD177*VLOOKUP('Données projet'!$B$11,Paramètres!$A$1:$I$89,3,0)*VLOOKUP('Données projet'!$B$11,Paramètres!$A$1:$I$89,5,0)</f>
        <v>-1.0197709343628959E-13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243.85350804244348</v>
      </c>
      <c r="BJ177" s="59">
        <f t="shared" si="146"/>
        <v>304.60992308960545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0.26132166443208599</v>
      </c>
      <c r="BQ177" s="21">
        <f>EXP(-LN(2)/25)*BQ176+(1-EXP(-LN(2)/25))/(LN(2)/25)*Calculateur!BL177*Calculateur!BN177*VLOOKUP('Données projet'!$B$11,Paramètres!$A$1:$I$89,3,0)*0.475*44/12</f>
        <v>0.32715158890274471</v>
      </c>
      <c r="BR177" s="21">
        <f>EXP(-LN(2)/2)*BR176+(1-EXP(-LN(2)/2))/(LN(2)/2)*BL177*BO177*VLOOKUP('Données projet'!$B$11,Paramètres!$A$1:$I$89,3,0)*0.475*44/12</f>
        <v>7.9160025822478908E-22</v>
      </c>
      <c r="BS177" s="22">
        <f t="shared" si="169"/>
        <v>0.58847325333483069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1.5961632016114892E-13</v>
      </c>
      <c r="P178" s="13">
        <f t="shared" si="141"/>
        <v>2.2708641912150958E-12</v>
      </c>
      <c r="Q178" s="20">
        <f t="shared" si="162"/>
        <v>4.2330868906469593E-12</v>
      </c>
      <c r="R178" s="59">
        <f t="shared" si="109"/>
        <v>293.33333333333752</v>
      </c>
      <c r="S178" s="59">
        <f ca="1">AVERAGE(OFFSET($R$3,0,0,'Données projet'!$E$9+1,1))-AVERAGE(OFFSET($H$3,0,0,'Données projet'!$E$9+1,1))</f>
        <v>158.58786357608489</v>
      </c>
      <c r="T178" s="59">
        <f t="shared" si="142"/>
        <v>163.20074068819849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0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497</v>
      </c>
      <c r="AJ178" s="13">
        <f>AI178*VLOOKUP('Données projet'!$B$10,Paramètres!$A$1:$I$89,3,0)*VLOOKUP('Données projet'!$B$10,Paramètres!$A$1:$I$89,5,0)</f>
        <v>297.20600000000002</v>
      </c>
      <c r="AK178" s="13">
        <f t="shared" si="164"/>
        <v>70.590415164571112</v>
      </c>
      <c r="AL178" s="20">
        <f t="shared" si="165"/>
        <v>640.57875641162809</v>
      </c>
      <c r="AM178" s="59">
        <f t="shared" si="113"/>
        <v>933.91208974496135</v>
      </c>
      <c r="AN178" s="59">
        <f ca="1">AVERAGE(OFFSET($AM$3,0,0,'Données projet'!$E$10+1,1))-AVERAGE(OFFSET($H$3,0,0,'Données projet'!$E$10+1,1))</f>
        <v>270.30888762640245</v>
      </c>
      <c r="AO178" s="59">
        <f t="shared" si="144"/>
        <v>202.23783851977691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0.12124645144405467</v>
      </c>
      <c r="AV178" s="21">
        <f>EXP(-LN(2)/25)*AV177+(1-EXP(-LN(2)/25))/(LN(2)/25)*Calculateur!AQ178*Calculateur!AS178*VLOOKUP('Données projet'!$B$10,Paramètres!$A$1:$I$89,3,0)*0.475*44/12</f>
        <v>0.22067945940311015</v>
      </c>
      <c r="AW178" s="21">
        <f>EXP(-LN(2)/2)*AW177+(1-EXP(-LN(2)/2))/(LN(2)/2)*AQ178*AT178*VLOOKUP('Données projet'!$B$10,Paramètres!$A$1:$I$89,3,0)*0.475*44/12</f>
        <v>2.769003418254445E-21</v>
      </c>
      <c r="AX178" s="21">
        <f t="shared" si="166"/>
        <v>0.34192591084716484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-1.7053025658242404E-13</v>
      </c>
      <c r="BE178" s="13">
        <f>BD178*VLOOKUP('Données projet'!$B$11,Paramètres!$A$1:$I$89,3,0)*VLOOKUP('Données projet'!$B$11,Paramètres!$A$1:$I$89,5,0)</f>
        <v>-1.0197709343628959E-13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243.85350804244348</v>
      </c>
      <c r="BJ178" s="59">
        <f t="shared" si="146"/>
        <v>304.60992308960545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0.25619730598304957</v>
      </c>
      <c r="BQ178" s="21">
        <f>EXP(-LN(2)/25)*BQ177+(1-EXP(-LN(2)/25))/(LN(2)/25)*Calculateur!BL178*Calculateur!BN178*VLOOKUP('Données projet'!$B$11,Paramètres!$A$1:$I$89,3,0)*0.475*44/12</f>
        <v>0.31820561150004478</v>
      </c>
      <c r="BR178" s="21">
        <f>EXP(-LN(2)/2)*BR177+(1-EXP(-LN(2)/2))/(LN(2)/2)*BL178*BO178*VLOOKUP('Données projet'!$B$11,Paramètres!$A$1:$I$89,3,0)*0.475*44/12</f>
        <v>5.5974591057977044E-22</v>
      </c>
      <c r="BS178" s="22">
        <f t="shared" si="169"/>
        <v>0.57440291748309436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1.5961632016114892E-13</v>
      </c>
      <c r="P179" s="13">
        <f t="shared" si="141"/>
        <v>2.2708641912150958E-12</v>
      </c>
      <c r="Q179" s="20">
        <f t="shared" si="162"/>
        <v>4.2330868906469593E-12</v>
      </c>
      <c r="R179" s="59">
        <f t="shared" si="109"/>
        <v>293.33333333333752</v>
      </c>
      <c r="S179" s="59">
        <f ca="1">AVERAGE(OFFSET($R$3,0,0,'Données projet'!$E$9+1,1))-AVERAGE(OFFSET($H$3,0,0,'Données projet'!$E$9+1,1))</f>
        <v>158.58786357608489</v>
      </c>
      <c r="T179" s="59">
        <f t="shared" si="142"/>
        <v>163.20074068819849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0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497</v>
      </c>
      <c r="AJ179" s="13">
        <f>AI179*VLOOKUP('Données projet'!$B$10,Paramètres!$A$1:$I$89,3,0)*VLOOKUP('Données projet'!$B$10,Paramètres!$A$1:$I$89,5,0)</f>
        <v>297.20600000000002</v>
      </c>
      <c r="AK179" s="13">
        <f t="shared" si="164"/>
        <v>70.590415164571112</v>
      </c>
      <c r="AL179" s="20">
        <f t="shared" si="165"/>
        <v>640.57875641162809</v>
      </c>
      <c r="AM179" s="59">
        <f t="shared" si="113"/>
        <v>933.91208974496135</v>
      </c>
      <c r="AN179" s="59">
        <f ca="1">AVERAGE(OFFSET($AM$3,0,0,'Données projet'!$E$10+1,1))-AVERAGE(OFFSET($H$3,0,0,'Données projet'!$E$10+1,1))</f>
        <v>270.30888762640245</v>
      </c>
      <c r="AO179" s="59">
        <f t="shared" si="144"/>
        <v>202.23783851977691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0.11886888248426988</v>
      </c>
      <c r="AV179" s="21">
        <f>EXP(-LN(2)/25)*AV178+(1-EXP(-LN(2)/25))/(LN(2)/25)*Calculateur!AQ179*Calculateur!AS179*VLOOKUP('Données projet'!$B$10,Paramètres!$A$1:$I$89,3,0)*0.475*44/12</f>
        <v>0.2146449679807037</v>
      </c>
      <c r="AW179" s="21">
        <f>EXP(-LN(2)/2)*AW178+(1-EXP(-LN(2)/2))/(LN(2)/2)*AQ179*AT179*VLOOKUP('Données projet'!$B$10,Paramètres!$A$1:$I$89,3,0)*0.475*44/12</f>
        <v>1.9579810941764479E-21</v>
      </c>
      <c r="AX179" s="21">
        <f t="shared" si="166"/>
        <v>0.33351385046497362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-1.7053025658242404E-13</v>
      </c>
      <c r="BE179" s="13">
        <f>BD179*VLOOKUP('Données projet'!$B$11,Paramètres!$A$1:$I$89,3,0)*VLOOKUP('Données projet'!$B$11,Paramètres!$A$1:$I$89,5,0)</f>
        <v>-1.0197709343628959E-13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243.85350804244348</v>
      </c>
      <c r="BJ179" s="59">
        <f t="shared" si="146"/>
        <v>304.60992308960545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0.25117343307764872</v>
      </c>
      <c r="BQ179" s="21">
        <f>EXP(-LN(2)/25)*BQ178+(1-EXP(-LN(2)/25))/(LN(2)/25)*Calculateur!BL179*Calculateur!BN179*VLOOKUP('Données projet'!$B$11,Paramètres!$A$1:$I$89,3,0)*0.475*44/12</f>
        <v>0.30950426231987022</v>
      </c>
      <c r="BR179" s="21">
        <f>EXP(-LN(2)/2)*BR178+(1-EXP(-LN(2)/2))/(LN(2)/2)*BL179*BO179*VLOOKUP('Données projet'!$B$11,Paramètres!$A$1:$I$89,3,0)*0.475*44/12</f>
        <v>3.9580012911239454E-22</v>
      </c>
      <c r="BS179" s="22">
        <f t="shared" si="169"/>
        <v>0.56067769539751899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1.5961632016114892E-13</v>
      </c>
      <c r="P180" s="13">
        <f t="shared" si="141"/>
        <v>2.2708641912150958E-12</v>
      </c>
      <c r="Q180" s="20">
        <f t="shared" si="162"/>
        <v>4.2330868906469593E-12</v>
      </c>
      <c r="R180" s="59">
        <f t="shared" si="109"/>
        <v>293.33333333333752</v>
      </c>
      <c r="S180" s="59">
        <f ca="1">AVERAGE(OFFSET($R$3,0,0,'Données projet'!$E$9+1,1))-AVERAGE(OFFSET($H$3,0,0,'Données projet'!$E$9+1,1))</f>
        <v>158.58786357608489</v>
      </c>
      <c r="T180" s="59">
        <f t="shared" si="142"/>
        <v>163.20074068819849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0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497</v>
      </c>
      <c r="AJ180" s="13">
        <f>AI180*VLOOKUP('Données projet'!$B$10,Paramètres!$A$1:$I$89,3,0)*VLOOKUP('Données projet'!$B$10,Paramètres!$A$1:$I$89,5,0)</f>
        <v>297.20600000000002</v>
      </c>
      <c r="AK180" s="13">
        <f t="shared" si="164"/>
        <v>70.590415164571112</v>
      </c>
      <c r="AL180" s="20">
        <f t="shared" si="165"/>
        <v>640.57875641162809</v>
      </c>
      <c r="AM180" s="59">
        <f t="shared" si="113"/>
        <v>933.91208974496135</v>
      </c>
      <c r="AN180" s="59">
        <f ca="1">AVERAGE(OFFSET($AM$3,0,0,'Données projet'!$E$10+1,1))-AVERAGE(OFFSET($H$3,0,0,'Données projet'!$E$10+1,1))</f>
        <v>270.30888762640245</v>
      </c>
      <c r="AO180" s="59">
        <f t="shared" si="144"/>
        <v>202.23783851977691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0.11653793620161261</v>
      </c>
      <c r="AV180" s="21">
        <f>EXP(-LN(2)/25)*AV179+(1-EXP(-LN(2)/25))/(LN(2)/25)*Calculateur!AQ180*Calculateur!AS180*VLOOKUP('Données projet'!$B$10,Paramètres!$A$1:$I$89,3,0)*0.475*44/12</f>
        <v>0.20877549004358306</v>
      </c>
      <c r="AW180" s="21">
        <f>EXP(-LN(2)/2)*AW179+(1-EXP(-LN(2)/2))/(LN(2)/2)*AQ180*AT180*VLOOKUP('Données projet'!$B$10,Paramètres!$A$1:$I$89,3,0)*0.475*44/12</f>
        <v>1.3845017091272225E-21</v>
      </c>
      <c r="AX180" s="21">
        <f t="shared" si="166"/>
        <v>0.32531342624519566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-1.7053025658242404E-13</v>
      </c>
      <c r="BE180" s="13">
        <f>BD180*VLOOKUP('Données projet'!$B$11,Paramètres!$A$1:$I$89,3,0)*VLOOKUP('Données projet'!$B$11,Paramètres!$A$1:$I$89,5,0)</f>
        <v>-1.0197709343628959E-13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243.85350804244348</v>
      </c>
      <c r="BJ180" s="59">
        <f t="shared" si="146"/>
        <v>304.60992308960545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0.24624807525566289</v>
      </c>
      <c r="BQ180" s="21">
        <f>EXP(-LN(2)/25)*BQ179+(1-EXP(-LN(2)/25))/(LN(2)/25)*Calculateur!BL180*Calculateur!BN180*VLOOKUP('Données projet'!$B$11,Paramètres!$A$1:$I$89,3,0)*0.475*44/12</f>
        <v>0.30104085199061159</v>
      </c>
      <c r="BR180" s="21">
        <f>EXP(-LN(2)/2)*BR179+(1-EXP(-LN(2)/2))/(LN(2)/2)*BL180*BO180*VLOOKUP('Données projet'!$B$11,Paramètres!$A$1:$I$89,3,0)*0.475*44/12</f>
        <v>2.7987295528988522E-22</v>
      </c>
      <c r="BS180" s="22">
        <f t="shared" si="169"/>
        <v>0.54728892724627443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1.5961632016114892E-13</v>
      </c>
      <c r="P181" s="13">
        <f t="shared" si="141"/>
        <v>2.2708641912150958E-12</v>
      </c>
      <c r="Q181" s="20">
        <f t="shared" si="162"/>
        <v>4.2330868906469593E-12</v>
      </c>
      <c r="R181" s="59">
        <f t="shared" si="109"/>
        <v>293.33333333333752</v>
      </c>
      <c r="S181" s="59">
        <f ca="1">AVERAGE(OFFSET($R$3,0,0,'Données projet'!$E$9+1,1))-AVERAGE(OFFSET($H$3,0,0,'Données projet'!$E$9+1,1))</f>
        <v>158.58786357608489</v>
      </c>
      <c r="T181" s="59">
        <f t="shared" si="142"/>
        <v>163.20074068819849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0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497</v>
      </c>
      <c r="AJ181" s="13">
        <f>AI181*VLOOKUP('Données projet'!$B$10,Paramètres!$A$1:$I$89,3,0)*VLOOKUP('Données projet'!$B$10,Paramètres!$A$1:$I$89,5,0)</f>
        <v>297.20600000000002</v>
      </c>
      <c r="AK181" s="13">
        <f t="shared" si="164"/>
        <v>70.590415164571112</v>
      </c>
      <c r="AL181" s="20">
        <f t="shared" si="165"/>
        <v>640.57875641162809</v>
      </c>
      <c r="AM181" s="59">
        <f t="shared" si="113"/>
        <v>933.91208974496135</v>
      </c>
      <c r="AN181" s="59">
        <f ca="1">AVERAGE(OFFSET($AM$3,0,0,'Données projet'!$E$10+1,1))-AVERAGE(OFFSET($H$3,0,0,'Données projet'!$E$10+1,1))</f>
        <v>270.30888762640245</v>
      </c>
      <c r="AO181" s="59">
        <f t="shared" si="144"/>
        <v>202.23783851977691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0.11425269835382139</v>
      </c>
      <c r="AV181" s="21">
        <f>EXP(-LN(2)/25)*AV180+(1-EXP(-LN(2)/25))/(LN(2)/25)*Calculateur!AQ181*Calculateur!AS181*VLOOKUP('Données projet'!$B$10,Paramètres!$A$1:$I$89,3,0)*0.475*44/12</f>
        <v>0.20306651328931544</v>
      </c>
      <c r="AW181" s="21">
        <f>EXP(-LN(2)/2)*AW180+(1-EXP(-LN(2)/2))/(LN(2)/2)*AQ181*AT181*VLOOKUP('Données projet'!$B$10,Paramètres!$A$1:$I$89,3,0)*0.475*44/12</f>
        <v>9.7899054708822397E-22</v>
      </c>
      <c r="AX181" s="21">
        <f t="shared" si="166"/>
        <v>0.31731921164313681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-1.7053025658242404E-13</v>
      </c>
      <c r="BE181" s="13">
        <f>BD181*VLOOKUP('Données projet'!$B$11,Paramètres!$A$1:$I$89,3,0)*VLOOKUP('Données projet'!$B$11,Paramètres!$A$1:$I$89,5,0)</f>
        <v>-1.0197709343628959E-13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243.85350804244348</v>
      </c>
      <c r="BJ181" s="59">
        <f t="shared" si="146"/>
        <v>304.60992308960545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0.24141930069639458</v>
      </c>
      <c r="BQ181" s="21">
        <f>EXP(-LN(2)/25)*BQ180+(1-EXP(-LN(2)/25))/(LN(2)/25)*Calculateur!BL181*Calculateur!BN181*VLOOKUP('Données projet'!$B$11,Paramètres!$A$1:$I$89,3,0)*0.475*44/12</f>
        <v>0.29280887406187794</v>
      </c>
      <c r="BR181" s="21">
        <f>EXP(-LN(2)/2)*BR180+(1-EXP(-LN(2)/2))/(LN(2)/2)*BL181*BO181*VLOOKUP('Données projet'!$B$11,Paramètres!$A$1:$I$89,3,0)*0.475*44/12</f>
        <v>1.9790006455619727E-22</v>
      </c>
      <c r="BS181" s="22">
        <f t="shared" si="169"/>
        <v>0.53422817475827256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1.5961632016114892E-13</v>
      </c>
      <c r="P182" s="13">
        <f t="shared" si="141"/>
        <v>2.2708641912150958E-12</v>
      </c>
      <c r="Q182" s="20">
        <f t="shared" si="162"/>
        <v>4.2330868906469593E-12</v>
      </c>
      <c r="R182" s="59">
        <f t="shared" si="109"/>
        <v>293.33333333333752</v>
      </c>
      <c r="S182" s="59">
        <f ca="1">AVERAGE(OFFSET($R$3,0,0,'Données projet'!$E$9+1,1))-AVERAGE(OFFSET($H$3,0,0,'Données projet'!$E$9+1,1))</f>
        <v>158.58786357608489</v>
      </c>
      <c r="T182" s="59">
        <f t="shared" si="142"/>
        <v>163.20074068819849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0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497</v>
      </c>
      <c r="AJ182" s="13">
        <f>AI182*VLOOKUP('Données projet'!$B$10,Paramètres!$A$1:$I$89,3,0)*VLOOKUP('Données projet'!$B$10,Paramètres!$A$1:$I$89,5,0)</f>
        <v>297.20600000000002</v>
      </c>
      <c r="AK182" s="13">
        <f t="shared" si="164"/>
        <v>70.590415164571112</v>
      </c>
      <c r="AL182" s="20">
        <f t="shared" si="165"/>
        <v>640.57875641162809</v>
      </c>
      <c r="AM182" s="59">
        <f t="shared" si="113"/>
        <v>933.91208974496135</v>
      </c>
      <c r="AN182" s="59">
        <f ca="1">AVERAGE(OFFSET($AM$3,0,0,'Données projet'!$E$10+1,1))-AVERAGE(OFFSET($H$3,0,0,'Données projet'!$E$10+1,1))</f>
        <v>270.30888762640245</v>
      </c>
      <c r="AO182" s="59">
        <f t="shared" si="144"/>
        <v>202.23783851977691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0.1120122726263679</v>
      </c>
      <c r="AV182" s="21">
        <f>EXP(-LN(2)/25)*AV181+(1-EXP(-LN(2)/25))/(LN(2)/25)*Calculateur!AQ182*Calculateur!AS182*VLOOKUP('Données projet'!$B$10,Paramètres!$A$1:$I$89,3,0)*0.475*44/12</f>
        <v>0.19751364880461528</v>
      </c>
      <c r="AW182" s="21">
        <f>EXP(-LN(2)/2)*AW181+(1-EXP(-LN(2)/2))/(LN(2)/2)*AQ182*AT182*VLOOKUP('Données projet'!$B$10,Paramètres!$A$1:$I$89,3,0)*0.475*44/12</f>
        <v>6.9225085456361124E-22</v>
      </c>
      <c r="AX182" s="21">
        <f t="shared" si="166"/>
        <v>0.30952592143098318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-1.7053025658242404E-13</v>
      </c>
      <c r="BE182" s="13">
        <f>BD182*VLOOKUP('Données projet'!$B$11,Paramètres!$A$1:$I$89,3,0)*VLOOKUP('Données projet'!$B$11,Paramètres!$A$1:$I$89,5,0)</f>
        <v>-1.0197709343628959E-13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243.85350804244348</v>
      </c>
      <c r="BJ182" s="59">
        <f t="shared" si="146"/>
        <v>304.60992308960545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0.23668521546097185</v>
      </c>
      <c r="BQ182" s="21">
        <f>EXP(-LN(2)/25)*BQ181+(1-EXP(-LN(2)/25))/(LN(2)/25)*Calculateur!BL182*Calculateur!BN182*VLOOKUP('Données projet'!$B$11,Paramètres!$A$1:$I$89,3,0)*0.475*44/12</f>
        <v>0.28480200000250644</v>
      </c>
      <c r="BR182" s="21">
        <f>EXP(-LN(2)/2)*BR181+(1-EXP(-LN(2)/2))/(LN(2)/2)*BL182*BO182*VLOOKUP('Données projet'!$B$11,Paramètres!$A$1:$I$89,3,0)*0.475*44/12</f>
        <v>1.3993647764494261E-22</v>
      </c>
      <c r="BS182" s="22">
        <f t="shared" si="169"/>
        <v>0.52148721546347832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1.5961632016114892E-13</v>
      </c>
      <c r="P183" s="13">
        <f t="shared" si="141"/>
        <v>2.2708641912150958E-12</v>
      </c>
      <c r="Q183" s="20">
        <f t="shared" si="162"/>
        <v>4.2330868906469593E-12</v>
      </c>
      <c r="R183" s="59">
        <f t="shared" si="109"/>
        <v>293.33333333333752</v>
      </c>
      <c r="S183" s="59">
        <f ca="1">AVERAGE(OFFSET($R$3,0,0,'Données projet'!$E$9+1,1))-AVERAGE(OFFSET($H$3,0,0,'Données projet'!$E$9+1,1))</f>
        <v>158.58786357608489</v>
      </c>
      <c r="T183" s="59">
        <f t="shared" si="142"/>
        <v>163.20074068819849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0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497</v>
      </c>
      <c r="AJ183" s="13">
        <f>AI183*VLOOKUP('Données projet'!$B$10,Paramètres!$A$1:$I$89,3,0)*VLOOKUP('Données projet'!$B$10,Paramètres!$A$1:$I$89,5,0)</f>
        <v>297.20600000000002</v>
      </c>
      <c r="AK183" s="13">
        <f t="shared" si="164"/>
        <v>70.590415164571112</v>
      </c>
      <c r="AL183" s="20">
        <f t="shared" si="165"/>
        <v>640.57875641162809</v>
      </c>
      <c r="AM183" s="59">
        <f t="shared" si="113"/>
        <v>933.91208974496135</v>
      </c>
      <c r="AN183" s="59">
        <f ca="1">AVERAGE(OFFSET($AM$3,0,0,'Données projet'!$E$10+1,1))-AVERAGE(OFFSET($H$3,0,0,'Données projet'!$E$10+1,1))</f>
        <v>270.30888762640245</v>
      </c>
      <c r="AO183" s="59">
        <f t="shared" si="144"/>
        <v>202.23783851977691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0.10981578028090501</v>
      </c>
      <c r="AV183" s="21">
        <f>EXP(-LN(2)/25)*AV182+(1-EXP(-LN(2)/25))/(LN(2)/25)*Calculateur!AQ183*Calculateur!AS183*VLOOKUP('Données projet'!$B$10,Paramètres!$A$1:$I$89,3,0)*0.475*44/12</f>
        <v>0.19211262769126169</v>
      </c>
      <c r="AW183" s="21">
        <f>EXP(-LN(2)/2)*AW182+(1-EXP(-LN(2)/2))/(LN(2)/2)*AQ183*AT183*VLOOKUP('Données projet'!$B$10,Paramètres!$A$1:$I$89,3,0)*0.475*44/12</f>
        <v>4.8949527354411198E-22</v>
      </c>
      <c r="AX183" s="21">
        <f t="shared" si="166"/>
        <v>0.30192840797216669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-1.7053025658242404E-13</v>
      </c>
      <c r="BE183" s="13">
        <f>BD183*VLOOKUP('Données projet'!$B$11,Paramètres!$A$1:$I$89,3,0)*VLOOKUP('Données projet'!$B$11,Paramètres!$A$1:$I$89,5,0)</f>
        <v>-1.0197709343628959E-13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243.85350804244348</v>
      </c>
      <c r="BJ183" s="59">
        <f t="shared" si="146"/>
        <v>304.60992308960545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0.23204396274950889</v>
      </c>
      <c r="BQ183" s="21">
        <f>EXP(-LN(2)/25)*BQ182+(1-EXP(-LN(2)/25))/(LN(2)/25)*Calculateur!BL183*Calculateur!BN183*VLOOKUP('Données projet'!$B$11,Paramètres!$A$1:$I$89,3,0)*0.475*44/12</f>
        <v>0.27701407433535163</v>
      </c>
      <c r="BR183" s="21">
        <f>EXP(-LN(2)/2)*BR182+(1-EXP(-LN(2)/2))/(LN(2)/2)*BL183*BO183*VLOOKUP('Données projet'!$B$11,Paramètres!$A$1:$I$89,3,0)*0.475*44/12</f>
        <v>9.8950032278098634E-23</v>
      </c>
      <c r="BS183" s="22">
        <f t="shared" si="169"/>
        <v>0.50905803708486053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1.5961632016114892E-13</v>
      </c>
      <c r="P184" s="13">
        <f t="shared" si="141"/>
        <v>2.2708641912150958E-12</v>
      </c>
      <c r="Q184" s="20">
        <f t="shared" si="162"/>
        <v>4.2330868906469593E-12</v>
      </c>
      <c r="R184" s="59">
        <f t="shared" si="109"/>
        <v>293.33333333333752</v>
      </c>
      <c r="S184" s="59">
        <f ca="1">AVERAGE(OFFSET($R$3,0,0,'Données projet'!$E$9+1,1))-AVERAGE(OFFSET($H$3,0,0,'Données projet'!$E$9+1,1))</f>
        <v>158.58786357608489</v>
      </c>
      <c r="T184" s="59">
        <f t="shared" si="142"/>
        <v>163.20074068819849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0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497</v>
      </c>
      <c r="AJ184" s="13">
        <f>AI184*VLOOKUP('Données projet'!$B$10,Paramètres!$A$1:$I$89,3,0)*VLOOKUP('Données projet'!$B$10,Paramètres!$A$1:$I$89,5,0)</f>
        <v>297.20600000000002</v>
      </c>
      <c r="AK184" s="13">
        <f t="shared" si="164"/>
        <v>70.590415164571112</v>
      </c>
      <c r="AL184" s="20">
        <f t="shared" si="165"/>
        <v>640.57875641162809</v>
      </c>
      <c r="AM184" s="59">
        <f t="shared" si="113"/>
        <v>933.91208974496135</v>
      </c>
      <c r="AN184" s="59">
        <f ca="1">AVERAGE(OFFSET($AM$3,0,0,'Données projet'!$E$10+1,1))-AVERAGE(OFFSET($H$3,0,0,'Données projet'!$E$10+1,1))</f>
        <v>270.30888762640245</v>
      </c>
      <c r="AO184" s="59">
        <f t="shared" si="144"/>
        <v>202.23783851977691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0.10766235981060861</v>
      </c>
      <c r="AV184" s="21">
        <f>EXP(-LN(2)/25)*AV183+(1-EXP(-LN(2)/25))/(LN(2)/25)*Calculateur!AQ184*Calculateur!AS184*VLOOKUP('Données projet'!$B$10,Paramètres!$A$1:$I$89,3,0)*0.475*44/12</f>
        <v>0.18685929778428012</v>
      </c>
      <c r="AW184" s="21">
        <f>EXP(-LN(2)/2)*AW183+(1-EXP(-LN(2)/2))/(LN(2)/2)*AQ184*AT184*VLOOKUP('Données projet'!$B$10,Paramètres!$A$1:$I$89,3,0)*0.475*44/12</f>
        <v>3.4612542728180562E-22</v>
      </c>
      <c r="AX184" s="21">
        <f t="shared" si="166"/>
        <v>0.29452165759488874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-1.7053025658242404E-13</v>
      </c>
      <c r="BE184" s="13">
        <f>BD184*VLOOKUP('Données projet'!$B$11,Paramètres!$A$1:$I$89,3,0)*VLOOKUP('Données projet'!$B$11,Paramètres!$A$1:$I$89,5,0)</f>
        <v>-1.0197709343628959E-13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243.85350804244348</v>
      </c>
      <c r="BJ184" s="59">
        <f t="shared" si="146"/>
        <v>304.60992308960545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0.22749372217283309</v>
      </c>
      <c r="BQ184" s="21">
        <f>EXP(-LN(2)/25)*BQ183+(1-EXP(-LN(2)/25))/(LN(2)/25)*Calculateur!BL184*Calculateur!BN184*VLOOKUP('Données projet'!$B$11,Paramètres!$A$1:$I$89,3,0)*0.475*44/12</f>
        <v>0.26943910990511438</v>
      </c>
      <c r="BR184" s="21">
        <f>EXP(-LN(2)/2)*BR183+(1-EXP(-LN(2)/2))/(LN(2)/2)*BL184*BO184*VLOOKUP('Données projet'!$B$11,Paramètres!$A$1:$I$89,3,0)*0.475*44/12</f>
        <v>6.9968238822471305E-23</v>
      </c>
      <c r="BS184" s="22">
        <f t="shared" si="169"/>
        <v>0.49693283207794747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1.5961632016114892E-13</v>
      </c>
      <c r="P185" s="13">
        <f t="shared" si="141"/>
        <v>2.2708641912150958E-12</v>
      </c>
      <c r="Q185" s="20">
        <f t="shared" si="162"/>
        <v>4.2330868906469593E-12</v>
      </c>
      <c r="R185" s="59">
        <f t="shared" si="109"/>
        <v>293.33333333333752</v>
      </c>
      <c r="S185" s="59">
        <f ca="1">AVERAGE(OFFSET($R$3,0,0,'Données projet'!$E$9+1,1))-AVERAGE(OFFSET($H$3,0,0,'Données projet'!$E$9+1,1))</f>
        <v>158.58786357608489</v>
      </c>
      <c r="T185" s="59">
        <f t="shared" si="142"/>
        <v>163.20074068819849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0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497</v>
      </c>
      <c r="AJ185" s="13">
        <f>AI185*VLOOKUP('Données projet'!$B$10,Paramètres!$A$1:$I$89,3,0)*VLOOKUP('Données projet'!$B$10,Paramètres!$A$1:$I$89,5,0)</f>
        <v>297.20600000000002</v>
      </c>
      <c r="AK185" s="13">
        <f t="shared" si="164"/>
        <v>70.590415164571112</v>
      </c>
      <c r="AL185" s="20">
        <f t="shared" si="165"/>
        <v>640.57875641162809</v>
      </c>
      <c r="AM185" s="59">
        <f t="shared" si="113"/>
        <v>933.91208974496135</v>
      </c>
      <c r="AN185" s="59">
        <f ca="1">AVERAGE(OFFSET($AM$3,0,0,'Données projet'!$E$10+1,1))-AVERAGE(OFFSET($H$3,0,0,'Données projet'!$E$10+1,1))</f>
        <v>270.30888762640245</v>
      </c>
      <c r="AO185" s="59">
        <f t="shared" si="144"/>
        <v>202.23783851977691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0.10555116660227792</v>
      </c>
      <c r="AV185" s="21">
        <f>EXP(-LN(2)/25)*AV184+(1-EXP(-LN(2)/25))/(LN(2)/25)*Calculateur!AQ185*Calculateur!AS185*VLOOKUP('Données projet'!$B$10,Paramètres!$A$1:$I$89,3,0)*0.475*44/12</f>
        <v>0.18174962045986559</v>
      </c>
      <c r="AW185" s="21">
        <f>EXP(-LN(2)/2)*AW184+(1-EXP(-LN(2)/2))/(LN(2)/2)*AQ185*AT185*VLOOKUP('Données projet'!$B$10,Paramètres!$A$1:$I$89,3,0)*0.475*44/12</f>
        <v>2.4474763677205599E-22</v>
      </c>
      <c r="AX185" s="21">
        <f t="shared" si="166"/>
        <v>0.28730078706214351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-1.7053025658242404E-13</v>
      </c>
      <c r="BE185" s="13">
        <f>BD185*VLOOKUP('Données projet'!$B$11,Paramètres!$A$1:$I$89,3,0)*VLOOKUP('Données projet'!$B$11,Paramètres!$A$1:$I$89,5,0)</f>
        <v>-1.0197709343628959E-13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243.85350804244348</v>
      </c>
      <c r="BJ185" s="59">
        <f t="shared" si="146"/>
        <v>304.60992308960545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0.2230327090384932</v>
      </c>
      <c r="BQ185" s="21">
        <f>EXP(-LN(2)/25)*BQ184+(1-EXP(-LN(2)/25))/(LN(2)/25)*Calculateur!BL185*Calculateur!BN185*VLOOKUP('Données projet'!$B$11,Paramètres!$A$1:$I$89,3,0)*0.475*44/12</f>
        <v>0.26207128327557205</v>
      </c>
      <c r="BR185" s="21">
        <f>EXP(-LN(2)/2)*BR184+(1-EXP(-LN(2)/2))/(LN(2)/2)*BL185*BO185*VLOOKUP('Données projet'!$B$11,Paramètres!$A$1:$I$89,3,0)*0.475*44/12</f>
        <v>4.9475016139049317E-23</v>
      </c>
      <c r="BS185" s="22">
        <f t="shared" si="169"/>
        <v>0.48510399231406526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1.5961632016114892E-13</v>
      </c>
      <c r="P186" s="13">
        <f t="shared" si="141"/>
        <v>2.2708641912150958E-12</v>
      </c>
      <c r="Q186" s="20">
        <f t="shared" si="162"/>
        <v>4.2330868906469593E-12</v>
      </c>
      <c r="R186" s="59">
        <f t="shared" si="109"/>
        <v>293.33333333333752</v>
      </c>
      <c r="S186" s="59">
        <f ca="1">AVERAGE(OFFSET($R$3,0,0,'Données projet'!$E$9+1,1))-AVERAGE(OFFSET($H$3,0,0,'Données projet'!$E$9+1,1))</f>
        <v>158.58786357608489</v>
      </c>
      <c r="T186" s="59">
        <f t="shared" si="142"/>
        <v>163.20074068819849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0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497</v>
      </c>
      <c r="AJ186" s="13">
        <f>AI186*VLOOKUP('Données projet'!$B$10,Paramètres!$A$1:$I$89,3,0)*VLOOKUP('Données projet'!$B$10,Paramètres!$A$1:$I$89,5,0)</f>
        <v>297.20600000000002</v>
      </c>
      <c r="AK186" s="13">
        <f t="shared" si="164"/>
        <v>70.590415164571112</v>
      </c>
      <c r="AL186" s="20">
        <f t="shared" si="165"/>
        <v>640.57875641162809</v>
      </c>
      <c r="AM186" s="59">
        <f t="shared" si="113"/>
        <v>933.91208974496135</v>
      </c>
      <c r="AN186" s="59">
        <f ca="1">AVERAGE(OFFSET($AM$3,0,0,'Données projet'!$E$10+1,1))-AVERAGE(OFFSET($H$3,0,0,'Données projet'!$E$10+1,1))</f>
        <v>270.30888762640245</v>
      </c>
      <c r="AO186" s="59">
        <f t="shared" si="144"/>
        <v>202.23783851977691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0.10348137260506191</v>
      </c>
      <c r="AV186" s="21">
        <f>EXP(-LN(2)/25)*AV185+(1-EXP(-LN(2)/25))/(LN(2)/25)*Calculateur!AQ186*Calculateur!AS186*VLOOKUP('Données projet'!$B$10,Paramètres!$A$1:$I$89,3,0)*0.475*44/12</f>
        <v>0.17677966753059343</v>
      </c>
      <c r="AW186" s="21">
        <f>EXP(-LN(2)/2)*AW185+(1-EXP(-LN(2)/2))/(LN(2)/2)*AQ186*AT186*VLOOKUP('Données projet'!$B$10,Paramètres!$A$1:$I$89,3,0)*0.475*44/12</f>
        <v>1.7306271364090281E-22</v>
      </c>
      <c r="AX186" s="21">
        <f t="shared" si="166"/>
        <v>0.28026104013565534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-1.7053025658242404E-13</v>
      </c>
      <c r="BE186" s="13">
        <f>BD186*VLOOKUP('Données projet'!$B$11,Paramètres!$A$1:$I$89,3,0)*VLOOKUP('Données projet'!$B$11,Paramètres!$A$1:$I$89,5,0)</f>
        <v>-1.0197709343628959E-13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243.85350804244348</v>
      </c>
      <c r="BJ186" s="59">
        <f t="shared" si="146"/>
        <v>304.60992308960545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0.21865917365076837</v>
      </c>
      <c r="BQ186" s="21">
        <f>EXP(-LN(2)/25)*BQ185+(1-EXP(-LN(2)/25))/(LN(2)/25)*Calculateur!BL186*Calculateur!BN186*VLOOKUP('Données projet'!$B$11,Paramètres!$A$1:$I$89,3,0)*0.475*44/12</f>
        <v>0.25490493025267175</v>
      </c>
      <c r="BR186" s="21">
        <f>EXP(-LN(2)/2)*BR185+(1-EXP(-LN(2)/2))/(LN(2)/2)*BL186*BO186*VLOOKUP('Données projet'!$B$11,Paramètres!$A$1:$I$89,3,0)*0.475*44/12</f>
        <v>3.4984119411235653E-23</v>
      </c>
      <c r="BS186" s="22">
        <f t="shared" si="169"/>
        <v>0.47356410390344011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1.5961632016114892E-13</v>
      </c>
      <c r="P187" s="13">
        <f t="shared" si="141"/>
        <v>2.2708641912150958E-12</v>
      </c>
      <c r="Q187" s="20">
        <f t="shared" si="162"/>
        <v>4.2330868906469593E-12</v>
      </c>
      <c r="R187" s="59">
        <f t="shared" si="109"/>
        <v>293.33333333333752</v>
      </c>
      <c r="S187" s="59">
        <f ca="1">AVERAGE(OFFSET($R$3,0,0,'Données projet'!$E$9+1,1))-AVERAGE(OFFSET($H$3,0,0,'Données projet'!$E$9+1,1))</f>
        <v>158.58786357608489</v>
      </c>
      <c r="T187" s="59">
        <f t="shared" si="142"/>
        <v>163.20074068819849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0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497</v>
      </c>
      <c r="AJ187" s="13">
        <f>AI187*VLOOKUP('Données projet'!$B$10,Paramètres!$A$1:$I$89,3,0)*VLOOKUP('Données projet'!$B$10,Paramètres!$A$1:$I$89,5,0)</f>
        <v>297.20600000000002</v>
      </c>
      <c r="AK187" s="13">
        <f t="shared" si="164"/>
        <v>70.590415164571112</v>
      </c>
      <c r="AL187" s="20">
        <f t="shared" si="165"/>
        <v>640.57875641162809</v>
      </c>
      <c r="AM187" s="59">
        <f t="shared" si="113"/>
        <v>933.91208974496135</v>
      </c>
      <c r="AN187" s="59">
        <f ca="1">AVERAGE(OFFSET($AM$3,0,0,'Données projet'!$E$10+1,1))-AVERAGE(OFFSET($H$3,0,0,'Données projet'!$E$10+1,1))</f>
        <v>270.30888762640245</v>
      </c>
      <c r="AO187" s="59">
        <f t="shared" si="144"/>
        <v>202.23783851977691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0.1014521660056816</v>
      </c>
      <c r="AV187" s="21">
        <f>EXP(-LN(2)/25)*AV186+(1-EXP(-LN(2)/25))/(LN(2)/25)*Calculateur!AQ187*Calculateur!AS187*VLOOKUP('Données projet'!$B$10,Paramètres!$A$1:$I$89,3,0)*0.475*44/12</f>
        <v>0.17194561822553067</v>
      </c>
      <c r="AW187" s="21">
        <f>EXP(-LN(2)/2)*AW186+(1-EXP(-LN(2)/2))/(LN(2)/2)*AQ187*AT187*VLOOKUP('Données projet'!$B$10,Paramètres!$A$1:$I$89,3,0)*0.475*44/12</f>
        <v>1.22373818386028E-22</v>
      </c>
      <c r="AX187" s="21">
        <f t="shared" si="166"/>
        <v>0.2733977842312123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-1.7053025658242404E-13</v>
      </c>
      <c r="BE187" s="13">
        <f>BD187*VLOOKUP('Données projet'!$B$11,Paramètres!$A$1:$I$89,3,0)*VLOOKUP('Données projet'!$B$11,Paramètres!$A$1:$I$89,5,0)</f>
        <v>-1.0197709343628959E-13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243.85350804244348</v>
      </c>
      <c r="BJ187" s="59">
        <f t="shared" si="146"/>
        <v>304.60992308960545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0.21437140062440363</v>
      </c>
      <c r="BQ187" s="21">
        <f>EXP(-LN(2)/25)*BQ186+(1-EXP(-LN(2)/25))/(LN(2)/25)*Calculateur!BL187*Calculateur!BN187*VLOOKUP('Données projet'!$B$11,Paramètres!$A$1:$I$89,3,0)*0.475*44/12</f>
        <v>0.24793454153004474</v>
      </c>
      <c r="BR187" s="21">
        <f>EXP(-LN(2)/2)*BR186+(1-EXP(-LN(2)/2))/(LN(2)/2)*BL187*BO187*VLOOKUP('Données projet'!$B$11,Paramètres!$A$1:$I$89,3,0)*0.475*44/12</f>
        <v>2.4737508069524659E-23</v>
      </c>
      <c r="BS187" s="22">
        <f t="shared" si="169"/>
        <v>0.46230594215444837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1.5961632016114892E-13</v>
      </c>
      <c r="P188" s="13">
        <f t="shared" si="141"/>
        <v>2.2708641912150958E-12</v>
      </c>
      <c r="Q188" s="20">
        <f t="shared" si="162"/>
        <v>4.2330868906469593E-12</v>
      </c>
      <c r="R188" s="59">
        <f t="shared" si="109"/>
        <v>293.33333333333752</v>
      </c>
      <c r="S188" s="59">
        <f ca="1">AVERAGE(OFFSET($R$3,0,0,'Données projet'!$E$9+1,1))-AVERAGE(OFFSET($H$3,0,0,'Données projet'!$E$9+1,1))</f>
        <v>158.58786357608489</v>
      </c>
      <c r="T188" s="59">
        <f t="shared" si="142"/>
        <v>163.20074068819849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0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497</v>
      </c>
      <c r="AJ188" s="13">
        <f>AI188*VLOOKUP('Données projet'!$B$10,Paramètres!$A$1:$I$89,3,0)*VLOOKUP('Données projet'!$B$10,Paramètres!$A$1:$I$89,5,0)</f>
        <v>297.20600000000002</v>
      </c>
      <c r="AK188" s="13">
        <f t="shared" si="164"/>
        <v>70.590415164571112</v>
      </c>
      <c r="AL188" s="20">
        <f t="shared" si="165"/>
        <v>640.57875641162809</v>
      </c>
      <c r="AM188" s="59">
        <f t="shared" si="113"/>
        <v>933.91208974496135</v>
      </c>
      <c r="AN188" s="59">
        <f ca="1">AVERAGE(OFFSET($AM$3,0,0,'Données projet'!$E$10+1,1))-AVERAGE(OFFSET($H$3,0,0,'Données projet'!$E$10+1,1))</f>
        <v>270.30888762640245</v>
      </c>
      <c r="AO188" s="59">
        <f t="shared" si="144"/>
        <v>202.23783851977691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9.9462750910021339E-2</v>
      </c>
      <c r="AV188" s="21">
        <f>EXP(-LN(2)/25)*AV187+(1-EXP(-LN(2)/25))/(LN(2)/25)*Calculateur!AQ188*Calculateur!AS188*VLOOKUP('Données projet'!$B$10,Paramètres!$A$1:$I$89,3,0)*0.475*44/12</f>
        <v>0.16724375625292645</v>
      </c>
      <c r="AW188" s="21">
        <f>EXP(-LN(2)/2)*AW187+(1-EXP(-LN(2)/2))/(LN(2)/2)*AQ188*AT188*VLOOKUP('Données projet'!$B$10,Paramètres!$A$1:$I$89,3,0)*0.475*44/12</f>
        <v>8.6531356820451405E-23</v>
      </c>
      <c r="AX188" s="21">
        <f t="shared" si="166"/>
        <v>0.2667065071629478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-1.7053025658242404E-13</v>
      </c>
      <c r="BE188" s="13">
        <f>BD188*VLOOKUP('Données projet'!$B$11,Paramètres!$A$1:$I$89,3,0)*VLOOKUP('Données projet'!$B$11,Paramètres!$A$1:$I$89,5,0)</f>
        <v>-1.0197709343628959E-13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243.85350804244348</v>
      </c>
      <c r="BJ188" s="59">
        <f t="shared" si="146"/>
        <v>304.60992308960545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0.21016770821180261</v>
      </c>
      <c r="BQ188" s="21">
        <f>EXP(-LN(2)/25)*BQ187+(1-EXP(-LN(2)/25))/(LN(2)/25)*Calculateur!BL188*Calculateur!BN188*VLOOKUP('Données projet'!$B$11,Paramètres!$A$1:$I$89,3,0)*0.475*44/12</f>
        <v>0.2411547584535948</v>
      </c>
      <c r="BR188" s="21">
        <f>EXP(-LN(2)/2)*BR187+(1-EXP(-LN(2)/2))/(LN(2)/2)*BL188*BO188*VLOOKUP('Données projet'!$B$11,Paramètres!$A$1:$I$89,3,0)*0.475*44/12</f>
        <v>1.7492059705617826E-23</v>
      </c>
      <c r="BS188" s="22">
        <f t="shared" si="169"/>
        <v>0.45132246666539744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1.5961632016114892E-13</v>
      </c>
      <c r="P189" s="13">
        <f t="shared" si="141"/>
        <v>2.2708641912150958E-12</v>
      </c>
      <c r="Q189" s="20">
        <f t="shared" si="162"/>
        <v>4.2330868906469593E-12</v>
      </c>
      <c r="R189" s="59">
        <f t="shared" si="109"/>
        <v>293.33333333333752</v>
      </c>
      <c r="S189" s="59">
        <f ca="1">AVERAGE(OFFSET($R$3,0,0,'Données projet'!$E$9+1,1))-AVERAGE(OFFSET($H$3,0,0,'Données projet'!$E$9+1,1))</f>
        <v>158.58786357608489</v>
      </c>
      <c r="T189" s="59">
        <f t="shared" si="142"/>
        <v>163.20074068819849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0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497</v>
      </c>
      <c r="AJ189" s="13">
        <f>AI189*VLOOKUP('Données projet'!$B$10,Paramètres!$A$1:$I$89,3,0)*VLOOKUP('Données projet'!$B$10,Paramètres!$A$1:$I$89,5,0)</f>
        <v>297.20600000000002</v>
      </c>
      <c r="AK189" s="13">
        <f t="shared" si="164"/>
        <v>70.590415164571112</v>
      </c>
      <c r="AL189" s="20">
        <f t="shared" si="165"/>
        <v>640.57875641162809</v>
      </c>
      <c r="AM189" s="59">
        <f t="shared" si="113"/>
        <v>933.91208974496135</v>
      </c>
      <c r="AN189" s="59">
        <f ca="1">AVERAGE(OFFSET($AM$3,0,0,'Données projet'!$E$10+1,1))-AVERAGE(OFFSET($H$3,0,0,'Données projet'!$E$10+1,1))</f>
        <v>270.30888762640245</v>
      </c>
      <c r="AO189" s="59">
        <f t="shared" si="144"/>
        <v>202.23783851977691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9.7512347030963578E-2</v>
      </c>
      <c r="AV189" s="21">
        <f>EXP(-LN(2)/25)*AV188+(1-EXP(-LN(2)/25))/(LN(2)/25)*Calculateur!AQ189*Calculateur!AS189*VLOOKUP('Données projet'!$B$10,Paramètres!$A$1:$I$89,3,0)*0.475*44/12</f>
        <v>0.16267046694322326</v>
      </c>
      <c r="AW189" s="21">
        <f>EXP(-LN(2)/2)*AW188+(1-EXP(-LN(2)/2))/(LN(2)/2)*AQ189*AT189*VLOOKUP('Données projet'!$B$10,Paramètres!$A$1:$I$89,3,0)*0.475*44/12</f>
        <v>6.1186909193013998E-23</v>
      </c>
      <c r="AX189" s="21">
        <f t="shared" si="166"/>
        <v>0.26018281397418686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-1.7053025658242404E-13</v>
      </c>
      <c r="BE189" s="13">
        <f>BD189*VLOOKUP('Données projet'!$B$11,Paramètres!$A$1:$I$89,3,0)*VLOOKUP('Données projet'!$B$11,Paramètres!$A$1:$I$89,5,0)</f>
        <v>-1.0197709343628959E-13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243.85350804244348</v>
      </c>
      <c r="BJ189" s="59">
        <f t="shared" si="146"/>
        <v>304.60992308960545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0.20604644764341348</v>
      </c>
      <c r="BQ189" s="21">
        <f>EXP(-LN(2)/25)*BQ188+(1-EXP(-LN(2)/25))/(LN(2)/25)*Calculateur!BL189*Calculateur!BN189*VLOOKUP('Données projet'!$B$11,Paramètres!$A$1:$I$89,3,0)*0.475*44/12</f>
        <v>0.23456036890190365</v>
      </c>
      <c r="BR189" s="21">
        <f>EXP(-LN(2)/2)*BR188+(1-EXP(-LN(2)/2))/(LN(2)/2)*BL189*BO189*VLOOKUP('Données projet'!$B$11,Paramètres!$A$1:$I$89,3,0)*0.475*44/12</f>
        <v>1.2368754034762329E-23</v>
      </c>
      <c r="BS189" s="22">
        <f t="shared" si="169"/>
        <v>0.44060681654531714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1.5961632016114892E-13</v>
      </c>
      <c r="P190" s="13">
        <f t="shared" si="141"/>
        <v>2.2708641912150958E-12</v>
      </c>
      <c r="Q190" s="20">
        <f t="shared" si="162"/>
        <v>4.2330868906469593E-12</v>
      </c>
      <c r="R190" s="59">
        <f t="shared" si="109"/>
        <v>293.33333333333752</v>
      </c>
      <c r="S190" s="59">
        <f ca="1">AVERAGE(OFFSET($R$3,0,0,'Données projet'!$E$9+1,1))-AVERAGE(OFFSET($H$3,0,0,'Données projet'!$E$9+1,1))</f>
        <v>158.58786357608489</v>
      </c>
      <c r="T190" s="59">
        <f t="shared" si="142"/>
        <v>163.20074068819849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0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497</v>
      </c>
      <c r="AJ190" s="13">
        <f>AI190*VLOOKUP('Données projet'!$B$10,Paramètres!$A$1:$I$89,3,0)*VLOOKUP('Données projet'!$B$10,Paramètres!$A$1:$I$89,5,0)</f>
        <v>297.20600000000002</v>
      </c>
      <c r="AK190" s="13">
        <f t="shared" si="164"/>
        <v>70.590415164571112</v>
      </c>
      <c r="AL190" s="20">
        <f t="shared" si="165"/>
        <v>640.57875641162809</v>
      </c>
      <c r="AM190" s="59">
        <f t="shared" si="113"/>
        <v>933.91208974496135</v>
      </c>
      <c r="AN190" s="59">
        <f ca="1">AVERAGE(OFFSET($AM$3,0,0,'Données projet'!$E$10+1,1))-AVERAGE(OFFSET($H$3,0,0,'Données projet'!$E$10+1,1))</f>
        <v>270.30888762640245</v>
      </c>
      <c r="AO190" s="59">
        <f t="shared" si="144"/>
        <v>202.23783851977691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9.5600189382345241E-2</v>
      </c>
      <c r="AV190" s="21">
        <f>EXP(-LN(2)/25)*AV189+(1-EXP(-LN(2)/25))/(LN(2)/25)*Calculateur!AQ190*Calculateur!AS190*VLOOKUP('Données projet'!$B$10,Paramètres!$A$1:$I$89,3,0)*0.475*44/12</f>
        <v>0.15822223447019276</v>
      </c>
      <c r="AW190" s="21">
        <f>EXP(-LN(2)/2)*AW189+(1-EXP(-LN(2)/2))/(LN(2)/2)*AQ190*AT190*VLOOKUP('Données projet'!$B$10,Paramètres!$A$1:$I$89,3,0)*0.475*44/12</f>
        <v>4.3265678410225702E-23</v>
      </c>
      <c r="AX190" s="21">
        <f t="shared" si="166"/>
        <v>0.253822423852538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-1.7053025658242404E-13</v>
      </c>
      <c r="BE190" s="13">
        <f>BD190*VLOOKUP('Données projet'!$B$11,Paramètres!$A$1:$I$89,3,0)*VLOOKUP('Données projet'!$B$11,Paramètres!$A$1:$I$89,5,0)</f>
        <v>-1.0197709343628959E-13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243.85350804244348</v>
      </c>
      <c r="BJ190" s="59">
        <f t="shared" si="146"/>
        <v>304.60992308960545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0.20200600248104975</v>
      </c>
      <c r="BQ190" s="21">
        <f>EXP(-LN(2)/25)*BQ189+(1-EXP(-LN(2)/25))/(LN(2)/25)*Calculateur!BL190*Calculateur!BN190*VLOOKUP('Données projet'!$B$11,Paramètres!$A$1:$I$89,3,0)*0.475*44/12</f>
        <v>0.22814630327928739</v>
      </c>
      <c r="BR190" s="21">
        <f>EXP(-LN(2)/2)*BR189+(1-EXP(-LN(2)/2))/(LN(2)/2)*BL190*BO190*VLOOKUP('Données projet'!$B$11,Paramètres!$A$1:$I$89,3,0)*0.475*44/12</f>
        <v>8.7460298528089131E-24</v>
      </c>
      <c r="BS190" s="22">
        <f t="shared" si="169"/>
        <v>0.43015230576033714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1.5961632016114892E-13</v>
      </c>
      <c r="P191" s="13">
        <f t="shared" si="141"/>
        <v>2.2708641912150958E-12</v>
      </c>
      <c r="Q191" s="20">
        <f t="shared" si="162"/>
        <v>4.2330868906469593E-12</v>
      </c>
      <c r="R191" s="59">
        <f t="shared" si="109"/>
        <v>293.33333333333752</v>
      </c>
      <c r="S191" s="59">
        <f ca="1">AVERAGE(OFFSET($R$3,0,0,'Données projet'!$E$9+1,1))-AVERAGE(OFFSET($H$3,0,0,'Données projet'!$E$9+1,1))</f>
        <v>158.58786357608489</v>
      </c>
      <c r="T191" s="59">
        <f t="shared" si="142"/>
        <v>163.20074068819849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0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497</v>
      </c>
      <c r="AJ191" s="13">
        <f>AI191*VLOOKUP('Données projet'!$B$10,Paramètres!$A$1:$I$89,3,0)*VLOOKUP('Données projet'!$B$10,Paramètres!$A$1:$I$89,5,0)</f>
        <v>297.20600000000002</v>
      </c>
      <c r="AK191" s="13">
        <f t="shared" si="164"/>
        <v>70.590415164571112</v>
      </c>
      <c r="AL191" s="20">
        <f t="shared" si="165"/>
        <v>640.57875641162809</v>
      </c>
      <c r="AM191" s="59">
        <f t="shared" si="113"/>
        <v>933.91208974496135</v>
      </c>
      <c r="AN191" s="59">
        <f ca="1">AVERAGE(OFFSET($AM$3,0,0,'Données projet'!$E$10+1,1))-AVERAGE(OFFSET($H$3,0,0,'Données projet'!$E$10+1,1))</f>
        <v>270.30888762640245</v>
      </c>
      <c r="AO191" s="59">
        <f t="shared" si="144"/>
        <v>202.23783851977691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9.3725527978915299E-2</v>
      </c>
      <c r="AV191" s="21">
        <f>EXP(-LN(2)/25)*AV190+(1-EXP(-LN(2)/25))/(LN(2)/25)*Calculateur!AQ191*Calculateur!AS191*VLOOKUP('Données projet'!$B$10,Paramètres!$A$1:$I$89,3,0)*0.475*44/12</f>
        <v>0.15389563914805965</v>
      </c>
      <c r="AW191" s="21">
        <f>EXP(-LN(2)/2)*AW190+(1-EXP(-LN(2)/2))/(LN(2)/2)*AQ191*AT191*VLOOKUP('Données projet'!$B$10,Paramètres!$A$1:$I$89,3,0)*0.475*44/12</f>
        <v>3.0593454596506999E-23</v>
      </c>
      <c r="AX191" s="21">
        <f t="shared" si="166"/>
        <v>0.24762116712697496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-1.7053025658242404E-13</v>
      </c>
      <c r="BE191" s="13">
        <f>BD191*VLOOKUP('Données projet'!$B$11,Paramètres!$A$1:$I$89,3,0)*VLOOKUP('Données projet'!$B$11,Paramètres!$A$1:$I$89,5,0)</f>
        <v>-1.0197709343628959E-13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243.85350804244348</v>
      </c>
      <c r="BJ191" s="59">
        <f t="shared" si="146"/>
        <v>304.60992308960545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0.19804478798389175</v>
      </c>
      <c r="BQ191" s="21">
        <f>EXP(-LN(2)/25)*BQ190+(1-EXP(-LN(2)/25))/(LN(2)/25)*Calculateur!BL191*Calculateur!BN191*VLOOKUP('Données projet'!$B$11,Paramètres!$A$1:$I$89,3,0)*0.475*44/12</f>
        <v>0.22190763061842261</v>
      </c>
      <c r="BR191" s="21">
        <f>EXP(-LN(2)/2)*BR190+(1-EXP(-LN(2)/2))/(LN(2)/2)*BL191*BO191*VLOOKUP('Données projet'!$B$11,Paramètres!$A$1:$I$89,3,0)*0.475*44/12</f>
        <v>6.1843770173811647E-24</v>
      </c>
      <c r="BS191" s="22">
        <f t="shared" si="169"/>
        <v>0.41995241860231436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1.5961632016114892E-13</v>
      </c>
      <c r="P192" s="13">
        <f t="shared" si="141"/>
        <v>2.2708641912150958E-12</v>
      </c>
      <c r="Q192" s="20">
        <f t="shared" si="162"/>
        <v>4.2330868906469593E-12</v>
      </c>
      <c r="R192" s="59">
        <f t="shared" si="109"/>
        <v>293.33333333333752</v>
      </c>
      <c r="S192" s="59">
        <f ca="1">AVERAGE(OFFSET($R$3,0,0,'Données projet'!$E$9+1,1))-AVERAGE(OFFSET($H$3,0,0,'Données projet'!$E$9+1,1))</f>
        <v>158.58786357608489</v>
      </c>
      <c r="T192" s="59">
        <f t="shared" si="142"/>
        <v>163.20074068819849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0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497</v>
      </c>
      <c r="AJ192" s="13">
        <f>AI192*VLOOKUP('Données projet'!$B$10,Paramètres!$A$1:$I$89,3,0)*VLOOKUP('Données projet'!$B$10,Paramètres!$A$1:$I$89,5,0)</f>
        <v>297.20600000000002</v>
      </c>
      <c r="AK192" s="13">
        <f t="shared" si="164"/>
        <v>70.590415164571112</v>
      </c>
      <c r="AL192" s="20">
        <f t="shared" si="165"/>
        <v>640.57875641162809</v>
      </c>
      <c r="AM192" s="59">
        <f t="shared" si="113"/>
        <v>933.91208974496135</v>
      </c>
      <c r="AN192" s="59">
        <f ca="1">AVERAGE(OFFSET($AM$3,0,0,'Données projet'!$E$10+1,1))-AVERAGE(OFFSET($H$3,0,0,'Données projet'!$E$10+1,1))</f>
        <v>270.30888762640245</v>
      </c>
      <c r="AO192" s="59">
        <f t="shared" si="144"/>
        <v>202.23783851977691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9.1887627542176067E-2</v>
      </c>
      <c r="AV192" s="21">
        <f>EXP(-LN(2)/25)*AV191+(1-EXP(-LN(2)/25))/(LN(2)/25)*Calculateur!AQ192*Calculateur!AS192*VLOOKUP('Données projet'!$B$10,Paramètres!$A$1:$I$89,3,0)*0.475*44/12</f>
        <v>0.14968735480253603</v>
      </c>
      <c r="AW192" s="21">
        <f>EXP(-LN(2)/2)*AW191+(1-EXP(-LN(2)/2))/(LN(2)/2)*AQ192*AT192*VLOOKUP('Données projet'!$B$10,Paramètres!$A$1:$I$89,3,0)*0.475*44/12</f>
        <v>2.1632839205112851E-23</v>
      </c>
      <c r="AX192" s="21">
        <f t="shared" si="166"/>
        <v>0.24157498234471209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-1.7053025658242404E-13</v>
      </c>
      <c r="BE192" s="13">
        <f>BD192*VLOOKUP('Données projet'!$B$11,Paramètres!$A$1:$I$89,3,0)*VLOOKUP('Données projet'!$B$11,Paramètres!$A$1:$I$89,5,0)</f>
        <v>-1.0197709343628959E-13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243.85350804244348</v>
      </c>
      <c r="BJ192" s="59">
        <f t="shared" si="146"/>
        <v>304.60992308960545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0.19416125048692073</v>
      </c>
      <c r="BQ192" s="21">
        <f>EXP(-LN(2)/25)*BQ191+(1-EXP(-LN(2)/25))/(LN(2)/25)*Calculateur!BL192*Calculateur!BN192*VLOOKUP('Données projet'!$B$11,Paramètres!$A$1:$I$89,3,0)*0.475*44/12</f>
        <v>0.21583955478954672</v>
      </c>
      <c r="BR192" s="21">
        <f>EXP(-LN(2)/2)*BR191+(1-EXP(-LN(2)/2))/(LN(2)/2)*BL192*BO192*VLOOKUP('Données projet'!$B$11,Paramètres!$A$1:$I$89,3,0)*0.475*44/12</f>
        <v>4.3730149264044566E-24</v>
      </c>
      <c r="BS192" s="22">
        <f t="shared" si="169"/>
        <v>0.41000080527646743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1.5961632016114892E-13</v>
      </c>
      <c r="P193" s="13">
        <f t="shared" si="141"/>
        <v>2.2708641912150958E-12</v>
      </c>
      <c r="Q193" s="20">
        <f t="shared" si="162"/>
        <v>4.2330868906469593E-12</v>
      </c>
      <c r="R193" s="59">
        <f t="shared" si="109"/>
        <v>293.33333333333752</v>
      </c>
      <c r="S193" s="59">
        <f ca="1">AVERAGE(OFFSET($R$3,0,0,'Données projet'!$E$9+1,1))-AVERAGE(OFFSET($H$3,0,0,'Données projet'!$E$9+1,1))</f>
        <v>158.58786357608489</v>
      </c>
      <c r="T193" s="59">
        <f t="shared" si="142"/>
        <v>163.20074068819849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0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497</v>
      </c>
      <c r="AJ193" s="13">
        <f>AI193*VLOOKUP('Données projet'!$B$10,Paramètres!$A$1:$I$89,3,0)*VLOOKUP('Données projet'!$B$10,Paramètres!$A$1:$I$89,5,0)</f>
        <v>297.20600000000002</v>
      </c>
      <c r="AK193" s="13">
        <f t="shared" si="164"/>
        <v>70.590415164571112</v>
      </c>
      <c r="AL193" s="20">
        <f t="shared" si="165"/>
        <v>640.57875641162809</v>
      </c>
      <c r="AM193" s="59">
        <f t="shared" si="113"/>
        <v>933.91208974496135</v>
      </c>
      <c r="AN193" s="59">
        <f ca="1">AVERAGE(OFFSET($AM$3,0,0,'Données projet'!$E$10+1,1))-AVERAGE(OFFSET($H$3,0,0,'Données projet'!$E$10+1,1))</f>
        <v>270.30888762640245</v>
      </c>
      <c r="AO193" s="59">
        <f t="shared" si="144"/>
        <v>202.23783851977691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9.0085767211992726E-2</v>
      </c>
      <c r="AV193" s="21">
        <f>EXP(-LN(2)/25)*AV192+(1-EXP(-LN(2)/25))/(LN(2)/25)*Calculateur!AQ193*Calculateur!AS193*VLOOKUP('Données projet'!$B$10,Paramètres!$A$1:$I$89,3,0)*0.475*44/12</f>
        <v>0.14559414621374481</v>
      </c>
      <c r="AW193" s="21">
        <f>EXP(-LN(2)/2)*AW192+(1-EXP(-LN(2)/2))/(LN(2)/2)*AQ193*AT193*VLOOKUP('Données projet'!$B$10,Paramètres!$A$1:$I$89,3,0)*0.475*44/12</f>
        <v>1.5296727298253499E-23</v>
      </c>
      <c r="AX193" s="21">
        <f t="shared" si="166"/>
        <v>0.23567991342573752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-1.7053025658242404E-13</v>
      </c>
      <c r="BE193" s="13">
        <f>BD193*VLOOKUP('Données projet'!$B$11,Paramètres!$A$1:$I$89,3,0)*VLOOKUP('Données projet'!$B$11,Paramètres!$A$1:$I$89,5,0)</f>
        <v>-1.0197709343628959E-13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243.85350804244348</v>
      </c>
      <c r="BJ193" s="59">
        <f t="shared" si="146"/>
        <v>304.60992308960545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0.19035386679154134</v>
      </c>
      <c r="BQ193" s="21">
        <f>EXP(-LN(2)/25)*BQ192+(1-EXP(-LN(2)/25))/(LN(2)/25)*Calculateur!BL193*Calculateur!BN193*VLOOKUP('Données projet'!$B$11,Paramètres!$A$1:$I$89,3,0)*0.475*44/12</f>
        <v>0.20993741081331768</v>
      </c>
      <c r="BR193" s="21">
        <f>EXP(-LN(2)/2)*BR192+(1-EXP(-LN(2)/2))/(LN(2)/2)*BL193*BO193*VLOOKUP('Données projet'!$B$11,Paramètres!$A$1:$I$89,3,0)*0.475*44/12</f>
        <v>3.0921885086905823E-24</v>
      </c>
      <c r="BS193" s="22">
        <f t="shared" si="169"/>
        <v>0.40029127760485905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1.5961632016114892E-13</v>
      </c>
      <c r="P194" s="13">
        <f t="shared" si="141"/>
        <v>2.2708641912150958E-12</v>
      </c>
      <c r="Q194" s="20">
        <f t="shared" si="162"/>
        <v>4.2330868906469593E-12</v>
      </c>
      <c r="R194" s="59">
        <f t="shared" si="109"/>
        <v>293.33333333333752</v>
      </c>
      <c r="S194" s="59">
        <f ca="1">AVERAGE(OFFSET($R$3,0,0,'Données projet'!$E$9+1,1))-AVERAGE(OFFSET($H$3,0,0,'Données projet'!$E$9+1,1))</f>
        <v>158.58786357608489</v>
      </c>
      <c r="T194" s="59">
        <f t="shared" si="142"/>
        <v>163.20074068819849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0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497</v>
      </c>
      <c r="AJ194" s="13">
        <f>AI194*VLOOKUP('Données projet'!$B$10,Paramètres!$A$1:$I$89,3,0)*VLOOKUP('Données projet'!$B$10,Paramètres!$A$1:$I$89,5,0)</f>
        <v>297.20600000000002</v>
      </c>
      <c r="AK194" s="13">
        <f t="shared" si="164"/>
        <v>70.590415164571112</v>
      </c>
      <c r="AL194" s="20">
        <f t="shared" si="165"/>
        <v>640.57875641162809</v>
      </c>
      <c r="AM194" s="59">
        <f t="shared" si="113"/>
        <v>933.91208974496135</v>
      </c>
      <c r="AN194" s="59">
        <f ca="1">AVERAGE(OFFSET($AM$3,0,0,'Données projet'!$E$10+1,1))-AVERAGE(OFFSET($H$3,0,0,'Données projet'!$E$10+1,1))</f>
        <v>270.30888762640245</v>
      </c>
      <c r="AO194" s="59">
        <f t="shared" si="144"/>
        <v>202.23783851977691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8.8319240263857998E-2</v>
      </c>
      <c r="AV194" s="21">
        <f>EXP(-LN(2)/25)*AV193+(1-EXP(-LN(2)/25))/(LN(2)/25)*Calculateur!AQ194*Calculateur!AS194*VLOOKUP('Données projet'!$B$10,Paramètres!$A$1:$I$89,3,0)*0.475*44/12</f>
        <v>0.14161286662906655</v>
      </c>
      <c r="AW194" s="21">
        <f>EXP(-LN(2)/2)*AW193+(1-EXP(-LN(2)/2))/(LN(2)/2)*AQ194*AT194*VLOOKUP('Données projet'!$B$10,Paramètres!$A$1:$I$89,3,0)*0.475*44/12</f>
        <v>1.0816419602556426E-23</v>
      </c>
      <c r="AX194" s="21">
        <f t="shared" si="166"/>
        <v>0.22993210689292454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-1.7053025658242404E-13</v>
      </c>
      <c r="BE194" s="13">
        <f>BD194*VLOOKUP('Données projet'!$B$11,Paramètres!$A$1:$I$89,3,0)*VLOOKUP('Données projet'!$B$11,Paramètres!$A$1:$I$89,5,0)</f>
        <v>-1.0197709343628959E-13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243.85350804244348</v>
      </c>
      <c r="BJ194" s="59">
        <f t="shared" si="146"/>
        <v>304.60992308960545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0.1866211435681536</v>
      </c>
      <c r="BQ194" s="21">
        <f>EXP(-LN(2)/25)*BQ193+(1-EXP(-LN(2)/25))/(LN(2)/25)*Calculateur!BL194*Calculateur!BN194*VLOOKUP('Données projet'!$B$11,Paramètres!$A$1:$I$89,3,0)*0.475*44/12</f>
        <v>0.2041966612744989</v>
      </c>
      <c r="BR194" s="21">
        <f>EXP(-LN(2)/2)*BR193+(1-EXP(-LN(2)/2))/(LN(2)/2)*BL194*BO194*VLOOKUP('Données projet'!$B$11,Paramètres!$A$1:$I$89,3,0)*0.475*44/12</f>
        <v>2.1865074632022283E-24</v>
      </c>
      <c r="BS194" s="22">
        <f t="shared" si="169"/>
        <v>0.39081780484265249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1.5961632016114892E-13</v>
      </c>
      <c r="P195" s="13">
        <f t="shared" si="141"/>
        <v>2.2708641912150958E-12</v>
      </c>
      <c r="Q195" s="20">
        <f t="shared" si="162"/>
        <v>4.2330868906469593E-12</v>
      </c>
      <c r="R195" s="59">
        <f t="shared" ref="R195:R203" si="191">Q195+(I195+J195)*44/12</f>
        <v>293.33333333333752</v>
      </c>
      <c r="S195" s="59">
        <f ca="1">AVERAGE(OFFSET($R$3,0,0,'Données projet'!$E$9+1,1))-AVERAGE(OFFSET($H$3,0,0,'Données projet'!$E$9+1,1))</f>
        <v>158.58786357608489</v>
      </c>
      <c r="T195" s="59">
        <f t="shared" si="142"/>
        <v>163.20074068819849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0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497</v>
      </c>
      <c r="AJ195" s="13">
        <f>AI195*VLOOKUP('Données projet'!$B$10,Paramètres!$A$1:$I$89,3,0)*VLOOKUP('Données projet'!$B$10,Paramètres!$A$1:$I$89,5,0)</f>
        <v>297.20600000000002</v>
      </c>
      <c r="AK195" s="13">
        <f t="shared" si="164"/>
        <v>70.590415164571112</v>
      </c>
      <c r="AL195" s="20">
        <f t="shared" si="165"/>
        <v>640.57875641162809</v>
      </c>
      <c r="AM195" s="59">
        <f t="shared" si="113"/>
        <v>933.91208974496135</v>
      </c>
      <c r="AN195" s="59">
        <f ca="1">AVERAGE(OFFSET($AM$3,0,0,'Données projet'!$E$10+1,1))-AVERAGE(OFFSET($H$3,0,0,'Données projet'!$E$10+1,1))</f>
        <v>270.30888762640245</v>
      </c>
      <c r="AO195" s="59">
        <f t="shared" si="144"/>
        <v>202.23783851977691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8.6587353831701144E-2</v>
      </c>
      <c r="AV195" s="21">
        <f>EXP(-LN(2)/25)*AV194+(1-EXP(-LN(2)/25))/(LN(2)/25)*Calculateur!AQ195*Calculateur!AS195*VLOOKUP('Données projet'!$B$10,Paramètres!$A$1:$I$89,3,0)*0.475*44/12</f>
        <v>0.13774045534399773</v>
      </c>
      <c r="AW195" s="21">
        <f>EXP(-LN(2)/2)*AW194+(1-EXP(-LN(2)/2))/(LN(2)/2)*AQ195*AT195*VLOOKUP('Données projet'!$B$10,Paramètres!$A$1:$I$89,3,0)*0.475*44/12</f>
        <v>7.6483636491267497E-24</v>
      </c>
      <c r="AX195" s="21">
        <f t="shared" si="166"/>
        <v>0.22432780917569889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-1.7053025658242404E-13</v>
      </c>
      <c r="BE195" s="13">
        <f>BD195*VLOOKUP('Données projet'!$B$11,Paramètres!$A$1:$I$89,3,0)*VLOOKUP('Données projet'!$B$11,Paramètres!$A$1:$I$89,5,0)</f>
        <v>-1.0197709343628959E-13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243.85350804244348</v>
      </c>
      <c r="BJ195" s="59">
        <f t="shared" si="146"/>
        <v>304.60992308960545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0.18296161677044012</v>
      </c>
      <c r="BQ195" s="21">
        <f>EXP(-LN(2)/25)*BQ194+(1-EXP(-LN(2)/25))/(LN(2)/25)*Calculateur!BL195*Calculateur!BN195*VLOOKUP('Données projet'!$B$11,Paramètres!$A$1:$I$89,3,0)*0.475*44/12</f>
        <v>0.198612892833712</v>
      </c>
      <c r="BR195" s="21">
        <f>EXP(-LN(2)/2)*BR194+(1-EXP(-LN(2)/2))/(LN(2)/2)*BL195*BO195*VLOOKUP('Données projet'!$B$11,Paramètres!$A$1:$I$89,3,0)*0.475*44/12</f>
        <v>1.5460942543452912E-24</v>
      </c>
      <c r="BS195" s="22">
        <f t="shared" si="169"/>
        <v>0.38157450960415212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1.5961632016114892E-13</v>
      </c>
      <c r="P196" s="13">
        <f t="shared" si="141"/>
        <v>2.2708641912150958E-12</v>
      </c>
      <c r="Q196" s="20">
        <f t="shared" si="162"/>
        <v>4.2330868906469593E-12</v>
      </c>
      <c r="R196" s="59">
        <f t="shared" si="191"/>
        <v>293.33333333333752</v>
      </c>
      <c r="S196" s="59">
        <f ca="1">AVERAGE(OFFSET($R$3,0,0,'Données projet'!$E$9+1,1))-AVERAGE(OFFSET($H$3,0,0,'Données projet'!$E$9+1,1))</f>
        <v>158.58786357608489</v>
      </c>
      <c r="T196" s="59">
        <f t="shared" si="142"/>
        <v>163.20074068819849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0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497</v>
      </c>
      <c r="AJ196" s="13">
        <f>AI196*VLOOKUP('Données projet'!$B$10,Paramètres!$A$1:$I$89,3,0)*VLOOKUP('Données projet'!$B$10,Paramètres!$A$1:$I$89,5,0)</f>
        <v>297.20600000000002</v>
      </c>
      <c r="AK196" s="13">
        <f t="shared" si="164"/>
        <v>70.590415164571112</v>
      </c>
      <c r="AL196" s="20">
        <f t="shared" si="165"/>
        <v>640.57875641162809</v>
      </c>
      <c r="AM196" s="59">
        <f t="shared" ref="AM196:AM203" si="193">AL196+(AD196+AE196)*44/12</f>
        <v>933.91208974496135</v>
      </c>
      <c r="AN196" s="59">
        <f ca="1">AVERAGE(OFFSET($AM$3,0,0,'Données projet'!$E$10+1,1))-AVERAGE(OFFSET($H$3,0,0,'Données projet'!$E$10+1,1))</f>
        <v>270.30888762640245</v>
      </c>
      <c r="AO196" s="59">
        <f t="shared" si="144"/>
        <v>202.23783851977691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8.4889428636132469E-2</v>
      </c>
      <c r="AV196" s="21">
        <f>EXP(-LN(2)/25)*AV195+(1-EXP(-LN(2)/25))/(LN(2)/25)*Calculateur!AQ196*Calculateur!AS196*VLOOKUP('Données projet'!$B$10,Paramètres!$A$1:$I$89,3,0)*0.475*44/12</f>
        <v>0.13397393534916038</v>
      </c>
      <c r="AW196" s="21">
        <f>EXP(-LN(2)/2)*AW195+(1-EXP(-LN(2)/2))/(LN(2)/2)*AQ196*AT196*VLOOKUP('Données projet'!$B$10,Paramètres!$A$1:$I$89,3,0)*0.475*44/12</f>
        <v>5.4082098012782128E-24</v>
      </c>
      <c r="AX196" s="21">
        <f t="shared" si="166"/>
        <v>0.21886336398529285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-1.7053025658242404E-13</v>
      </c>
      <c r="BE196" s="13">
        <f>BD196*VLOOKUP('Données projet'!$B$11,Paramètres!$A$1:$I$89,3,0)*VLOOKUP('Données projet'!$B$11,Paramètres!$A$1:$I$89,5,0)</f>
        <v>-1.0197709343628959E-13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243.85350804244348</v>
      </c>
      <c r="BJ196" s="59">
        <f t="shared" si="146"/>
        <v>304.60992308960545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0.17937385106113887</v>
      </c>
      <c r="BQ196" s="21">
        <f>EXP(-LN(2)/25)*BQ195+(1-EXP(-LN(2)/25))/(LN(2)/25)*Calculateur!BL196*Calculateur!BN196*VLOOKUP('Données projet'!$B$11,Paramètres!$A$1:$I$89,3,0)*0.475*44/12</f>
        <v>0.19318181283457606</v>
      </c>
      <c r="BR196" s="21">
        <f>EXP(-LN(2)/2)*BR195+(1-EXP(-LN(2)/2))/(LN(2)/2)*BL196*BO196*VLOOKUP('Données projet'!$B$11,Paramètres!$A$1:$I$89,3,0)*0.475*44/12</f>
        <v>1.0932537316011141E-24</v>
      </c>
      <c r="BS196" s="22">
        <f t="shared" si="169"/>
        <v>0.37255566389571493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1.5961632016114892E-13</v>
      </c>
      <c r="P197" s="13">
        <f t="shared" ref="P197:P203" si="203">EXP(-1.0587+0.8836*LN(O197)+0.284)</f>
        <v>2.2708641912150958E-12</v>
      </c>
      <c r="Q197" s="20">
        <f t="shared" si="162"/>
        <v>4.2330868906469593E-12</v>
      </c>
      <c r="R197" s="59">
        <f t="shared" si="191"/>
        <v>293.33333333333752</v>
      </c>
      <c r="S197" s="59">
        <f ca="1">AVERAGE(OFFSET($R$3,0,0,'Données projet'!$E$9+1,1))-AVERAGE(OFFSET($H$3,0,0,'Données projet'!$E$9+1,1))</f>
        <v>158.58786357608489</v>
      </c>
      <c r="T197" s="59">
        <f t="shared" ref="T197:T203" si="204">$T$3</f>
        <v>163.20074068819849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0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497</v>
      </c>
      <c r="AJ197" s="13">
        <f>AI197*VLOOKUP('Données projet'!$B$10,Paramètres!$A$1:$I$89,3,0)*VLOOKUP('Données projet'!$B$10,Paramètres!$A$1:$I$89,5,0)</f>
        <v>297.20600000000002</v>
      </c>
      <c r="AK197" s="13">
        <f t="shared" si="164"/>
        <v>70.590415164571112</v>
      </c>
      <c r="AL197" s="20">
        <f t="shared" si="165"/>
        <v>640.57875641162809</v>
      </c>
      <c r="AM197" s="59">
        <f t="shared" si="193"/>
        <v>933.91208974496135</v>
      </c>
      <c r="AN197" s="59">
        <f ca="1">AVERAGE(OFFSET($AM$3,0,0,'Données projet'!$E$10+1,1))-AVERAGE(OFFSET($H$3,0,0,'Données projet'!$E$10+1,1))</f>
        <v>270.30888762640245</v>
      </c>
      <c r="AO197" s="59">
        <f t="shared" ref="AO197:AO203" si="205">$AO$3</f>
        <v>202.23783851977691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8.3224798718016788E-2</v>
      </c>
      <c r="AV197" s="21">
        <f>EXP(-LN(2)/25)*AV196+(1-EXP(-LN(2)/25))/(LN(2)/25)*Calculateur!AQ197*Calculateur!AS197*VLOOKUP('Données projet'!$B$10,Paramètres!$A$1:$I$89,3,0)*0.475*44/12</f>
        <v>0.13031041104165453</v>
      </c>
      <c r="AW197" s="21">
        <f>EXP(-LN(2)/2)*AW196+(1-EXP(-LN(2)/2))/(LN(2)/2)*AQ197*AT197*VLOOKUP('Données projet'!$B$10,Paramètres!$A$1:$I$89,3,0)*0.475*44/12</f>
        <v>3.8241818245633749E-24</v>
      </c>
      <c r="AX197" s="21">
        <f t="shared" si="166"/>
        <v>0.21353520975967133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-1.7053025658242404E-13</v>
      </c>
      <c r="BE197" s="13">
        <f>BD197*VLOOKUP('Données projet'!$B$11,Paramètres!$A$1:$I$89,3,0)*VLOOKUP('Données projet'!$B$11,Paramètres!$A$1:$I$89,5,0)</f>
        <v>-1.0197709343628959E-13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243.85350804244348</v>
      </c>
      <c r="BJ197" s="59">
        <f t="shared" ref="BJ197:BJ203" si="206">$BJ$3</f>
        <v>304.60992308960545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0.17585643924907601</v>
      </c>
      <c r="BQ197" s="21">
        <f>EXP(-LN(2)/25)*BQ196+(1-EXP(-LN(2)/25))/(LN(2)/25)*Calculateur!BL197*Calculateur!BN197*VLOOKUP('Données projet'!$B$11,Paramètres!$A$1:$I$89,3,0)*0.475*44/12</f>
        <v>0.18789924600362456</v>
      </c>
      <c r="BR197" s="21">
        <f>EXP(-LN(2)/2)*BR196+(1-EXP(-LN(2)/2))/(LN(2)/2)*BL197*BO197*VLOOKUP('Données projet'!$B$11,Paramètres!$A$1:$I$89,3,0)*0.475*44/12</f>
        <v>7.7304712717264558E-25</v>
      </c>
      <c r="BS197" s="22">
        <f t="shared" si="169"/>
        <v>0.36375568525270058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1.5961632016114892E-13</v>
      </c>
      <c r="P198" s="13">
        <f t="shared" si="203"/>
        <v>2.2708641912150958E-12</v>
      </c>
      <c r="Q198" s="20">
        <f t="shared" si="162"/>
        <v>4.2330868906469593E-12</v>
      </c>
      <c r="R198" s="59">
        <f t="shared" si="191"/>
        <v>293.33333333333752</v>
      </c>
      <c r="S198" s="59">
        <f ca="1">AVERAGE(OFFSET($R$3,0,0,'Données projet'!$E$9+1,1))-AVERAGE(OFFSET($H$3,0,0,'Données projet'!$E$9+1,1))</f>
        <v>158.58786357608489</v>
      </c>
      <c r="T198" s="59">
        <f t="shared" si="204"/>
        <v>163.20074068819849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0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497</v>
      </c>
      <c r="AJ198" s="13">
        <f>AI198*VLOOKUP('Données projet'!$B$10,Paramètres!$A$1:$I$89,3,0)*VLOOKUP('Données projet'!$B$10,Paramètres!$A$1:$I$89,5,0)</f>
        <v>297.20600000000002</v>
      </c>
      <c r="AK198" s="13">
        <f t="shared" si="164"/>
        <v>70.590415164571112</v>
      </c>
      <c r="AL198" s="20">
        <f t="shared" si="165"/>
        <v>640.57875641162809</v>
      </c>
      <c r="AM198" s="59">
        <f t="shared" si="193"/>
        <v>933.91208974496135</v>
      </c>
      <c r="AN198" s="59">
        <f ca="1">AVERAGE(OFFSET($AM$3,0,0,'Données projet'!$E$10+1,1))-AVERAGE(OFFSET($H$3,0,0,'Données projet'!$E$10+1,1))</f>
        <v>270.30888762640245</v>
      </c>
      <c r="AO198" s="59">
        <f t="shared" si="205"/>
        <v>202.23783851977691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8.1592811177271352E-2</v>
      </c>
      <c r="AV198" s="21">
        <f>EXP(-LN(2)/25)*AV197+(1-EXP(-LN(2)/25))/(LN(2)/25)*Calculateur!AQ198*Calculateur!AS198*VLOOKUP('Données projet'!$B$10,Paramètres!$A$1:$I$89,3,0)*0.475*44/12</f>
        <v>0.1267470659989938</v>
      </c>
      <c r="AW198" s="21">
        <f>EXP(-LN(2)/2)*AW197+(1-EXP(-LN(2)/2))/(LN(2)/2)*AQ198*AT198*VLOOKUP('Données projet'!$B$10,Paramètres!$A$1:$I$89,3,0)*0.475*44/12</f>
        <v>2.7041049006391064E-24</v>
      </c>
      <c r="AX198" s="21">
        <f t="shared" si="166"/>
        <v>0.20833987717626515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-1.7053025658242404E-13</v>
      </c>
      <c r="BE198" s="13">
        <f>BD198*VLOOKUP('Données projet'!$B$11,Paramètres!$A$1:$I$89,3,0)*VLOOKUP('Données projet'!$B$11,Paramètres!$A$1:$I$89,5,0)</f>
        <v>-1.0197709343628959E-13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243.85350804244348</v>
      </c>
      <c r="BJ198" s="59">
        <f t="shared" si="206"/>
        <v>304.60992308960545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0.17240800173723836</v>
      </c>
      <c r="BQ198" s="21">
        <f>EXP(-LN(2)/25)*BQ197+(1-EXP(-LN(2)/25))/(LN(2)/25)*Calculateur!BL198*Calculateur!BN198*VLOOKUP('Données projet'!$B$11,Paramètres!$A$1:$I$89,3,0)*0.475*44/12</f>
        <v>0.18276113124046356</v>
      </c>
      <c r="BR198" s="21">
        <f>EXP(-LN(2)/2)*BR197+(1-EXP(-LN(2)/2))/(LN(2)/2)*BL198*BO198*VLOOKUP('Données projet'!$B$11,Paramètres!$A$1:$I$89,3,0)*0.475*44/12</f>
        <v>5.4662686580055707E-25</v>
      </c>
      <c r="BS198" s="22">
        <f t="shared" si="169"/>
        <v>0.35516913297770192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1.5961632016114892E-13</v>
      </c>
      <c r="P199" s="13">
        <f t="shared" si="203"/>
        <v>2.2708641912150958E-12</v>
      </c>
      <c r="Q199" s="20">
        <f t="shared" si="162"/>
        <v>4.2330868906469593E-12</v>
      </c>
      <c r="R199" s="59">
        <f t="shared" si="191"/>
        <v>293.33333333333752</v>
      </c>
      <c r="S199" s="59">
        <f ca="1">AVERAGE(OFFSET($R$3,0,0,'Données projet'!$E$9+1,1))-AVERAGE(OFFSET($H$3,0,0,'Données projet'!$E$9+1,1))</f>
        <v>158.58786357608489</v>
      </c>
      <c r="T199" s="59">
        <f t="shared" si="204"/>
        <v>163.20074068819849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0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497</v>
      </c>
      <c r="AJ199" s="13">
        <f>AI199*VLOOKUP('Données projet'!$B$10,Paramètres!$A$1:$I$89,3,0)*VLOOKUP('Données projet'!$B$10,Paramètres!$A$1:$I$89,5,0)</f>
        <v>297.20600000000002</v>
      </c>
      <c r="AK199" s="13">
        <f t="shared" si="164"/>
        <v>70.590415164571112</v>
      </c>
      <c r="AL199" s="20">
        <f t="shared" si="165"/>
        <v>640.57875641162809</v>
      </c>
      <c r="AM199" s="59">
        <f t="shared" si="193"/>
        <v>933.91208974496135</v>
      </c>
      <c r="AN199" s="59">
        <f ca="1">AVERAGE(OFFSET($AM$3,0,0,'Données projet'!$E$10+1,1))-AVERAGE(OFFSET($H$3,0,0,'Données projet'!$E$10+1,1))</f>
        <v>270.30888762640245</v>
      </c>
      <c r="AO199" s="59">
        <f t="shared" si="205"/>
        <v>202.23783851977691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7.9992825916785831E-2</v>
      </c>
      <c r="AV199" s="21">
        <f>EXP(-LN(2)/25)*AV198+(1-EXP(-LN(2)/25))/(LN(2)/25)*Calculateur!AQ199*Calculateur!AS199*VLOOKUP('Données projet'!$B$10,Paramètres!$A$1:$I$89,3,0)*0.475*44/12</f>
        <v>0.1232811608139128</v>
      </c>
      <c r="AW199" s="21">
        <f>EXP(-LN(2)/2)*AW198+(1-EXP(-LN(2)/2))/(LN(2)/2)*AQ199*AT199*VLOOKUP('Données projet'!$B$10,Paramètres!$A$1:$I$89,3,0)*0.475*44/12</f>
        <v>1.9120909122816874E-24</v>
      </c>
      <c r="AX199" s="21">
        <f t="shared" si="166"/>
        <v>0.20327398673069863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-1.7053025658242404E-13</v>
      </c>
      <c r="BE199" s="13">
        <f>BD199*VLOOKUP('Données projet'!$B$11,Paramètres!$A$1:$I$89,3,0)*VLOOKUP('Données projet'!$B$11,Paramètres!$A$1:$I$89,5,0)</f>
        <v>-1.0197709343628959E-13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243.85350804244348</v>
      </c>
      <c r="BJ199" s="59">
        <f t="shared" si="206"/>
        <v>304.60992308960545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0.16902718598166863</v>
      </c>
      <c r="BQ199" s="21">
        <f>EXP(-LN(2)/25)*BQ198+(1-EXP(-LN(2)/25))/(LN(2)/25)*Calculateur!BL199*Calculateur!BN199*VLOOKUP('Données projet'!$B$11,Paramètres!$A$1:$I$89,3,0)*0.475*44/12</f>
        <v>0.1777635184957029</v>
      </c>
      <c r="BR199" s="21">
        <f>EXP(-LN(2)/2)*BR198+(1-EXP(-LN(2)/2))/(LN(2)/2)*BL199*BO199*VLOOKUP('Données projet'!$B$11,Paramètres!$A$1:$I$89,3,0)*0.475*44/12</f>
        <v>3.8652356358632279E-25</v>
      </c>
      <c r="BS199" s="22">
        <f t="shared" si="169"/>
        <v>0.34679070447737154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1.5961632016114892E-13</v>
      </c>
      <c r="P200" s="13">
        <f t="shared" si="203"/>
        <v>2.2708641912150958E-12</v>
      </c>
      <c r="Q200" s="20">
        <f t="shared" si="162"/>
        <v>4.2330868906469593E-12</v>
      </c>
      <c r="R200" s="59">
        <f t="shared" si="191"/>
        <v>293.33333333333752</v>
      </c>
      <c r="S200" s="59">
        <f ca="1">AVERAGE(OFFSET($R$3,0,0,'Données projet'!$E$9+1,1))-AVERAGE(OFFSET($H$3,0,0,'Données projet'!$E$9+1,1))</f>
        <v>158.58786357608489</v>
      </c>
      <c r="T200" s="59">
        <f t="shared" si="204"/>
        <v>163.20074068819849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0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497</v>
      </c>
      <c r="AJ200" s="13">
        <f>AI200*VLOOKUP('Données projet'!$B$10,Paramètres!$A$1:$I$89,3,0)*VLOOKUP('Données projet'!$B$10,Paramètres!$A$1:$I$89,5,0)</f>
        <v>297.20600000000002</v>
      </c>
      <c r="AK200" s="13">
        <f t="shared" si="164"/>
        <v>70.590415164571112</v>
      </c>
      <c r="AL200" s="20">
        <f t="shared" si="165"/>
        <v>640.57875641162809</v>
      </c>
      <c r="AM200" s="59">
        <f t="shared" si="193"/>
        <v>933.91208974496135</v>
      </c>
      <c r="AN200" s="59">
        <f ca="1">AVERAGE(OFFSET($AM$3,0,0,'Données projet'!$E$10+1,1))-AVERAGE(OFFSET($H$3,0,0,'Données projet'!$E$10+1,1))</f>
        <v>270.30888762640245</v>
      </c>
      <c r="AO200" s="59">
        <f t="shared" si="205"/>
        <v>202.23783851977691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7.842421539136378E-2</v>
      </c>
      <c r="AV200" s="21">
        <f>EXP(-LN(2)/25)*AV199+(1-EXP(-LN(2)/25))/(LN(2)/25)*Calculateur!AQ200*Calculateur!AS200*VLOOKUP('Données projet'!$B$10,Paramètres!$A$1:$I$89,3,0)*0.475*44/12</f>
        <v>0.11991003098838186</v>
      </c>
      <c r="AW200" s="21">
        <f>EXP(-LN(2)/2)*AW199+(1-EXP(-LN(2)/2))/(LN(2)/2)*AQ200*AT200*VLOOKUP('Données projet'!$B$10,Paramètres!$A$1:$I$89,3,0)*0.475*44/12</f>
        <v>1.3520524503195532E-24</v>
      </c>
      <c r="AX200" s="21">
        <f t="shared" si="166"/>
        <v>0.19833424637974564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-1.7053025658242404E-13</v>
      </c>
      <c r="BE200" s="13">
        <f>BD200*VLOOKUP('Données projet'!$B$11,Paramètres!$A$1:$I$89,3,0)*VLOOKUP('Données projet'!$B$11,Paramètres!$A$1:$I$89,5,0)</f>
        <v>-1.0197709343628959E-13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243.85350804244348</v>
      </c>
      <c r="BJ200" s="59">
        <f t="shared" si="206"/>
        <v>304.60992308960545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0.16571266596097164</v>
      </c>
      <c r="BQ200" s="21">
        <f>EXP(-LN(2)/25)*BQ199+(1-EXP(-LN(2)/25))/(LN(2)/25)*Calculateur!BL200*Calculateur!BN200*VLOOKUP('Données projet'!$B$11,Paramètres!$A$1:$I$89,3,0)*0.475*44/12</f>
        <v>0.17290256573426074</v>
      </c>
      <c r="BR200" s="21">
        <f>EXP(-LN(2)/2)*BR199+(1-EXP(-LN(2)/2))/(LN(2)/2)*BL200*BO200*VLOOKUP('Données projet'!$B$11,Paramètres!$A$1:$I$89,3,0)*0.475*44/12</f>
        <v>2.7331343290027854E-25</v>
      </c>
      <c r="BS200" s="22">
        <f t="shared" si="169"/>
        <v>0.33861523169523239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1.5961632016114892E-13</v>
      </c>
      <c r="P201" s="13">
        <f t="shared" si="203"/>
        <v>2.2708641912150958E-12</v>
      </c>
      <c r="Q201" s="20">
        <f t="shared" si="162"/>
        <v>4.2330868906469593E-12</v>
      </c>
      <c r="R201" s="59">
        <f t="shared" si="191"/>
        <v>293.33333333333752</v>
      </c>
      <c r="S201" s="59">
        <f ca="1">AVERAGE(OFFSET($R$3,0,0,'Données projet'!$E$9+1,1))-AVERAGE(OFFSET($H$3,0,0,'Données projet'!$E$9+1,1))</f>
        <v>158.58786357608489</v>
      </c>
      <c r="T201" s="59">
        <f t="shared" si="204"/>
        <v>163.20074068819849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0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497</v>
      </c>
      <c r="AJ201" s="13">
        <f>AI201*VLOOKUP('Données projet'!$B$10,Paramètres!$A$1:$I$89,3,0)*VLOOKUP('Données projet'!$B$10,Paramètres!$A$1:$I$89,5,0)</f>
        <v>297.20600000000002</v>
      </c>
      <c r="AK201" s="13">
        <f t="shared" si="164"/>
        <v>70.590415164571112</v>
      </c>
      <c r="AL201" s="20">
        <f t="shared" si="165"/>
        <v>640.57875641162809</v>
      </c>
      <c r="AM201" s="59">
        <f t="shared" si="193"/>
        <v>933.91208974496135</v>
      </c>
      <c r="AN201" s="59">
        <f ca="1">AVERAGE(OFFSET($AM$3,0,0,'Données projet'!$E$10+1,1))-AVERAGE(OFFSET($H$3,0,0,'Données projet'!$E$10+1,1))</f>
        <v>270.30888762640245</v>
      </c>
      <c r="AO201" s="59">
        <f t="shared" si="205"/>
        <v>202.23783851977691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7.68863643615873E-2</v>
      </c>
      <c r="AV201" s="21">
        <f>EXP(-LN(2)/25)*AV200+(1-EXP(-LN(2)/25))/(LN(2)/25)*Calculateur!AQ201*Calculateur!AS201*VLOOKUP('Données projet'!$B$10,Paramètres!$A$1:$I$89,3,0)*0.475*44/12</f>
        <v>0.1166310848852101</v>
      </c>
      <c r="AW201" s="21">
        <f>EXP(-LN(2)/2)*AW200+(1-EXP(-LN(2)/2))/(LN(2)/2)*AQ201*AT201*VLOOKUP('Données projet'!$B$10,Paramètres!$A$1:$I$89,3,0)*0.475*44/12</f>
        <v>9.5604545614084372E-25</v>
      </c>
      <c r="AX201" s="21">
        <f t="shared" si="166"/>
        <v>0.1935174492467974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-1.7053025658242404E-13</v>
      </c>
      <c r="BE201" s="13">
        <f>BD201*VLOOKUP('Données projet'!$B$11,Paramètres!$A$1:$I$89,3,0)*VLOOKUP('Données projet'!$B$11,Paramètres!$A$1:$I$89,5,0)</f>
        <v>-1.0197709343628959E-13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243.85350804244348</v>
      </c>
      <c r="BJ201" s="59">
        <f t="shared" si="206"/>
        <v>304.60992308960545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0.16246314165622291</v>
      </c>
      <c r="BQ201" s="21">
        <f>EXP(-LN(2)/25)*BQ200+(1-EXP(-LN(2)/25))/(LN(2)/25)*Calculateur!BL201*Calculateur!BN201*VLOOKUP('Données projet'!$B$11,Paramètres!$A$1:$I$89,3,0)*0.475*44/12</f>
        <v>0.16817453598170662</v>
      </c>
      <c r="BR201" s="21">
        <f>EXP(-LN(2)/2)*BR200+(1-EXP(-LN(2)/2))/(LN(2)/2)*BL201*BO201*VLOOKUP('Données projet'!$B$11,Paramètres!$A$1:$I$89,3,0)*0.475*44/12</f>
        <v>1.932617817931614E-25</v>
      </c>
      <c r="BS201" s="22">
        <f t="shared" si="169"/>
        <v>0.33063767763792951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1.5961632016114892E-13</v>
      </c>
      <c r="P202" s="13">
        <f t="shared" si="203"/>
        <v>2.2708641912150958E-12</v>
      </c>
      <c r="Q202" s="20">
        <f t="shared" si="162"/>
        <v>4.2330868906469593E-12</v>
      </c>
      <c r="R202" s="59">
        <f t="shared" si="191"/>
        <v>293.33333333333752</v>
      </c>
      <c r="S202" s="59">
        <f ca="1">AVERAGE(OFFSET($R$3,0,0,'Données projet'!$E$9+1,1))-AVERAGE(OFFSET($H$3,0,0,'Données projet'!$E$9+1,1))</f>
        <v>158.58786357608489</v>
      </c>
      <c r="T202" s="59">
        <f t="shared" si="204"/>
        <v>163.20074068819849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0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497</v>
      </c>
      <c r="AJ202" s="13">
        <f>AI202*VLOOKUP('Données projet'!$B$10,Paramètres!$A$1:$I$89,3,0)*VLOOKUP('Données projet'!$B$10,Paramètres!$A$1:$I$89,5,0)</f>
        <v>297.20600000000002</v>
      </c>
      <c r="AK202" s="13">
        <f t="shared" si="164"/>
        <v>70.590415164571112</v>
      </c>
      <c r="AL202" s="20">
        <f t="shared" si="165"/>
        <v>640.57875641162809</v>
      </c>
      <c r="AM202" s="59">
        <f t="shared" si="193"/>
        <v>933.91208974496135</v>
      </c>
      <c r="AN202" s="59">
        <f ca="1">AVERAGE(OFFSET($AM$3,0,0,'Données projet'!$E$10+1,1))-AVERAGE(OFFSET($H$3,0,0,'Données projet'!$E$10+1,1))</f>
        <v>270.30888762640245</v>
      </c>
      <c r="AO202" s="59">
        <f t="shared" si="205"/>
        <v>202.23783851977691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7.5378669652508237E-2</v>
      </c>
      <c r="AV202" s="21">
        <f>EXP(-LN(2)/25)*AV201+(1-EXP(-LN(2)/25))/(LN(2)/25)*Calculateur!AQ202*Calculateur!AS202*VLOOKUP('Données projet'!$B$10,Paramètres!$A$1:$I$89,3,0)*0.475*44/12</f>
        <v>0.11344180173566183</v>
      </c>
      <c r="AW202" s="21">
        <f>EXP(-LN(2)/2)*AW201+(1-EXP(-LN(2)/2))/(LN(2)/2)*AQ202*AT202*VLOOKUP('Données projet'!$B$10,Paramètres!$A$1:$I$89,3,0)*0.475*44/12</f>
        <v>6.760262251597766E-25</v>
      </c>
      <c r="AX202" s="21">
        <f t="shared" si="166"/>
        <v>0.18882047138817007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-1.7053025658242404E-13</v>
      </c>
      <c r="BE202" s="13">
        <f>BD202*VLOOKUP('Données projet'!$B$11,Paramètres!$A$1:$I$89,3,0)*VLOOKUP('Données projet'!$B$11,Paramètres!$A$1:$I$89,5,0)</f>
        <v>-1.0197709343628959E-13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243.85350804244348</v>
      </c>
      <c r="BJ202" s="59">
        <f t="shared" si="206"/>
        <v>304.60992308960545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0.1592773385410762</v>
      </c>
      <c r="BQ202" s="21">
        <f>EXP(-LN(2)/25)*BQ201+(1-EXP(-LN(2)/25))/(LN(2)/25)*Calculateur!BL202*Calculateur!BN202*VLOOKUP('Données projet'!$B$11,Paramètres!$A$1:$I$89,3,0)*0.475*44/12</f>
        <v>0.16357579445137238</v>
      </c>
      <c r="BR202" s="21">
        <f>EXP(-LN(2)/2)*BR201+(1-EXP(-LN(2)/2))/(LN(2)/2)*BL202*BO202*VLOOKUP('Données projet'!$B$11,Paramètres!$A$1:$I$89,3,0)*0.475*44/12</f>
        <v>1.3665671645013927E-25</v>
      </c>
      <c r="BS202" s="22">
        <f t="shared" si="169"/>
        <v>0.32285313299244855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1.5961632016114892E-13</v>
      </c>
      <c r="P203" s="13">
        <f t="shared" si="203"/>
        <v>2.2708641912150958E-12</v>
      </c>
      <c r="Q203" s="20">
        <f t="shared" si="162"/>
        <v>4.2330868906469593E-12</v>
      </c>
      <c r="R203" s="59">
        <f t="shared" si="191"/>
        <v>293.33333333333752</v>
      </c>
      <c r="S203" s="59">
        <f ca="1">AVERAGE(OFFSET($R$3,0,0,'Données projet'!$E$9+1,1))-AVERAGE(OFFSET($H$3,0,0,'Données projet'!$E$9+1,1))</f>
        <v>158.58786357608489</v>
      </c>
      <c r="T203" s="59">
        <f t="shared" si="204"/>
        <v>163.20074068819849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0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497</v>
      </c>
      <c r="AJ203" s="13">
        <f>AI203*VLOOKUP('Données projet'!$B$10,Paramètres!$A$1:$I$89,3,0)*VLOOKUP('Données projet'!$B$10,Paramètres!$A$1:$I$89,5,0)</f>
        <v>297.20600000000002</v>
      </c>
      <c r="AK203" s="13">
        <f t="shared" si="164"/>
        <v>70.590415164571112</v>
      </c>
      <c r="AL203" s="20">
        <f t="shared" si="165"/>
        <v>640.57875641162809</v>
      </c>
      <c r="AM203" s="59">
        <f t="shared" si="193"/>
        <v>933.91208974496135</v>
      </c>
      <c r="AN203" s="59">
        <f ca="1">AVERAGE(OFFSET($AM$3,0,0,'Données projet'!$E$10+1,1))-AVERAGE(OFFSET($H$3,0,0,'Données projet'!$E$10+1,1))</f>
        <v>270.30888762640245</v>
      </c>
      <c r="AO203" s="59">
        <f t="shared" si="205"/>
        <v>202.23783851977691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7.390053991707124E-2</v>
      </c>
      <c r="AV203" s="21">
        <f>EXP(-LN(2)/25)*AV202+(1-EXP(-LN(2)/25))/(LN(2)/25)*Calculateur!AQ203*Calculateur!AS203*VLOOKUP('Données projet'!$B$10,Paramètres!$A$1:$I$89,3,0)*0.475*44/12</f>
        <v>0.11033972970155508</v>
      </c>
      <c r="AW203" s="21">
        <f>EXP(-LN(2)/2)*AW202+(1-EXP(-LN(2)/2))/(LN(2)/2)*AQ203*AT203*VLOOKUP('Données projet'!$B$10,Paramètres!$A$1:$I$89,3,0)*0.475*44/12</f>
        <v>4.7802272807042186E-25</v>
      </c>
      <c r="AX203" s="21">
        <f t="shared" si="166"/>
        <v>0.18424026961862633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-1.7053025658242404E-13</v>
      </c>
      <c r="BE203" s="13">
        <f>BD203*VLOOKUP('Données projet'!$B$11,Paramètres!$A$1:$I$89,3,0)*VLOOKUP('Données projet'!$B$11,Paramètres!$A$1:$I$89,5,0)</f>
        <v>-1.0197709343628959E-13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243.85350804244348</v>
      </c>
      <c r="BJ203" s="59">
        <f t="shared" si="206"/>
        <v>304.60992308960545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0.15615400708186949</v>
      </c>
      <c r="BQ203" s="21">
        <f>EXP(-LN(2)/25)*BQ202+(1-EXP(-LN(2)/25))/(LN(2)/25)*Calculateur!BL203*Calculateur!BN203*VLOOKUP('Données projet'!$B$11,Paramètres!$A$1:$I$89,3,0)*0.475*44/12</f>
        <v>0.15910280575002242</v>
      </c>
      <c r="BR203" s="21">
        <f>EXP(-LN(2)/2)*BR202+(1-EXP(-LN(2)/2))/(LN(2)/2)*BL203*BO203*VLOOKUP('Données projet'!$B$11,Paramètres!$A$1:$I$89,3,0)*0.475*44/12</f>
        <v>9.6630890896580698E-26</v>
      </c>
      <c r="BS203" s="22">
        <f t="shared" si="169"/>
        <v>0.31525681283189189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1.1963772029987372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1.2501898326862695</v>
      </c>
      <c r="BA205" s="82">
        <f>EXP(LN('Données projet'!B88)/'Données projet'!A88)</f>
        <v>1.4811740527139541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F20" sqref="F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5.7194100000000008</v>
      </c>
      <c r="C6" s="147">
        <f ca="1">IF(OR('Données projet'!B9="",'Données projet'!C9="",'Données projet'!C9=0%),0,Calculateur!S3)</f>
        <v>158.58786357608489</v>
      </c>
      <c r="D6" s="147">
        <f>IF(OR('Données projet'!B9="",'Données projet'!C9="",'Données projet'!C9=0%),0,Calculateur!T3)</f>
        <v>163.20074068819849</v>
      </c>
      <c r="E6" s="147">
        <f ca="1">MIN(C6,D6)</f>
        <v>158.58786357608489</v>
      </c>
      <c r="F6" s="147">
        <f ca="1">E6*B6</f>
        <v>907.02901281569575</v>
      </c>
      <c r="G6" s="147">
        <f ca="1">F6*(100%-'Données projet'!$C$24)*(100%-'Données projet'!$C$25)*(100%-'Données projet'!$C$26)*(100%-'Données projet'!$C$27)</f>
        <v>693.87719480400722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693.87719480400722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2.7906300000000002</v>
      </c>
      <c r="C7" s="147">
        <f ca="1">IF(OR('Données projet'!B10="",'Données projet'!C10="",'Données projet'!C10=0%),0,Calculateur!AN3)</f>
        <v>270.30888762640245</v>
      </c>
      <c r="D7" s="147">
        <f>IF(OR('Données projet'!B10="",'Données projet'!C10="",'Données projet'!C10=0%),0,Calculateur!AO3)</f>
        <v>202.23783851977691</v>
      </c>
      <c r="E7" s="147">
        <f t="shared" ref="E7:E15" ca="1" si="0">MIN(C7,D7)</f>
        <v>202.23783851977691</v>
      </c>
      <c r="F7" s="147">
        <f t="shared" ref="F7:F15" ca="1" si="1">E7*B7</f>
        <v>564.37097930844504</v>
      </c>
      <c r="G7" s="147">
        <f ca="1">F7*(100%-'Données projet'!$C$24)*(100%-'Données projet'!$C$25)*(100%-'Données projet'!$C$26)*(100%-'Données projet'!$C$27)</f>
        <v>431.74379917096041</v>
      </c>
      <c r="H7" s="155">
        <f>IF(OR('Données projet'!B10="",'Données projet'!C10="",'Données projet'!C10=0%),0,AVERAGE(Calculateur!$AX$3:$AX$33)*B7)</f>
        <v>7.814684104182696</v>
      </c>
      <c r="I7" s="149">
        <f>H7*(100%-'Données projet'!$C$24)*(100%-'Données projet'!$C$25)*(100%-'Données projet'!$C$26)*(100%-'Données projet'!$C$27)</f>
        <v>5.978233339699762</v>
      </c>
      <c r="J7" s="150">
        <f>IF(OR('Données projet'!B10="",'Données projet'!C10="",'Données projet'!C10=0%),0,SUM(Calculateur!$AQ$3:$AQ$33)*VLOOKUP('Données projet'!$B$10,Paramètres!$A$1:$I$89,9,0)*B7)</f>
        <v>95.997672000000009</v>
      </c>
      <c r="K7" s="151">
        <f>J7*(100%-'Données projet'!$C$24)*(100%-'Données projet'!$C$25)*(100%-'Données projet'!$C$26)*(100%-'Données projet'!$C$27)</f>
        <v>73.43821908000001</v>
      </c>
      <c r="L7" s="152">
        <f t="shared" ref="L7:L15" ca="1" si="2">G7+I7+K7</f>
        <v>511.16025159066021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maritime</v>
      </c>
      <c r="B8" s="154">
        <f>'Données projet'!D11</f>
        <v>0.69996000000000003</v>
      </c>
      <c r="C8" s="147">
        <f ca="1">IF(OR('Données projet'!B11="",'Données projet'!C11="",'Données projet'!C11=0%),0,Calculateur!BI3)</f>
        <v>243.85350804244348</v>
      </c>
      <c r="D8" s="147">
        <f>IF(OR('Données projet'!B11="",'Données projet'!C11="",'Données projet'!C11=0%),0,Calculateur!BJ3)</f>
        <v>304.60992308960545</v>
      </c>
      <c r="E8" s="147">
        <f t="shared" ca="1" si="0"/>
        <v>243.85350804244348</v>
      </c>
      <c r="F8" s="147">
        <f t="shared" ca="1" si="1"/>
        <v>170.68770148938876</v>
      </c>
      <c r="G8" s="147">
        <f ca="1">F8*(100%-'Données projet'!$C$24)*(100%-'Données projet'!$C$25)*(100%-'Données projet'!$C$26)*(100%-'Données projet'!$C$27)</f>
        <v>130.57609163938238</v>
      </c>
      <c r="H8" s="155">
        <f>IF(OR('Données projet'!B11="",'Données projet'!C11="",'Données projet'!C11=0%),0,AVERAGE(Calculateur!$BS$3:$BS$33)*B8)</f>
        <v>9.0020714501138279</v>
      </c>
      <c r="I8" s="149">
        <f>H8*(100%-'Données projet'!$C$24)*(100%-'Données projet'!$C$25)*(100%-'Données projet'!$C$26)*(100%-'Données projet'!$C$27)</f>
        <v>6.8865846593370783</v>
      </c>
      <c r="J8" s="150">
        <f>IF(OR('Données projet'!B11="",'Données projet'!C11="",'Données projet'!C11=0%),0,SUM(Calculateur!$BL$3:$BL$33)*VLOOKUP('Données projet'!$B$11,Paramètres!$A$1:$I$89,9,0)*B8)</f>
        <v>60.084889458461539</v>
      </c>
      <c r="K8" s="151">
        <f>J8*(100%-'Données projet'!$C$24)*(100%-'Données projet'!$C$25)*(100%-'Données projet'!$C$26)*(100%-'Données projet'!$C$27)</f>
        <v>45.964940435723079</v>
      </c>
      <c r="L8" s="152">
        <f t="shared" ca="1" si="2"/>
        <v>183.42761673444255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1642.0876936135294</v>
      </c>
      <c r="G16" s="166">
        <f t="shared" ca="1" si="3"/>
        <v>1256.19708561435</v>
      </c>
      <c r="H16" s="167">
        <f t="shared" si="3"/>
        <v>16.816755554296524</v>
      </c>
      <c r="I16" s="167">
        <f t="shared" si="3"/>
        <v>12.864817999036841</v>
      </c>
      <c r="J16" s="168">
        <f t="shared" si="3"/>
        <v>156.08256145846156</v>
      </c>
      <c r="K16" s="168">
        <f t="shared" si="3"/>
        <v>119.40315951572309</v>
      </c>
      <c r="L16" s="169">
        <f t="shared" ca="1" si="3"/>
        <v>1388.4650631291099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L11" zoomScaleNormal="100" workbookViewId="0">
      <selection activeCell="O21" sqref="O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154.88927919807443</v>
      </c>
      <c r="U10" s="178">
        <f>'Données projet'!D9</f>
        <v>5.7194100000000008</v>
      </c>
      <c r="V10" s="177">
        <f>U10*T10</f>
        <v>885.87529233825899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-881.35722201030092</v>
      </c>
      <c r="U11" s="178">
        <f>'Données projet'!D10</f>
        <v>2.7906300000000002</v>
      </c>
      <c r="V11" s="177">
        <f t="shared" ref="V11" si="0">U11*T11</f>
        <v>-2459.541904458606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795.41157660321676</v>
      </c>
      <c r="U12" s="178">
        <f>'Données projet'!D11</f>
        <v>0.69996000000000003</v>
      </c>
      <c r="V12" s="177">
        <f t="shared" ref="V12:V19" si="1">U12*T12</f>
        <v>556.75628715918765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>
        <v>56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2000</v>
      </c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56.000000000000043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2240.0000000000018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>
        <v>0</v>
      </c>
      <c r="I20" s="191">
        <v>2500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1800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1800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1800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-83768.969687555378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42</v>
      </c>
      <c r="B24" s="181">
        <f>'Données projet'!D37</f>
        <v>179.84615384615384</v>
      </c>
      <c r="C24" s="193">
        <v>25</v>
      </c>
      <c r="D24" s="182">
        <f t="shared" ref="D24:D42" si="2">B24*C24</f>
        <v>4496.1538461538457</v>
      </c>
      <c r="E24" s="193"/>
      <c r="F24" s="233"/>
      <c r="H24" s="190">
        <v>4</v>
      </c>
      <c r="I24" s="191">
        <v>800</v>
      </c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1753.861858373979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49</v>
      </c>
      <c r="B25" s="181">
        <f>'Données projet'!D38</f>
        <v>94.476923076923072</v>
      </c>
      <c r="C25" s="193">
        <v>25</v>
      </c>
      <c r="D25" s="182">
        <f t="shared" si="2"/>
        <v>2361.9230769230767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-85522.831545929352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56</v>
      </c>
      <c r="B26" s="181">
        <f>'Données projet'!D39</f>
        <v>72.769230769230759</v>
      </c>
      <c r="C26" s="193">
        <v>35</v>
      </c>
      <c r="D26" s="182">
        <f t="shared" si="2"/>
        <v>2546.9230769230767</v>
      </c>
      <c r="E26" s="193"/>
      <c r="F26" s="233"/>
      <c r="G26" s="229"/>
      <c r="H26" s="190">
        <v>6</v>
      </c>
      <c r="I26" s="191">
        <v>60</v>
      </c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63</v>
      </c>
      <c r="B27" s="181">
        <f>'Données projet'!D40</f>
        <v>71.123076923076923</v>
      </c>
      <c r="C27" s="193">
        <v>45</v>
      </c>
      <c r="D27" s="182">
        <f t="shared" si="2"/>
        <v>3200.5384615384614</v>
      </c>
      <c r="E27" s="193"/>
      <c r="F27" s="233"/>
      <c r="G27" s="229"/>
      <c r="H27" s="190">
        <v>7</v>
      </c>
      <c r="I27" s="191">
        <v>60</v>
      </c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71</v>
      </c>
      <c r="B28" s="181">
        <f>'Données projet'!D41</f>
        <v>80.399999999999991</v>
      </c>
      <c r="C28" s="193">
        <v>45</v>
      </c>
      <c r="D28" s="182">
        <f t="shared" si="2"/>
        <v>3617.9999999999995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79</v>
      </c>
      <c r="B29" s="181">
        <f>'Données projet'!D42</f>
        <v>77.338461538461544</v>
      </c>
      <c r="C29" s="193">
        <v>50</v>
      </c>
      <c r="D29" s="182">
        <f t="shared" si="2"/>
        <v>3866.9230769230771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87</v>
      </c>
      <c r="B30" s="181">
        <f>'Données projet'!D43</f>
        <v>77.330769230769235</v>
      </c>
      <c r="C30" s="193">
        <v>50</v>
      </c>
      <c r="D30" s="182">
        <f t="shared" si="2"/>
        <v>3866.5384615384619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95</v>
      </c>
      <c r="B31" s="181">
        <f>'Données projet'!D44</f>
        <v>234.42307692307691</v>
      </c>
      <c r="C31" s="193">
        <v>55</v>
      </c>
      <c r="D31" s="182">
        <f t="shared" si="2"/>
        <v>12893.26923076923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105</v>
      </c>
      <c r="B32" s="181">
        <f>'Données projet'!D45</f>
        <v>309.71538461538461</v>
      </c>
      <c r="C32" s="193">
        <v>65</v>
      </c>
      <c r="D32" s="182">
        <f t="shared" si="2"/>
        <v>20131.5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2300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20</v>
      </c>
      <c r="C54" s="191">
        <v>25</v>
      </c>
      <c r="D54" s="179">
        <f>B54*C54</f>
        <v>500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60</v>
      </c>
      <c r="C55" s="191">
        <v>25</v>
      </c>
      <c r="D55" s="179">
        <f t="shared" ref="D55:D73" si="4">B55*C55</f>
        <v>1500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79</v>
      </c>
      <c r="C56" s="191">
        <v>30</v>
      </c>
      <c r="D56" s="179">
        <f t="shared" si="4"/>
        <v>2370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89</v>
      </c>
      <c r="C57" s="191">
        <v>30</v>
      </c>
      <c r="D57" s="179">
        <f t="shared" si="4"/>
        <v>2670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90</v>
      </c>
      <c r="C58" s="191">
        <v>35</v>
      </c>
      <c r="D58" s="179">
        <f t="shared" si="4"/>
        <v>3150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86</v>
      </c>
      <c r="C59" s="191">
        <v>35</v>
      </c>
      <c r="D59" s="179">
        <f t="shared" si="4"/>
        <v>3010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78</v>
      </c>
      <c r="C60" s="191">
        <v>40</v>
      </c>
      <c r="D60" s="179">
        <f t="shared" si="4"/>
        <v>3120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70</v>
      </c>
      <c r="C61" s="191">
        <v>40</v>
      </c>
      <c r="D61" s="179">
        <f t="shared" si="4"/>
        <v>2800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51.52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2300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/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15</v>
      </c>
      <c r="B86" s="181">
        <f>'Données projet'!D89</f>
        <v>49.784615384615385</v>
      </c>
      <c r="C86" s="191">
        <v>10</v>
      </c>
      <c r="D86" s="179">
        <f t="shared" ref="D86:D104" si="6">B86*C86</f>
        <v>497.84615384615387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48.723076923076924</v>
      </c>
      <c r="C87" s="191">
        <v>15</v>
      </c>
      <c r="D87" s="179">
        <f t="shared" si="6"/>
        <v>730.84615384615381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26</v>
      </c>
      <c r="B88" s="181">
        <f>'Données projet'!D91</f>
        <v>46.984615384615381</v>
      </c>
      <c r="C88" s="191">
        <v>20</v>
      </c>
      <c r="D88" s="179">
        <f t="shared" si="6"/>
        <v>939.69230769230762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32</v>
      </c>
      <c r="B89" s="181">
        <f>'Données projet'!D92</f>
        <v>64.523076923076914</v>
      </c>
      <c r="C89" s="191">
        <v>25</v>
      </c>
      <c r="D89" s="179">
        <f t="shared" si="6"/>
        <v>1613.0769230769229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40</v>
      </c>
      <c r="B90" s="181">
        <f>'Données projet'!D93</f>
        <v>92.661538461538456</v>
      </c>
      <c r="C90" s="191">
        <v>25</v>
      </c>
      <c r="D90" s="179">
        <f t="shared" si="6"/>
        <v>2316.5384615384614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48</v>
      </c>
      <c r="B91" s="181">
        <f>'Données projet'!D94</f>
        <v>83.969230769230762</v>
      </c>
      <c r="C91" s="191">
        <v>30</v>
      </c>
      <c r="D91" s="179">
        <f t="shared" si="6"/>
        <v>2519.0769230769229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56</v>
      </c>
      <c r="B92" s="181">
        <f>'Données projet'!D95</f>
        <v>446.47692307692301</v>
      </c>
      <c r="C92" s="191">
        <v>30</v>
      </c>
      <c r="D92" s="179">
        <f t="shared" si="6"/>
        <v>13394.30769230769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2025-07-18T11:40:28Z</cp:lastPrinted>
  <dcterms:created xsi:type="dcterms:W3CDTF">2021-02-01T08:22:39Z</dcterms:created>
  <dcterms:modified xsi:type="dcterms:W3CDTF">2025-07-18T11:44:32Z</dcterms:modified>
</cp:coreProperties>
</file>