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CF\ENVIRONNEMENT\7_CARBONE\Coopératives\CFBL\Projets_LBC\Projet_MotteTernant_022021\"/>
    </mc:Choice>
  </mc:AlternateContent>
  <bookViews>
    <workbookView xWindow="0" yWindow="0" windowWidth="19200" windowHeight="7310" activeTab="3"/>
  </bookViews>
  <sheets>
    <sheet name="REAforêtMReboisement" sheetId="1" r:id="rId1"/>
    <sheet name="REAproduitsMReboisement" sheetId="3" r:id="rId2"/>
    <sheet name="REEsubsMReboisement" sheetId="5" r:id="rId3"/>
    <sheet name="REG&amp;Rabais" sheetId="4" r:id="rId4"/>
    <sheet name="Listes choix" sheetId="2" state="hidden"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28" i="3" l="1"/>
  <c r="AC26" i="3"/>
  <c r="U28" i="3"/>
  <c r="B6" i="1"/>
  <c r="B47" i="1"/>
  <c r="B46" i="1"/>
  <c r="B45" i="1"/>
  <c r="B44" i="1"/>
  <c r="B48" i="1" s="1"/>
  <c r="B43" i="1"/>
  <c r="B42" i="1"/>
  <c r="B41" i="1"/>
  <c r="CD29" i="1"/>
  <c r="C30" i="1"/>
  <c r="BJ24" i="1"/>
  <c r="BJ22" i="1"/>
  <c r="C25" i="1"/>
  <c r="C24" i="1"/>
  <c r="C22" i="1"/>
  <c r="BA23" i="1"/>
  <c r="AS23" i="1"/>
  <c r="AK23" i="1"/>
  <c r="AC23" i="1"/>
  <c r="U23" i="1"/>
  <c r="D23" i="1"/>
  <c r="E23" i="1" s="1"/>
  <c r="F23" i="1" s="1"/>
  <c r="G23" i="1" s="1"/>
  <c r="H23" i="1" s="1"/>
  <c r="I23" i="1" s="1"/>
  <c r="J23" i="1" s="1"/>
  <c r="K23" i="1" s="1"/>
  <c r="L23" i="1" s="1"/>
  <c r="M23" i="1" s="1"/>
  <c r="N23" i="1" s="1"/>
  <c r="O23" i="1" s="1"/>
  <c r="P23" i="1" s="1"/>
  <c r="Q23" i="1" s="1"/>
  <c r="R23" i="1" s="1"/>
  <c r="S23" i="1" s="1"/>
  <c r="T23" i="1" s="1"/>
  <c r="V23" i="1" s="1"/>
  <c r="W23" i="1" s="1"/>
  <c r="X23" i="1" s="1"/>
  <c r="Y23" i="1" s="1"/>
  <c r="Z23" i="1" s="1"/>
  <c r="AA23" i="1" s="1"/>
  <c r="AB23" i="1" s="1"/>
  <c r="C23" i="1"/>
  <c r="AD23" i="1" l="1"/>
  <c r="AE23" i="1" s="1"/>
  <c r="AF23" i="1" s="1"/>
  <c r="AG23" i="1" s="1"/>
  <c r="AH23" i="1" s="1"/>
  <c r="AI23" i="1" s="1"/>
  <c r="AJ23" i="1" s="1"/>
  <c r="AL23" i="1" s="1"/>
  <c r="AM23" i="1" s="1"/>
  <c r="AN23" i="1" s="1"/>
  <c r="AO23" i="1" s="1"/>
  <c r="AP23" i="1" s="1"/>
  <c r="AQ23" i="1" s="1"/>
  <c r="AR23" i="1" s="1"/>
  <c r="AT23" i="1" s="1"/>
  <c r="AU23" i="1" s="1"/>
  <c r="AV23" i="1" s="1"/>
  <c r="AW23" i="1" s="1"/>
  <c r="AX23" i="1" s="1"/>
  <c r="AY23" i="1" s="1"/>
  <c r="AZ23" i="1" s="1"/>
  <c r="BB23" i="1" s="1"/>
  <c r="BC23" i="1" s="1"/>
  <c r="BD23" i="1" s="1"/>
  <c r="BE23" i="1" s="1"/>
  <c r="BF23" i="1" s="1"/>
  <c r="BG23" i="1" s="1"/>
  <c r="BH23" i="1" s="1"/>
  <c r="BI23" i="1" s="1"/>
  <c r="BJ23" i="1" s="1"/>
  <c r="C16" i="3"/>
  <c r="D16" i="3"/>
  <c r="E16" i="3"/>
  <c r="F16" i="3"/>
  <c r="G16" i="3"/>
  <c r="H16" i="3"/>
  <c r="I16" i="3"/>
  <c r="J16" i="3"/>
  <c r="K16" i="3"/>
  <c r="L16" i="3"/>
  <c r="M16" i="3"/>
  <c r="N16" i="3"/>
  <c r="O16" i="3"/>
  <c r="P16" i="3"/>
  <c r="Q16" i="3"/>
  <c r="R16" i="3"/>
  <c r="S16" i="3"/>
  <c r="T16" i="3"/>
  <c r="U16" i="3"/>
  <c r="B16" i="3"/>
  <c r="B30" i="3"/>
  <c r="B21" i="1"/>
  <c r="B15" i="5" l="1"/>
  <c r="B14" i="5"/>
  <c r="B20" i="5" s="1"/>
  <c r="C47" i="3"/>
  <c r="C18" i="3" s="1"/>
  <c r="E20" i="5" l="1"/>
  <c r="B39" i="3"/>
  <c r="D30" i="1" l="1"/>
  <c r="E30" i="1" s="1"/>
  <c r="F30" i="1" s="1"/>
  <c r="G30" i="1" s="1"/>
  <c r="H30" i="1" s="1"/>
  <c r="I30" i="1" s="1"/>
  <c r="J30" i="1" s="1"/>
  <c r="K30" i="1" s="1"/>
  <c r="L30" i="1" s="1"/>
  <c r="M30" i="1" s="1"/>
  <c r="N30" i="1" s="1"/>
  <c r="O30" i="1" s="1"/>
  <c r="P30" i="1" s="1"/>
  <c r="Q30" i="1" s="1"/>
  <c r="R30" i="1" s="1"/>
  <c r="S30" i="1" s="1"/>
  <c r="T30" i="1" s="1"/>
  <c r="U30" i="1" s="1"/>
  <c r="V30" i="1" s="1"/>
  <c r="W30" i="1" s="1"/>
  <c r="X30" i="1" s="1"/>
  <c r="Y30" i="1" s="1"/>
  <c r="Z30" i="1" s="1"/>
  <c r="AA30" i="1" s="1"/>
  <c r="AB30" i="1" s="1"/>
  <c r="AC30" i="1" s="1"/>
  <c r="AD30" i="1" s="1"/>
  <c r="AE30" i="1" s="1"/>
  <c r="AF30" i="1" s="1"/>
  <c r="AG30" i="1" s="1"/>
  <c r="C32"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B32" i="1"/>
  <c r="AF25"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B25" i="1"/>
  <c r="B23" i="5"/>
  <c r="C20" i="5"/>
  <c r="AH30" i="1" l="1"/>
  <c r="C15" i="4"/>
  <c r="AI30" i="1" l="1"/>
  <c r="AJ30" i="1" l="1"/>
  <c r="B25" i="5"/>
  <c r="AK30" i="1" l="1"/>
  <c r="AL30" i="1" l="1"/>
  <c r="AM30" i="1" l="1"/>
  <c r="C48" i="3"/>
  <c r="C32" i="3" s="1"/>
  <c r="AN30" i="1" l="1"/>
  <c r="C21" i="3"/>
  <c r="C17" i="4"/>
  <c r="C50" i="3"/>
  <c r="AO30" i="1" l="1"/>
  <c r="AP30" i="1" l="1"/>
  <c r="C23" i="5"/>
  <c r="C25" i="5" s="1"/>
  <c r="C49" i="3"/>
  <c r="AQ30" i="1" l="1"/>
  <c r="D20" i="5"/>
  <c r="C24" i="3"/>
  <c r="C35" i="3"/>
  <c r="J23" i="5"/>
  <c r="R23" i="5"/>
  <c r="Z23" i="5"/>
  <c r="AE23" i="5"/>
  <c r="K23" i="5"/>
  <c r="S23" i="5"/>
  <c r="AA23" i="5"/>
  <c r="Q23" i="5"/>
  <c r="D23" i="5"/>
  <c r="L23" i="5"/>
  <c r="T23" i="5"/>
  <c r="AB23" i="5"/>
  <c r="V23" i="5"/>
  <c r="Y23" i="5"/>
  <c r="E23" i="5"/>
  <c r="M23" i="5"/>
  <c r="U23" i="5"/>
  <c r="AC23" i="5"/>
  <c r="F23" i="5"/>
  <c r="N23" i="5"/>
  <c r="AD23" i="5"/>
  <c r="I23" i="5"/>
  <c r="G23" i="5"/>
  <c r="O23" i="5"/>
  <c r="W23" i="5"/>
  <c r="H23" i="5"/>
  <c r="P23" i="5"/>
  <c r="X23" i="5"/>
  <c r="M20" i="5"/>
  <c r="U20" i="5"/>
  <c r="AC20" i="5"/>
  <c r="O20" i="5"/>
  <c r="L20" i="5"/>
  <c r="F20" i="5"/>
  <c r="N20" i="5"/>
  <c r="V20" i="5"/>
  <c r="AD20" i="5"/>
  <c r="G20" i="5"/>
  <c r="W20" i="5"/>
  <c r="H20" i="5"/>
  <c r="P20" i="5"/>
  <c r="X20" i="5"/>
  <c r="R20" i="5"/>
  <c r="AE20" i="5"/>
  <c r="AA20" i="5"/>
  <c r="T20" i="5"/>
  <c r="I20" i="5"/>
  <c r="Q20" i="5"/>
  <c r="Y20" i="5"/>
  <c r="J20" i="5"/>
  <c r="Z20" i="5"/>
  <c r="K20" i="5"/>
  <c r="S20" i="5"/>
  <c r="AB20" i="5"/>
  <c r="AB25" i="5" s="1"/>
  <c r="C18" i="4"/>
  <c r="F25" i="5" l="1"/>
  <c r="AR30" i="1"/>
  <c r="L25" i="5"/>
  <c r="AD25" i="5"/>
  <c r="V25" i="5"/>
  <c r="K25" i="5"/>
  <c r="AC25" i="5"/>
  <c r="T25" i="5"/>
  <c r="U25" i="5"/>
  <c r="G25" i="5"/>
  <c r="R25" i="5"/>
  <c r="H25" i="5"/>
  <c r="I25" i="5"/>
  <c r="AA25" i="5"/>
  <c r="E25" i="5"/>
  <c r="S25" i="5"/>
  <c r="Y25" i="5"/>
  <c r="P25" i="5"/>
  <c r="M25" i="5"/>
  <c r="AE25" i="5"/>
  <c r="Z25" i="5"/>
  <c r="N25" i="5"/>
  <c r="D25" i="5"/>
  <c r="J25" i="5"/>
  <c r="X25" i="5"/>
  <c r="Q25" i="5"/>
  <c r="O25" i="5"/>
  <c r="W25" i="5"/>
  <c r="E42" i="3"/>
  <c r="C42" i="3"/>
  <c r="E36" i="1"/>
  <c r="C36" i="1"/>
  <c r="C35" i="1"/>
  <c r="B35" i="1"/>
  <c r="B5" i="5" l="1"/>
  <c r="B6" i="5" s="1"/>
  <c r="B36" i="3"/>
  <c r="Y36" i="3"/>
  <c r="C36" i="3"/>
  <c r="J36" i="3"/>
  <c r="R36" i="3"/>
  <c r="Z36" i="3"/>
  <c r="AF33" i="3"/>
  <c r="K33" i="3"/>
  <c r="S33" i="3"/>
  <c r="AA33" i="3"/>
  <c r="L36" i="3"/>
  <c r="AB36" i="3"/>
  <c r="M33" i="3"/>
  <c r="AC33" i="3"/>
  <c r="M36" i="3"/>
  <c r="F33" i="3"/>
  <c r="V33" i="3"/>
  <c r="F36" i="3"/>
  <c r="V36" i="3"/>
  <c r="O33" i="3"/>
  <c r="R33" i="3"/>
  <c r="AF36" i="3"/>
  <c r="K36" i="3"/>
  <c r="S36" i="3"/>
  <c r="AA36" i="3"/>
  <c r="AE33" i="3"/>
  <c r="L33" i="3"/>
  <c r="T33" i="3"/>
  <c r="AB33" i="3"/>
  <c r="D36" i="3"/>
  <c r="T36" i="3"/>
  <c r="E33" i="3"/>
  <c r="U33" i="3"/>
  <c r="E36" i="3"/>
  <c r="AC36" i="3"/>
  <c r="N33" i="3"/>
  <c r="AD33" i="3"/>
  <c r="N36" i="3"/>
  <c r="AD36" i="3"/>
  <c r="W33" i="3"/>
  <c r="U36" i="3"/>
  <c r="G33" i="3"/>
  <c r="D33" i="3"/>
  <c r="G36" i="3"/>
  <c r="O36" i="3"/>
  <c r="W36" i="3"/>
  <c r="AE36" i="3"/>
  <c r="H33" i="3"/>
  <c r="P33" i="3"/>
  <c r="X33" i="3"/>
  <c r="C33" i="3"/>
  <c r="H36" i="3"/>
  <c r="P36" i="3"/>
  <c r="X36" i="3"/>
  <c r="I33" i="3"/>
  <c r="Q33" i="3"/>
  <c r="Y33" i="3"/>
  <c r="I36" i="3"/>
  <c r="Q36" i="3"/>
  <c r="B33" i="3"/>
  <c r="C31" i="3" s="1"/>
  <c r="J33" i="3"/>
  <c r="Z33" i="3"/>
  <c r="C21" i="1"/>
  <c r="K22" i="1"/>
  <c r="S22" i="1"/>
  <c r="AA22" i="1"/>
  <c r="AI22" i="1"/>
  <c r="AI24" i="1" s="1"/>
  <c r="AI21" i="1" s="1"/>
  <c r="AQ22" i="1"/>
  <c r="AQ24" i="1" s="1"/>
  <c r="AQ21" i="1" s="1"/>
  <c r="AY22" i="1"/>
  <c r="AY24" i="1" s="1"/>
  <c r="AY21" i="1" s="1"/>
  <c r="BG22" i="1"/>
  <c r="BG24" i="1" s="1"/>
  <c r="BG21" i="1" s="1"/>
  <c r="W22" i="1"/>
  <c r="BC22" i="1"/>
  <c r="AG22" i="1"/>
  <c r="AG24" i="1" s="1"/>
  <c r="AG21" i="1" s="1"/>
  <c r="D22" i="1"/>
  <c r="L22" i="1"/>
  <c r="T22" i="1"/>
  <c r="AB22" i="1"/>
  <c r="AJ22" i="1"/>
  <c r="AJ24" i="1" s="1"/>
  <c r="AJ21" i="1" s="1"/>
  <c r="AR22" i="1"/>
  <c r="AR24" i="1" s="1"/>
  <c r="AR21" i="1" s="1"/>
  <c r="AZ22" i="1"/>
  <c r="BH22" i="1"/>
  <c r="AE22" i="1"/>
  <c r="Q22" i="1"/>
  <c r="BE22" i="1"/>
  <c r="Z22" i="1"/>
  <c r="AP22" i="1"/>
  <c r="AP24" i="1" s="1"/>
  <c r="AP21" i="1" s="1"/>
  <c r="E22" i="1"/>
  <c r="M22" i="1"/>
  <c r="U22" i="1"/>
  <c r="AC22" i="1"/>
  <c r="AK22" i="1"/>
  <c r="AS22" i="1"/>
  <c r="BA22" i="1"/>
  <c r="BI22" i="1"/>
  <c r="O22" i="1"/>
  <c r="AM22" i="1"/>
  <c r="AO22" i="1"/>
  <c r="J22" i="1"/>
  <c r="AX22" i="1"/>
  <c r="AX24" i="1" s="1"/>
  <c r="AX21" i="1" s="1"/>
  <c r="F22" i="1"/>
  <c r="N22" i="1"/>
  <c r="V22" i="1"/>
  <c r="AD22" i="1"/>
  <c r="AL22" i="1"/>
  <c r="AT22" i="1"/>
  <c r="BB22" i="1"/>
  <c r="B22" i="1"/>
  <c r="G22" i="1"/>
  <c r="G24" i="1" s="1"/>
  <c r="G21" i="1" s="1"/>
  <c r="AU22" i="1"/>
  <c r="Y22" i="1"/>
  <c r="R22" i="1"/>
  <c r="H22" i="1"/>
  <c r="P22" i="1"/>
  <c r="X22" i="1"/>
  <c r="AF22" i="1"/>
  <c r="AN22" i="1"/>
  <c r="AV22" i="1"/>
  <c r="BD22" i="1"/>
  <c r="I22" i="1"/>
  <c r="AW22" i="1"/>
  <c r="AH22" i="1"/>
  <c r="AH24" i="1" s="1"/>
  <c r="AH21" i="1" s="1"/>
  <c r="BF22" i="1"/>
  <c r="BF24" i="1" s="1"/>
  <c r="BF21" i="1" s="1"/>
  <c r="AG29" i="1"/>
  <c r="AG31" i="1" s="1"/>
  <c r="AG28" i="1" s="1"/>
  <c r="AH29" i="1"/>
  <c r="AH31" i="1" s="1"/>
  <c r="AH28" i="1" s="1"/>
  <c r="AI29" i="1"/>
  <c r="AI31" i="1" s="1"/>
  <c r="AI28" i="1" s="1"/>
  <c r="AJ29" i="1"/>
  <c r="AJ31" i="1" s="1"/>
  <c r="AJ28" i="1" s="1"/>
  <c r="AK29" i="1"/>
  <c r="AK31" i="1" s="1"/>
  <c r="AK28" i="1" s="1"/>
  <c r="AL29" i="1"/>
  <c r="AL31" i="1" s="1"/>
  <c r="AL28" i="1" s="1"/>
  <c r="AM29" i="1"/>
  <c r="AM31" i="1" s="1"/>
  <c r="AM28" i="1" s="1"/>
  <c r="AN29" i="1"/>
  <c r="AN31" i="1" s="1"/>
  <c r="AN28" i="1" s="1"/>
  <c r="AO29" i="1"/>
  <c r="AO31" i="1" s="1"/>
  <c r="AO28" i="1" s="1"/>
  <c r="AP29" i="1"/>
  <c r="AP31" i="1" s="1"/>
  <c r="AP28" i="1" s="1"/>
  <c r="AR29" i="1"/>
  <c r="AR31" i="1" s="1"/>
  <c r="AR28" i="1" s="1"/>
  <c r="AS30" i="1"/>
  <c r="AQ29" i="1"/>
  <c r="AQ31" i="1" s="1"/>
  <c r="AQ28" i="1" s="1"/>
  <c r="B29" i="1"/>
  <c r="B28" i="1" s="1"/>
  <c r="D29" i="1"/>
  <c r="C29" i="1"/>
  <c r="C31" i="1" s="1"/>
  <c r="C28" i="1" s="1"/>
  <c r="AF29" i="1"/>
  <c r="E29" i="1"/>
  <c r="E31" i="1" s="1"/>
  <c r="M29" i="1"/>
  <c r="U29" i="1"/>
  <c r="AC29" i="1"/>
  <c r="F29" i="1"/>
  <c r="N29" i="1"/>
  <c r="V29" i="1"/>
  <c r="AD29" i="1"/>
  <c r="K29" i="1"/>
  <c r="AB29" i="1"/>
  <c r="L29" i="1"/>
  <c r="G29" i="1"/>
  <c r="O29" i="1"/>
  <c r="W29" i="1"/>
  <c r="AE29" i="1"/>
  <c r="H29" i="1"/>
  <c r="P29" i="1"/>
  <c r="X29" i="1"/>
  <c r="Q29" i="1"/>
  <c r="Y29" i="1"/>
  <c r="J29" i="1"/>
  <c r="R29" i="1"/>
  <c r="S29" i="1"/>
  <c r="AA29" i="1"/>
  <c r="T29" i="1"/>
  <c r="I29" i="1"/>
  <c r="I31" i="1" s="1"/>
  <c r="I28" i="1" s="1"/>
  <c r="Z29" i="1"/>
  <c r="C19" i="3"/>
  <c r="C22" i="3"/>
  <c r="AE19" i="3"/>
  <c r="C25" i="3"/>
  <c r="E19" i="3"/>
  <c r="C34" i="3"/>
  <c r="B19" i="3"/>
  <c r="C17" i="3" s="1"/>
  <c r="AD22" i="3"/>
  <c r="L22" i="3"/>
  <c r="Y22" i="3"/>
  <c r="M22" i="3"/>
  <c r="AE22" i="3"/>
  <c r="J22" i="3"/>
  <c r="U22" i="3"/>
  <c r="I22" i="3"/>
  <c r="Z22" i="3"/>
  <c r="X22" i="3"/>
  <c r="O22" i="3"/>
  <c r="S22" i="3"/>
  <c r="F22" i="3"/>
  <c r="T22" i="3"/>
  <c r="AF22" i="3"/>
  <c r="N22" i="3"/>
  <c r="R22" i="3"/>
  <c r="AC22" i="3"/>
  <c r="Q22" i="3"/>
  <c r="G22" i="3"/>
  <c r="H22" i="3"/>
  <c r="D32" i="3"/>
  <c r="D31" i="3" s="1"/>
  <c r="P22" i="3"/>
  <c r="E22" i="3"/>
  <c r="K22" i="3"/>
  <c r="W22" i="3"/>
  <c r="D22" i="3"/>
  <c r="AA22" i="3"/>
  <c r="B22" i="3"/>
  <c r="V22" i="3"/>
  <c r="AB22" i="3"/>
  <c r="J25" i="3"/>
  <c r="S25" i="3"/>
  <c r="I19" i="3"/>
  <c r="R19" i="3"/>
  <c r="AA19" i="3"/>
  <c r="K25" i="3"/>
  <c r="R25" i="3"/>
  <c r="AA25" i="3"/>
  <c r="F25" i="3"/>
  <c r="H19" i="3"/>
  <c r="Q19" i="3"/>
  <c r="O19" i="3"/>
  <c r="Z19" i="3"/>
  <c r="M19" i="3"/>
  <c r="S19" i="3"/>
  <c r="H25" i="3"/>
  <c r="I25" i="3"/>
  <c r="G25" i="3"/>
  <c r="Z25" i="3"/>
  <c r="E25" i="3"/>
  <c r="N25" i="3"/>
  <c r="G19" i="3"/>
  <c r="P19" i="3"/>
  <c r="Y19" i="3"/>
  <c r="V19" i="3"/>
  <c r="L19" i="3"/>
  <c r="U19" i="3"/>
  <c r="W19" i="3"/>
  <c r="V25" i="3"/>
  <c r="P25" i="3"/>
  <c r="Q25" i="3"/>
  <c r="AE25" i="3"/>
  <c r="AD25" i="3"/>
  <c r="L25" i="3"/>
  <c r="M25" i="3"/>
  <c r="X19" i="3"/>
  <c r="D19" i="3"/>
  <c r="T19" i="3"/>
  <c r="AC19" i="3"/>
  <c r="AD19" i="3"/>
  <c r="B25" i="3"/>
  <c r="X25" i="3"/>
  <c r="Y25" i="3"/>
  <c r="T25" i="3"/>
  <c r="U25" i="3"/>
  <c r="O25" i="3"/>
  <c r="K19" i="3"/>
  <c r="F19" i="3"/>
  <c r="AB19" i="3"/>
  <c r="J19" i="3"/>
  <c r="AF25" i="3"/>
  <c r="D25" i="3"/>
  <c r="W25" i="3"/>
  <c r="AB25" i="3"/>
  <c r="AC25" i="3"/>
  <c r="AF19" i="3"/>
  <c r="N19" i="3"/>
  <c r="U31" i="1"/>
  <c r="U28" i="1" s="1"/>
  <c r="C30" i="3" l="1"/>
  <c r="B8" i="4"/>
  <c r="B9" i="4" s="1"/>
  <c r="AW24" i="1"/>
  <c r="AW21" i="1" s="1"/>
  <c r="AU24" i="1"/>
  <c r="AU21" i="1" s="1"/>
  <c r="AK24" i="1"/>
  <c r="AK21" i="1" s="1"/>
  <c r="BE24" i="1"/>
  <c r="BE21" i="1" s="1"/>
  <c r="BC24" i="1"/>
  <c r="BC21" i="1" s="1"/>
  <c r="BA24" i="1"/>
  <c r="BA21" i="1" s="1"/>
  <c r="AS24" i="1"/>
  <c r="AS21" i="1" s="1"/>
  <c r="AO24" i="1"/>
  <c r="AO21" i="1" s="1"/>
  <c r="AM24" i="1"/>
  <c r="AM21" i="1" s="1"/>
  <c r="BH24" i="1"/>
  <c r="BH21" i="1" s="1"/>
  <c r="AS29" i="1"/>
  <c r="AS31" i="1" s="1"/>
  <c r="AS28" i="1" s="1"/>
  <c r="AT30" i="1"/>
  <c r="BJ21" i="1"/>
  <c r="AZ24" i="1"/>
  <c r="AZ21" i="1" s="1"/>
  <c r="BD24" i="1"/>
  <c r="BD21" i="1" s="1"/>
  <c r="BB24" i="1"/>
  <c r="BB21" i="1" s="1"/>
  <c r="AV24" i="1"/>
  <c r="AV21" i="1" s="1"/>
  <c r="AT24" i="1"/>
  <c r="AT21" i="1" s="1"/>
  <c r="AN24" i="1"/>
  <c r="AN21" i="1" s="1"/>
  <c r="AL24" i="1"/>
  <c r="AL21" i="1" s="1"/>
  <c r="BI24" i="1"/>
  <c r="BI21" i="1" s="1"/>
  <c r="AC24" i="1"/>
  <c r="AC21" i="1" s="1"/>
  <c r="AE24" i="1"/>
  <c r="AE21" i="1" s="1"/>
  <c r="I24" i="1"/>
  <c r="I21" i="1" s="1"/>
  <c r="T24" i="1"/>
  <c r="T21" i="1" s="1"/>
  <c r="P24" i="1"/>
  <c r="P21" i="1" s="1"/>
  <c r="AF24" i="1"/>
  <c r="AF21" i="1" s="1"/>
  <c r="Q24" i="1"/>
  <c r="Q21" i="1" s="1"/>
  <c r="S24" i="1"/>
  <c r="S21" i="1" s="1"/>
  <c r="AB24" i="1"/>
  <c r="AB21" i="1" s="1"/>
  <c r="N24" i="1"/>
  <c r="N21" i="1" s="1"/>
  <c r="X24" i="1"/>
  <c r="X21" i="1" s="1"/>
  <c r="E24" i="1"/>
  <c r="E21" i="1" s="1"/>
  <c r="Y24" i="1"/>
  <c r="Y21" i="1" s="1"/>
  <c r="H24" i="1"/>
  <c r="H21" i="1" s="1"/>
  <c r="O24" i="1"/>
  <c r="O21" i="1" s="1"/>
  <c r="W24" i="1"/>
  <c r="W21" i="1" s="1"/>
  <c r="D24" i="1"/>
  <c r="D21" i="1" s="1"/>
  <c r="AD24" i="1"/>
  <c r="AD21" i="1" s="1"/>
  <c r="K24" i="1"/>
  <c r="K21" i="1" s="1"/>
  <c r="F24" i="1"/>
  <c r="F21" i="1" s="1"/>
  <c r="AA24" i="1"/>
  <c r="AA21" i="1" s="1"/>
  <c r="M24" i="1"/>
  <c r="M21" i="1" s="1"/>
  <c r="V24" i="1"/>
  <c r="V21" i="1" s="1"/>
  <c r="U24" i="1"/>
  <c r="U21" i="1" s="1"/>
  <c r="L24" i="1"/>
  <c r="L21" i="1" s="1"/>
  <c r="D35" i="3"/>
  <c r="D34" i="3" s="1"/>
  <c r="E35" i="3" s="1"/>
  <c r="E34" i="3" s="1"/>
  <c r="F35" i="3" s="1"/>
  <c r="E32" i="3"/>
  <c r="E31" i="3" s="1"/>
  <c r="C20" i="3"/>
  <c r="C23" i="3"/>
  <c r="D24" i="3" s="1"/>
  <c r="D23" i="3" s="1"/>
  <c r="E24" i="3" s="1"/>
  <c r="E23" i="3" s="1"/>
  <c r="F24" i="3" s="1"/>
  <c r="F23" i="3" s="1"/>
  <c r="D18" i="3"/>
  <c r="D17" i="3" s="1"/>
  <c r="AC31" i="1"/>
  <c r="AC28" i="1" s="1"/>
  <c r="AF31" i="1"/>
  <c r="AF28" i="1" s="1"/>
  <c r="Y31" i="1"/>
  <c r="Y28" i="1" s="1"/>
  <c r="P31" i="1"/>
  <c r="P28" i="1" s="1"/>
  <c r="F31" i="1"/>
  <c r="F28" i="1" s="1"/>
  <c r="M31" i="1"/>
  <c r="M28" i="1" s="1"/>
  <c r="G31" i="1"/>
  <c r="G28" i="1" s="1"/>
  <c r="E28" i="1"/>
  <c r="X31" i="1"/>
  <c r="X28" i="1" s="1"/>
  <c r="AA31" i="1"/>
  <c r="AA28" i="1" s="1"/>
  <c r="Q31" i="1"/>
  <c r="Q28" i="1" s="1"/>
  <c r="S31" i="1"/>
  <c r="S28" i="1" s="1"/>
  <c r="O31" i="1"/>
  <c r="O28" i="1" s="1"/>
  <c r="H31" i="1"/>
  <c r="H28" i="1" s="1"/>
  <c r="K31" i="1"/>
  <c r="K28" i="1" s="1"/>
  <c r="W31" i="1"/>
  <c r="W28" i="1" s="1"/>
  <c r="AE31" i="1"/>
  <c r="AE28" i="1" s="1"/>
  <c r="D31" i="1"/>
  <c r="D28" i="1" s="1"/>
  <c r="T31" i="1"/>
  <c r="T28" i="1" s="1"/>
  <c r="J24" i="1"/>
  <c r="J21" i="1" s="1"/>
  <c r="R31" i="1"/>
  <c r="R28" i="1" s="1"/>
  <c r="AB31" i="1"/>
  <c r="AB28" i="1" s="1"/>
  <c r="R24" i="1"/>
  <c r="R21" i="1" s="1"/>
  <c r="Z31" i="1"/>
  <c r="Z28" i="1" s="1"/>
  <c r="L31" i="1"/>
  <c r="L28" i="1" s="1"/>
  <c r="J31" i="1"/>
  <c r="J28" i="1" s="1"/>
  <c r="N31" i="1"/>
  <c r="N28" i="1" s="1"/>
  <c r="Z24" i="1"/>
  <c r="Z21" i="1" s="1"/>
  <c r="V31" i="1"/>
  <c r="V28" i="1" s="1"/>
  <c r="AD31" i="1"/>
  <c r="AD28" i="1" s="1"/>
  <c r="E30" i="3" l="1"/>
  <c r="D30" i="3"/>
  <c r="AT29" i="1"/>
  <c r="AT31" i="1" s="1"/>
  <c r="AT28" i="1" s="1"/>
  <c r="AU30" i="1"/>
  <c r="F32" i="3"/>
  <c r="F31" i="3" s="1"/>
  <c r="C39" i="3"/>
  <c r="E18" i="3"/>
  <c r="E17" i="3" s="1"/>
  <c r="F18" i="3" s="1"/>
  <c r="F17" i="3" s="1"/>
  <c r="G18" i="3" s="1"/>
  <c r="G17" i="3" s="1"/>
  <c r="D21" i="3"/>
  <c r="F34" i="3"/>
  <c r="G35" i="3" s="1"/>
  <c r="G34" i="3" s="1"/>
  <c r="H35" i="3" s="1"/>
  <c r="G24" i="3"/>
  <c r="F30" i="3" l="1"/>
  <c r="AV30" i="1"/>
  <c r="AU29" i="1"/>
  <c r="AU31" i="1" s="1"/>
  <c r="AU28" i="1" s="1"/>
  <c r="G32" i="3"/>
  <c r="G31" i="3" s="1"/>
  <c r="G30" i="3" s="1"/>
  <c r="D20" i="3"/>
  <c r="H34" i="3"/>
  <c r="I35" i="3" s="1"/>
  <c r="G23" i="3"/>
  <c r="H24" i="3" s="1"/>
  <c r="H18" i="3"/>
  <c r="H17" i="3" s="1"/>
  <c r="I18" i="3" s="1"/>
  <c r="I17" i="3" s="1"/>
  <c r="AV29" i="1" l="1"/>
  <c r="AV31" i="1" s="1"/>
  <c r="AV28" i="1" s="1"/>
  <c r="AW30" i="1"/>
  <c r="H32" i="3"/>
  <c r="H31" i="3" s="1"/>
  <c r="H30" i="3" s="1"/>
  <c r="E21" i="3"/>
  <c r="E20" i="3" s="1"/>
  <c r="D39" i="3"/>
  <c r="I34" i="3"/>
  <c r="J35" i="3" s="1"/>
  <c r="H23" i="3"/>
  <c r="I24" i="3" s="1"/>
  <c r="J18" i="3"/>
  <c r="J17" i="3" s="1"/>
  <c r="K18" i="3" s="1"/>
  <c r="K17" i="3" s="1"/>
  <c r="AX30" i="1" l="1"/>
  <c r="AW29" i="1"/>
  <c r="AW31" i="1" s="1"/>
  <c r="AW28" i="1" s="1"/>
  <c r="I32" i="3"/>
  <c r="I31" i="3" s="1"/>
  <c r="I30" i="3" s="1"/>
  <c r="E39" i="3"/>
  <c r="F21" i="3"/>
  <c r="F20" i="3" s="1"/>
  <c r="J34" i="3"/>
  <c r="K35" i="3" s="1"/>
  <c r="I23" i="3"/>
  <c r="J24" i="3" s="1"/>
  <c r="L18" i="3"/>
  <c r="L17" i="3" s="1"/>
  <c r="AY30" i="1" l="1"/>
  <c r="AX29" i="1"/>
  <c r="AX31" i="1" s="1"/>
  <c r="AX28" i="1" s="1"/>
  <c r="J32" i="3"/>
  <c r="J31" i="3" s="1"/>
  <c r="J30" i="3" s="1"/>
  <c r="G21" i="3"/>
  <c r="G20" i="3" s="1"/>
  <c r="F39" i="3"/>
  <c r="K34" i="3"/>
  <c r="L35" i="3" s="1"/>
  <c r="J23" i="3"/>
  <c r="K24" i="3" s="1"/>
  <c r="M18" i="3"/>
  <c r="M17" i="3" s="1"/>
  <c r="N18" i="3" s="1"/>
  <c r="N17" i="3" s="1"/>
  <c r="O18" i="3" s="1"/>
  <c r="O17" i="3" s="1"/>
  <c r="AY29" i="1" l="1"/>
  <c r="AZ30" i="1"/>
  <c r="H21" i="3"/>
  <c r="H20" i="3" s="1"/>
  <c r="G39" i="3"/>
  <c r="L34" i="3"/>
  <c r="M35" i="3" s="1"/>
  <c r="K32" i="3"/>
  <c r="K23" i="3"/>
  <c r="L24" i="3" s="1"/>
  <c r="P18" i="3"/>
  <c r="P17" i="3" s="1"/>
  <c r="BA30" i="1" l="1"/>
  <c r="AZ29" i="1"/>
  <c r="AY31" i="1"/>
  <c r="AY28" i="1" s="1"/>
  <c r="I21" i="3"/>
  <c r="I20" i="3" s="1"/>
  <c r="H39" i="3"/>
  <c r="M34" i="3"/>
  <c r="N35" i="3" s="1"/>
  <c r="N34" i="3" s="1"/>
  <c r="K31" i="3"/>
  <c r="K30" i="3" s="1"/>
  <c r="L23" i="3"/>
  <c r="M24" i="3" s="1"/>
  <c r="M23" i="3" s="1"/>
  <c r="Q18" i="3"/>
  <c r="Q17" i="3" s="1"/>
  <c r="R18" i="3" s="1"/>
  <c r="R17" i="3" s="1"/>
  <c r="S18" i="3" s="1"/>
  <c r="S17" i="3" s="1"/>
  <c r="AZ31" i="1" l="1"/>
  <c r="AZ28" i="1" s="1"/>
  <c r="BB30" i="1"/>
  <c r="BA29" i="1"/>
  <c r="BA31" i="1" s="1"/>
  <c r="BA28" i="1" s="1"/>
  <c r="J21" i="3"/>
  <c r="J20" i="3" s="1"/>
  <c r="I39" i="3"/>
  <c r="O35" i="3"/>
  <c r="L32" i="3"/>
  <c r="N24" i="3"/>
  <c r="T18" i="3"/>
  <c r="T17" i="3" s="1"/>
  <c r="BB29" i="1" l="1"/>
  <c r="BB31" i="1" s="1"/>
  <c r="BB28" i="1" s="1"/>
  <c r="BC30" i="1"/>
  <c r="J39" i="3"/>
  <c r="K21" i="3"/>
  <c r="K20" i="3" s="1"/>
  <c r="K39" i="3" s="1"/>
  <c r="O34" i="3"/>
  <c r="P35" i="3" s="1"/>
  <c r="L31" i="3"/>
  <c r="L30" i="3" s="1"/>
  <c r="N23" i="3"/>
  <c r="O24" i="3" s="1"/>
  <c r="U18" i="3"/>
  <c r="U17" i="3" s="1"/>
  <c r="V18" i="3" s="1"/>
  <c r="V17" i="3" s="1"/>
  <c r="W18" i="3" s="1"/>
  <c r="W17" i="3" s="1"/>
  <c r="BD30" i="1" l="1"/>
  <c r="BC29" i="1"/>
  <c r="BC31" i="1" s="1"/>
  <c r="BC28" i="1" s="1"/>
  <c r="L21" i="3"/>
  <c r="L20" i="3" s="1"/>
  <c r="P34" i="3"/>
  <c r="Q35" i="3" s="1"/>
  <c r="M32" i="3"/>
  <c r="O23" i="3"/>
  <c r="P24" i="3" s="1"/>
  <c r="X18" i="3"/>
  <c r="X17" i="3" s="1"/>
  <c r="Y18" i="3" s="1"/>
  <c r="Y17" i="3" s="1"/>
  <c r="BD29" i="1" l="1"/>
  <c r="BD31" i="1" s="1"/>
  <c r="BD28" i="1" s="1"/>
  <c r="BE30" i="1"/>
  <c r="Q34" i="3"/>
  <c r="R35" i="3" s="1"/>
  <c r="M31" i="3"/>
  <c r="M30" i="3" s="1"/>
  <c r="P23" i="3"/>
  <c r="Q24" i="3" s="1"/>
  <c r="L39" i="3"/>
  <c r="M21" i="3"/>
  <c r="Z18" i="3"/>
  <c r="Z17" i="3" s="1"/>
  <c r="BF30" i="1" l="1"/>
  <c r="BE29" i="1"/>
  <c r="BE31" i="1" s="1"/>
  <c r="BE28" i="1" s="1"/>
  <c r="R34" i="3"/>
  <c r="S35" i="3" s="1"/>
  <c r="N32" i="3"/>
  <c r="Q23" i="3"/>
  <c r="R24" i="3" s="1"/>
  <c r="M20" i="3"/>
  <c r="AA18" i="3"/>
  <c r="AA17" i="3" s="1"/>
  <c r="AB18" i="3" s="1"/>
  <c r="AB17" i="3" s="1"/>
  <c r="BG30" i="1" l="1"/>
  <c r="BF29" i="1"/>
  <c r="S34" i="3"/>
  <c r="T35" i="3" s="1"/>
  <c r="N31" i="3"/>
  <c r="N30" i="3" s="1"/>
  <c r="R23" i="3"/>
  <c r="S24" i="3" s="1"/>
  <c r="M39" i="3"/>
  <c r="N21" i="3"/>
  <c r="N20" i="3" s="1"/>
  <c r="AC18" i="3"/>
  <c r="AC17" i="3" s="1"/>
  <c r="AD18" i="3" s="1"/>
  <c r="BF31" i="1" l="1"/>
  <c r="BF28" i="1" s="1"/>
  <c r="BG29" i="1"/>
  <c r="BG31" i="1" s="1"/>
  <c r="BG28" i="1" s="1"/>
  <c r="BH30" i="1"/>
  <c r="AD17" i="3"/>
  <c r="AE18" i="3" s="1"/>
  <c r="AE17" i="3" s="1"/>
  <c r="AF18" i="3" s="1"/>
  <c r="AF17" i="3" s="1"/>
  <c r="T34" i="3"/>
  <c r="U35" i="3" s="1"/>
  <c r="O32" i="3"/>
  <c r="S23" i="3"/>
  <c r="T24" i="3" s="1"/>
  <c r="O21" i="3"/>
  <c r="BH29" i="1" l="1"/>
  <c r="BH31" i="1" s="1"/>
  <c r="BH28" i="1" s="1"/>
  <c r="BI30" i="1"/>
  <c r="U34" i="3"/>
  <c r="V35" i="3" s="1"/>
  <c r="O31" i="3"/>
  <c r="O30" i="3" s="1"/>
  <c r="N39" i="3"/>
  <c r="T23" i="3"/>
  <c r="U24" i="3" s="1"/>
  <c r="O20" i="3"/>
  <c r="BI29" i="1" l="1"/>
  <c r="BI31" i="1" s="1"/>
  <c r="BI28" i="1" s="1"/>
  <c r="BJ30" i="1"/>
  <c r="V34" i="3"/>
  <c r="W35" i="3" s="1"/>
  <c r="P32" i="3"/>
  <c r="U23" i="3"/>
  <c r="V24" i="3" s="1"/>
  <c r="P21" i="3"/>
  <c r="BJ29" i="1" l="1"/>
  <c r="BJ31" i="1" s="1"/>
  <c r="BJ28" i="1" s="1"/>
  <c r="B5" i="1" s="1"/>
  <c r="B4" i="4" s="1"/>
  <c r="B5" i="4" s="1"/>
  <c r="BK30" i="1"/>
  <c r="W34" i="3"/>
  <c r="X35" i="3" s="1"/>
  <c r="P31" i="3"/>
  <c r="P30" i="3" s="1"/>
  <c r="V23" i="3"/>
  <c r="O39" i="3"/>
  <c r="P20" i="3"/>
  <c r="W24" i="3" l="1"/>
  <c r="W23" i="3" s="1"/>
  <c r="V16" i="3"/>
  <c r="BL30" i="1"/>
  <c r="BK29" i="1"/>
  <c r="BK31" i="1" s="1"/>
  <c r="BK28" i="1" s="1"/>
  <c r="X34" i="3"/>
  <c r="Y35" i="3" s="1"/>
  <c r="Q32" i="3"/>
  <c r="Q21" i="3"/>
  <c r="X24" i="3" l="1"/>
  <c r="W16" i="3"/>
  <c r="BM30" i="1"/>
  <c r="BL29" i="1"/>
  <c r="Y34" i="3"/>
  <c r="Z35" i="3" s="1"/>
  <c r="Q31" i="3"/>
  <c r="Q30" i="3" s="1"/>
  <c r="X23" i="3"/>
  <c r="Q20" i="3"/>
  <c r="P39" i="3"/>
  <c r="Y24" i="3" l="1"/>
  <c r="X16" i="3"/>
  <c r="BN30" i="1"/>
  <c r="BM29" i="1"/>
  <c r="BM31" i="1" s="1"/>
  <c r="BM28" i="1" s="1"/>
  <c r="BL31" i="1"/>
  <c r="BL28" i="1"/>
  <c r="Z34" i="3"/>
  <c r="AA35" i="3" s="1"/>
  <c r="R32" i="3"/>
  <c r="Y23" i="3"/>
  <c r="R21" i="3"/>
  <c r="Z24" i="3" l="1"/>
  <c r="Y16" i="3"/>
  <c r="BO30" i="1"/>
  <c r="BN29" i="1"/>
  <c r="BN31" i="1" s="1"/>
  <c r="BN28" i="1" s="1"/>
  <c r="AA34" i="3"/>
  <c r="AB35" i="3" s="1"/>
  <c r="R31" i="3"/>
  <c r="R30" i="3" s="1"/>
  <c r="Z23" i="3"/>
  <c r="R20" i="3"/>
  <c r="Q39" i="3"/>
  <c r="AA24" i="3" l="1"/>
  <c r="Z16" i="3"/>
  <c r="BP30" i="1"/>
  <c r="BO29" i="1"/>
  <c r="BO31" i="1" s="1"/>
  <c r="BO28" i="1" s="1"/>
  <c r="AB34" i="3"/>
  <c r="AC35" i="3" s="1"/>
  <c r="S32" i="3"/>
  <c r="AA23" i="3"/>
  <c r="S21" i="3"/>
  <c r="AB24" i="3" l="1"/>
  <c r="AA16" i="3"/>
  <c r="BQ30" i="1"/>
  <c r="BP29" i="1"/>
  <c r="BP31" i="1" s="1"/>
  <c r="BP28" i="1" s="1"/>
  <c r="AC34" i="3"/>
  <c r="AD35" i="3" s="1"/>
  <c r="S31" i="3"/>
  <c r="S30" i="3" s="1"/>
  <c r="AB23" i="3"/>
  <c r="S20" i="3"/>
  <c r="R39" i="3"/>
  <c r="AC24" i="3" l="1"/>
  <c r="AC23" i="3" s="1"/>
  <c r="AB16" i="3"/>
  <c r="BR30" i="1"/>
  <c r="BQ29" i="1"/>
  <c r="BQ31" i="1" s="1"/>
  <c r="BQ28" i="1" s="1"/>
  <c r="AD34" i="3"/>
  <c r="AE35" i="3" s="1"/>
  <c r="AE34" i="3" s="1"/>
  <c r="AF35" i="3" s="1"/>
  <c r="AF34" i="3" s="1"/>
  <c r="T32" i="3"/>
  <c r="T21" i="3"/>
  <c r="AD24" i="3" l="1"/>
  <c r="AD23" i="3" s="1"/>
  <c r="AC16" i="3"/>
  <c r="BS30" i="1"/>
  <c r="BR29" i="1"/>
  <c r="BR31" i="1" s="1"/>
  <c r="BR28" i="1" s="1"/>
  <c r="T31" i="3"/>
  <c r="T30" i="3" s="1"/>
  <c r="T20" i="3"/>
  <c r="S39" i="3"/>
  <c r="AE24" i="3" l="1"/>
  <c r="AE23" i="3" s="1"/>
  <c r="AD16" i="3"/>
  <c r="BT30" i="1"/>
  <c r="BS29" i="1"/>
  <c r="BS31" i="1" s="1"/>
  <c r="BS28" i="1" s="1"/>
  <c r="U32" i="3"/>
  <c r="U21" i="3"/>
  <c r="AF24" i="3" l="1"/>
  <c r="AF23" i="3" s="1"/>
  <c r="AF16" i="3" s="1"/>
  <c r="AE16" i="3"/>
  <c r="BU30" i="1"/>
  <c r="BT29" i="1"/>
  <c r="BT31" i="1" s="1"/>
  <c r="BT28" i="1" s="1"/>
  <c r="T39" i="3"/>
  <c r="U31" i="3"/>
  <c r="U30" i="3" s="1"/>
  <c r="U20" i="3"/>
  <c r="BV30" i="1" l="1"/>
  <c r="BU29" i="1"/>
  <c r="BU31" i="1" s="1"/>
  <c r="BU28" i="1" s="1"/>
  <c r="V32" i="3"/>
  <c r="V21" i="3"/>
  <c r="BW30" i="1" l="1"/>
  <c r="BV29" i="1"/>
  <c r="BV31" i="1" s="1"/>
  <c r="BV28" i="1" s="1"/>
  <c r="U39" i="3"/>
  <c r="V31" i="3"/>
  <c r="V30" i="3" s="1"/>
  <c r="V20" i="3"/>
  <c r="BX30" i="1" l="1"/>
  <c r="BW29" i="1"/>
  <c r="BW31" i="1" s="1"/>
  <c r="BW28" i="1" s="1"/>
  <c r="W32" i="3"/>
  <c r="W21" i="3"/>
  <c r="BY30" i="1" l="1"/>
  <c r="BX29" i="1"/>
  <c r="BX31" i="1" s="1"/>
  <c r="BX28" i="1" s="1"/>
  <c r="V39" i="3"/>
  <c r="W31" i="3"/>
  <c r="W30" i="3" s="1"/>
  <c r="W20" i="3"/>
  <c r="BZ30" i="1" l="1"/>
  <c r="BY29" i="1"/>
  <c r="BY31" i="1" s="1"/>
  <c r="BY28" i="1" s="1"/>
  <c r="X32" i="3"/>
  <c r="X21" i="3"/>
  <c r="CA30" i="1" l="1"/>
  <c r="BZ29" i="1"/>
  <c r="BZ31" i="1" s="1"/>
  <c r="BZ28" i="1" s="1"/>
  <c r="W39" i="3"/>
  <c r="X31" i="3"/>
  <c r="X30" i="3" s="1"/>
  <c r="X20" i="3"/>
  <c r="CB30" i="1" l="1"/>
  <c r="CA29" i="1"/>
  <c r="CA31" i="1" s="1"/>
  <c r="CA28" i="1" s="1"/>
  <c r="Y32" i="3"/>
  <c r="Y21" i="3"/>
  <c r="CC30" i="1" l="1"/>
  <c r="CB29" i="1"/>
  <c r="CB31" i="1" s="1"/>
  <c r="CB28" i="1" s="1"/>
  <c r="X39" i="3"/>
  <c r="Y31" i="3"/>
  <c r="Y30" i="3" s="1"/>
  <c r="Y20" i="3"/>
  <c r="CD30" i="1" l="1"/>
  <c r="CD31" i="1" s="1"/>
  <c r="CD28" i="1" s="1"/>
  <c r="CC29" i="1"/>
  <c r="CC31" i="1" s="1"/>
  <c r="CC28" i="1" s="1"/>
  <c r="Z32" i="3"/>
  <c r="Z21" i="3"/>
  <c r="Y39" i="3" l="1"/>
  <c r="Z31" i="3"/>
  <c r="Z30" i="3" s="1"/>
  <c r="Z20" i="3"/>
  <c r="AA32" i="3" l="1"/>
  <c r="AA21" i="3"/>
  <c r="Z39" i="3" l="1"/>
  <c r="AA31" i="3"/>
  <c r="AA30" i="3" s="1"/>
  <c r="AA20" i="3"/>
  <c r="AB32" i="3" l="1"/>
  <c r="AB21" i="3"/>
  <c r="AA39" i="3" l="1"/>
  <c r="AB31" i="3"/>
  <c r="AB30" i="3" s="1"/>
  <c r="AB20" i="3"/>
  <c r="AC32" i="3" l="1"/>
  <c r="AC21" i="3"/>
  <c r="AB39" i="3" l="1"/>
  <c r="AC31" i="3"/>
  <c r="AC30" i="3" s="1"/>
  <c r="AC20" i="3"/>
  <c r="AD32" i="3" l="1"/>
  <c r="AD31" i="3" s="1"/>
  <c r="AD30" i="3" s="1"/>
  <c r="AD21" i="3"/>
  <c r="AC39" i="3" l="1"/>
  <c r="AD20" i="3"/>
  <c r="AE32" i="3" l="1"/>
  <c r="AE31" i="3" s="1"/>
  <c r="AE30" i="3" s="1"/>
  <c r="AE21" i="3"/>
  <c r="AE20" i="3" s="1"/>
  <c r="AD39" i="3" l="1"/>
  <c r="AF32" i="3"/>
  <c r="AF21" i="3"/>
  <c r="AF20" i="3" s="1"/>
  <c r="AF31" i="3" l="1"/>
  <c r="AE39" i="3"/>
  <c r="AF30" i="3" l="1"/>
  <c r="AF39" i="3" s="1"/>
  <c r="B5" i="3" s="1"/>
  <c r="B6" i="3" s="1"/>
  <c r="B6" i="4" l="1"/>
  <c r="B7" i="4" l="1"/>
  <c r="B3" i="4"/>
  <c r="B10" i="4" s="1"/>
  <c r="B11" i="4" l="1"/>
</calcChain>
</file>

<file path=xl/comments1.xml><?xml version="1.0" encoding="utf-8"?>
<comments xmlns="http://schemas.openxmlformats.org/spreadsheetml/2006/main">
  <authors>
    <author>Florence HEUSCHMIDT</author>
  </authors>
  <commentList>
    <comment ref="A24" authorId="0" shapeId="0">
      <text>
        <r>
          <rPr>
            <sz val="9"/>
            <color indexed="81"/>
            <rFont val="Tahoma"/>
            <family val="2"/>
          </rPr>
          <t>Pour forêt métropolitaine</t>
        </r>
      </text>
    </comment>
    <comment ref="A26" authorId="0" shapeId="0">
      <text>
        <r>
          <rPr>
            <sz val="9"/>
            <color indexed="81"/>
            <rFont val="Tahoma"/>
            <family val="2"/>
          </rPr>
          <t xml:space="preserve">La durée d’un projet de reboisement étant de 30 ans, les entretiens des premières années (dégagements) devant être effectués, le bois mort au sol, sur pied ou chablis sera négligé à la fois dans le scénario de projet et dans le scénario de référence, sauf les stocks déterminés comme d’intérêt écologique par l’inventaire IBP préalable. Les stocks de bois mort laissés sur la parcelle au moment du reboisement devront donc faire l’objet d’une estimation et seront ajoutés au compartiment du bois mort à condition qu’ils soient significatifs. </t>
        </r>
      </text>
    </comment>
    <comment ref="A30" authorId="0" shapeId="0">
      <text>
        <r>
          <rPr>
            <sz val="9"/>
            <color indexed="81"/>
            <rFont val="Tahoma"/>
            <family val="2"/>
          </rPr>
          <t>colonisation lente par des accrus ayant une croissance linéaire de 1 m3/ha/an en volume bois fort (dès l’année 0), donc atteignant un volume bois fort de 30 m3/ha au bout de 30 ans. 
Pour les projets situés dans les GRECO de l’IGN « Méditerranée » et « Corse », pour tenir compte de conditions de production plus faibles et être plus réaliste, cette valeur par défaut sera fixée à 0,5 m3/ha/an en volume bois fort.</t>
        </r>
      </text>
    </comment>
    <comment ref="A31" authorId="0" shapeId="0">
      <text>
        <r>
          <rPr>
            <sz val="9"/>
            <color indexed="81"/>
            <rFont val="Tahoma"/>
            <family val="2"/>
          </rPr>
          <t>Pour forêt métropolitaine</t>
        </r>
      </text>
    </comment>
    <comment ref="A39" authorId="0" shapeId="0">
      <text>
        <r>
          <rPr>
            <b/>
            <sz val="9"/>
            <color indexed="81"/>
            <rFont val="Tahoma"/>
            <family val="2"/>
          </rPr>
          <t>stocks limités à une profondeur de 30 cm</t>
        </r>
      </text>
    </comment>
  </commentList>
</comments>
</file>

<file path=xl/comments2.xml><?xml version="1.0" encoding="utf-8"?>
<comments xmlns="http://schemas.openxmlformats.org/spreadsheetml/2006/main">
  <authors>
    <author>Florence HEUSCHMIDT</author>
  </authors>
  <commentList>
    <comment ref="A16" authorId="0" shapeId="0">
      <text>
        <r>
          <rPr>
            <b/>
            <sz val="9"/>
            <color indexed="81"/>
            <rFont val="Tahoma"/>
            <family val="2"/>
          </rPr>
          <t>Stock de carbone au début de l'année n dans les produits bois déjà récoltés</t>
        </r>
      </text>
    </comment>
    <comment ref="A19" authorId="0" shapeId="0">
      <text>
        <r>
          <rPr>
            <b/>
            <sz val="9"/>
            <color indexed="81"/>
            <rFont val="Tahoma"/>
            <family val="2"/>
          </rPr>
          <t>Flux(n) = flux entrant de carbone au cours de l’année n (sur la période entre l’année n et l’année n+1),
c’est-à-dire le stock de carbone des produits bois récoltés (volume bois fort éclairci) au cours de l’année
n (= 0 en l’absence d’éclaircie). Flux(n) est exprimé en tCO2/ha.</t>
        </r>
      </text>
    </comment>
    <comment ref="A26" authorId="0" shapeId="0">
      <text>
        <r>
          <rPr>
            <sz val="9"/>
            <color indexed="81"/>
            <rFont val="Tahoma"/>
            <family val="2"/>
          </rPr>
          <t xml:space="preserve"> Porteur de projet devra intégrer un rendement
sciage pour les produits bois valorisés dans la catégorie « sciages » ; celui-ci est fixé par défaut à 50 %
(le reste étant valorisé en bois énergie, c’est-à-dire négligé car aucun temps de demi-vie est fixé pour
cette catégorie). Par exemple, une éclaircie qui viserait à produire 60 % de bois d’œuvre (= sciages)
constituerait un stock de carbone que pour 30 % du volume entrant.</t>
        </r>
      </text>
    </comment>
    <comment ref="A30" authorId="0" shapeId="0">
      <text>
        <r>
          <rPr>
            <b/>
            <sz val="9"/>
            <color indexed="81"/>
            <rFont val="Tahoma"/>
            <family val="2"/>
          </rPr>
          <t>Stock de carbone au début de l'année n dans les produits bois déjà récoltés</t>
        </r>
      </text>
    </comment>
  </commentList>
</comments>
</file>

<file path=xl/comments3.xml><?xml version="1.0" encoding="utf-8"?>
<comments xmlns="http://schemas.openxmlformats.org/spreadsheetml/2006/main">
  <authors>
    <author>Florence HEUSCHMIDT</author>
  </authors>
  <commentList>
    <comment ref="A21" authorId="0" shapeId="0">
      <text>
        <r>
          <rPr>
            <b/>
            <sz val="9"/>
            <color indexed="81"/>
            <rFont val="Tahoma"/>
            <family val="2"/>
          </rPr>
          <t>Flux entrant issu des produits bois récoltés au cours de l’année n (sur la période entre l’année n et l’année n+1) dans le scénario de projet</t>
        </r>
      </text>
    </comment>
    <comment ref="A24" authorId="0" shapeId="0">
      <text>
        <r>
          <rPr>
            <b/>
            <sz val="9"/>
            <color indexed="81"/>
            <rFont val="Tahoma"/>
            <family val="2"/>
          </rPr>
          <t>Flux entrant issu des produits bois récoltés au cours de l’année n (sur la période entre l’année n et l’année n+1) dans le scénario de référence
Si essence feuillus : pas d'éclaircie sur les 30ères années, 
si Résineux 1 éclaircie avec pour destination du bois industrie sur les 30ères années.</t>
        </r>
      </text>
    </comment>
  </commentList>
</comments>
</file>

<file path=xl/comments4.xml><?xml version="1.0" encoding="utf-8"?>
<comments xmlns="http://schemas.openxmlformats.org/spreadsheetml/2006/main">
  <authors>
    <author>Florence HEUSCHMIDT</author>
  </authors>
  <commentList>
    <comment ref="A1" authorId="0" shapeId="0">
      <text>
        <r>
          <rPr>
            <b/>
            <sz val="9"/>
            <color indexed="81"/>
            <rFont val="Tahoma"/>
            <family val="2"/>
          </rPr>
          <t xml:space="preserve">Pour les projets issus du reboisement d’un peuplement incendié ou du reboisement avec perturbation du sol (au moment du nettoyage et de la préparation du sol), on fera l’hypothèse que le carbone de la litière a été entièrement minéralisé ; on repartira alors d’une valeur nulle (hypothèse conservatrice).
Dans le cas du nettoyage partiel de la parcelle (pratique la plus vertueuse pour le sol), on fera l’hypothèse que la litière n’a pas été perturbée sur 50 % de la surface tandis qu’elle l’aura été sur les 50 % restants. Par conséquent, on appliquera l’équation 14 sur 50 % de la surface et on affectera sur les 50 % non impactés la constante de 10 tC/ha telle que préconisée par Arrouays et al. (2002) pour le compartiment de la litière. 
 </t>
        </r>
      </text>
    </comment>
  </commentList>
</comments>
</file>

<file path=xl/sharedStrings.xml><?xml version="1.0" encoding="utf-8"?>
<sst xmlns="http://schemas.openxmlformats.org/spreadsheetml/2006/main" count="310" uniqueCount="225">
  <si>
    <t>REA forêt</t>
  </si>
  <si>
    <t>REA produits</t>
  </si>
  <si>
    <t>Variables scénario de référence</t>
  </si>
  <si>
    <t>Variables scénario de projet</t>
  </si>
  <si>
    <t>Taux de carbone dans la matière sèche (en tC/tMS)</t>
  </si>
  <si>
    <t>FEB (facteur d'expansion "branches")</t>
  </si>
  <si>
    <t>di (infrandensité de l'essence) (en tMS/m3)</t>
  </si>
  <si>
    <t>Surface (ha)</t>
  </si>
  <si>
    <t>Litière à l'équilibre (en tC/ha)</t>
  </si>
  <si>
    <t>Peuplement incendié ou nettoyage et préparation du sol total</t>
  </si>
  <si>
    <t>L0 (carbone de la litière avant le projet de reboisement) (en tC/ha)</t>
  </si>
  <si>
    <t xml:space="preserve">Constantes </t>
  </si>
  <si>
    <t>Carbone organique du sol (n) (en tC/ha)</t>
  </si>
  <si>
    <t>Volume bois fort tige (n) (en m3/ha)</t>
  </si>
  <si>
    <t>Informations générales :</t>
  </si>
  <si>
    <t>R essence plantée  (ans)</t>
  </si>
  <si>
    <t>R' essence scénario référence (ans)</t>
  </si>
  <si>
    <t>Durée du projet (ans)</t>
  </si>
  <si>
    <t>n (années à partir du début du projet)</t>
  </si>
  <si>
    <t>Essence plantée</t>
  </si>
  <si>
    <t>Feuillus</t>
  </si>
  <si>
    <t>Conifères</t>
  </si>
  <si>
    <t xml:space="preserve">Infradensité (tMS/m3) </t>
  </si>
  <si>
    <t>Alisier torminal</t>
  </si>
  <si>
    <t>Aulne vert</t>
  </si>
  <si>
    <t>Cèdre de l’Atlas</t>
  </si>
  <si>
    <t>Charme</t>
  </si>
  <si>
    <t>Charme-houblon</t>
  </si>
  <si>
    <t>Châtaignier</t>
  </si>
  <si>
    <t>Chêne chevelu</t>
  </si>
  <si>
    <t>Chêne-liège</t>
  </si>
  <si>
    <t>Chêne pédonculé</t>
  </si>
  <si>
    <t>Chêne pubescent</t>
  </si>
  <si>
    <t>Chêne rouvre (sessile)</t>
  </si>
  <si>
    <t>Chêne tauzin</t>
  </si>
  <si>
    <t>Chêne vert</t>
  </si>
  <si>
    <t>Chênes indifférenciés</t>
  </si>
  <si>
    <t>Cornouiller mâle</t>
  </si>
  <si>
    <t>Cyprès</t>
  </si>
  <si>
    <t>Cytise aubour</t>
  </si>
  <si>
    <t>Douglas</t>
  </si>
  <si>
    <t>Epicéa commun</t>
  </si>
  <si>
    <t>Epicéa de Sitka</t>
  </si>
  <si>
    <t>Grands érables</t>
  </si>
  <si>
    <t>Petits érables</t>
  </si>
  <si>
    <t>Eucalyptus</t>
  </si>
  <si>
    <t>Hêtre</t>
  </si>
  <si>
    <t>Fruitiers</t>
  </si>
  <si>
    <t>If</t>
  </si>
  <si>
    <t>Mélèze d’Europe</t>
  </si>
  <si>
    <t>Mélèze du Japon</t>
  </si>
  <si>
    <t>Micocoulier</t>
  </si>
  <si>
    <t>Noyer</t>
  </si>
  <si>
    <t>Olivier</t>
  </si>
  <si>
    <t>Ormes</t>
  </si>
  <si>
    <t>Peupliers cultivés</t>
  </si>
  <si>
    <t>Peupliers non cultivés</t>
  </si>
  <si>
    <t>Essence</t>
  </si>
  <si>
    <t>Pin d'Alep</t>
  </si>
  <si>
    <t>Pin cembro</t>
  </si>
  <si>
    <t>Pin à crochets</t>
  </si>
  <si>
    <t>Pin laricio</t>
  </si>
  <si>
    <t>Pin maritime</t>
  </si>
  <si>
    <t>Pin mugho</t>
  </si>
  <si>
    <t>Pin noir d'Autriche</t>
  </si>
  <si>
    <t>Pin sylvestre</t>
  </si>
  <si>
    <t>Pin Weymouth</t>
  </si>
  <si>
    <t>Platanes</t>
  </si>
  <si>
    <t>Sapin méditerranéen</t>
  </si>
  <si>
    <t>Sapin de Nordmann</t>
  </si>
  <si>
    <t>Sapin pectiné</t>
  </si>
  <si>
    <t>Sapin de Vancouver</t>
  </si>
  <si>
    <t>Saules</t>
  </si>
  <si>
    <t>Tamaris</t>
  </si>
  <si>
    <t>Tilleuls</t>
  </si>
  <si>
    <t>Tremble</t>
  </si>
  <si>
    <t>Conifères (moyenne)</t>
  </si>
  <si>
    <t>Feuillus (moyenne)</t>
  </si>
  <si>
    <t>Pin pignon</t>
  </si>
  <si>
    <t>Arbousier</t>
  </si>
  <si>
    <t>Grands aulnes</t>
  </si>
  <si>
    <t>Bouleaux</t>
  </si>
  <si>
    <t>Chêne rouge d’Amérique</t>
  </si>
  <si>
    <t>Genévrier thurifère</t>
  </si>
  <si>
    <t>Frênes</t>
  </si>
  <si>
    <t>Merisier</t>
  </si>
  <si>
    <t>Mûrier</t>
  </si>
  <si>
    <t>Noisetier</t>
  </si>
  <si>
    <t>Robinier faux acacia</t>
  </si>
  <si>
    <t>Essence accrus</t>
  </si>
  <si>
    <t xml:space="preserve">REA produits (produits bois) (en tCO2) = </t>
  </si>
  <si>
    <t>t1/2 (temps de demi-vie des produits bois) (en années)</t>
  </si>
  <si>
    <t>Produits</t>
  </si>
  <si>
    <t>t1/2</t>
  </si>
  <si>
    <t>Bois de sciage</t>
  </si>
  <si>
    <t>Panneaux de bois</t>
  </si>
  <si>
    <t>Papier</t>
  </si>
  <si>
    <t>k (constante de décomposition pour une décomposition du premier ordre (en an-1)</t>
  </si>
  <si>
    <t xml:space="preserve">REE substitution (en tCO2) = </t>
  </si>
  <si>
    <t>REE substitution</t>
  </si>
  <si>
    <r>
      <t xml:space="preserve">CS (en tCO2/m3) </t>
    </r>
    <r>
      <rPr>
        <sz val="9"/>
        <color theme="1"/>
        <rFont val="Calibri"/>
        <family val="2"/>
        <scheme val="minor"/>
      </rPr>
      <t>(Valade et al., 2017)</t>
    </r>
  </si>
  <si>
    <t>BO</t>
  </si>
  <si>
    <t>BE</t>
  </si>
  <si>
    <t>BI (papier)</t>
  </si>
  <si>
    <t>BI (panneaux)</t>
  </si>
  <si>
    <t>CS  (pour quatre situations de reboisements durant les 30 premières années) (en tCO2/m3)</t>
  </si>
  <si>
    <t>Tous les feuillus</t>
  </si>
  <si>
    <t>Peuplier</t>
  </si>
  <si>
    <t>Pin maritime en gestion dynamique</t>
  </si>
  <si>
    <t>Résineux</t>
  </si>
  <si>
    <t xml:space="preserve">Type de reboisement </t>
  </si>
  <si>
    <t>Type de reboisement</t>
  </si>
  <si>
    <t>Pin maritime en gestion dynamique (3 éclaircies durant les 30 1ères années)</t>
  </si>
  <si>
    <t>CS (coefficient de substitution) (en tCO2/m3) scénario référence après récolte</t>
  </si>
  <si>
    <t>Type de friches</t>
  </si>
  <si>
    <t>Résineux pionniers (PM, PA, PS…)</t>
  </si>
  <si>
    <t>Reboisement</t>
  </si>
  <si>
    <t>RE (Réductions d'émissions) (en tCO2)</t>
  </si>
  <si>
    <t>REA (Réductions d'émissions anticipées)</t>
  </si>
  <si>
    <t>REA forêt (compartiments forestiers)</t>
  </si>
  <si>
    <t>REA produits (produits bois)</t>
  </si>
  <si>
    <t>REE substitution (Réductions d'émissions de l'empreinte)</t>
  </si>
  <si>
    <t>RE totales</t>
  </si>
  <si>
    <t>REA forêt générables (avec rabais)</t>
  </si>
  <si>
    <t>REA produits générables (avec rabais)</t>
  </si>
  <si>
    <t>REE substitution générables (avec rabais)</t>
  </si>
  <si>
    <t>RE totales générables (avec rabais)</t>
  </si>
  <si>
    <t xml:space="preserve">Rabais </t>
  </si>
  <si>
    <t>Applicabilité</t>
  </si>
  <si>
    <t xml:space="preserve">Analyse économique de l’additionnalité </t>
  </si>
  <si>
    <t>Estimation des coûts et recettes dans le calcul de VAN</t>
  </si>
  <si>
    <t xml:space="preserve">Risques généraux difficilement maîtrisables </t>
  </si>
  <si>
    <t>Obligatoire</t>
  </si>
  <si>
    <t xml:space="preserve">Risque incendie </t>
  </si>
  <si>
    <t>Non justification de la classe de production</t>
  </si>
  <si>
    <t xml:space="preserve">Valeur </t>
  </si>
  <si>
    <t>Réalisée</t>
  </si>
  <si>
    <t>Départements avec risque très faible ou faible</t>
  </si>
  <si>
    <t>Départements avec risque moyen</t>
  </si>
  <si>
    <t>Départements avec risque fort ou très fort</t>
  </si>
  <si>
    <t>Non démontrée</t>
  </si>
  <si>
    <t>Démontrée</t>
  </si>
  <si>
    <t>Effectuée par un professionnel forestier</t>
  </si>
  <si>
    <t>Départements sans risque ou risque négligeable</t>
  </si>
  <si>
    <t>Effectuée par le propriétaire</t>
  </si>
  <si>
    <t>Situation de référence</t>
  </si>
  <si>
    <t>Embroussaillement</t>
  </si>
  <si>
    <t>Culture agricole</t>
  </si>
  <si>
    <t>Nature de prairie ou pâture</t>
  </si>
  <si>
    <t>di (infradensité de l'essence) (en tMS/m3)</t>
  </si>
  <si>
    <t>Piquet</t>
  </si>
  <si>
    <t>Essence Balivable</t>
  </si>
  <si>
    <t>Charme, chênes, hêtre, autres feuillus</t>
  </si>
  <si>
    <t>Robinier</t>
  </si>
  <si>
    <t>Risque incendie</t>
  </si>
  <si>
    <t>Départements avec risque négligeable, très faible, faible ou moyen</t>
  </si>
  <si>
    <t>REA forêt (compartiments forestiers) (en tCO2) =</t>
  </si>
  <si>
    <t>Incendié</t>
  </si>
  <si>
    <t>Nettoyage et préparation du sol total</t>
  </si>
  <si>
    <t>Incendié et nettoyage et préparation du sol total</t>
  </si>
  <si>
    <t>Nettoyage partiel</t>
  </si>
  <si>
    <t>n (années civiles à partir du début du projet) (égal au max entre R et R')</t>
  </si>
  <si>
    <t>CS (coefficient de substitution) (en tCO2/m3) scénario projet (après récolte à l'année 0)</t>
  </si>
  <si>
    <t>Essences</t>
  </si>
  <si>
    <t>Vérification terrain à n+5</t>
  </si>
  <si>
    <t>Régions</t>
  </si>
  <si>
    <t>Type de projets</t>
  </si>
  <si>
    <t>Essence objectif (hors feuillus précieux, peupliers et noyers)</t>
  </si>
  <si>
    <t>Feuillus précieux</t>
  </si>
  <si>
    <t>Autres</t>
  </si>
  <si>
    <t>Prévention des risques naturels</t>
  </si>
  <si>
    <t>Difficulté technique (ex: plantation sur pente &gt; 30%)</t>
  </si>
  <si>
    <t>Restauration écologique</t>
  </si>
  <si>
    <t>Conservation des ressources génétiques forestières</t>
  </si>
  <si>
    <t>Expérimentation sylvicole avec un suivi par un organisme de R&amp;D</t>
  </si>
  <si>
    <t>Peupliers ou noyers</t>
  </si>
  <si>
    <t>Méditerranée ou Corse</t>
  </si>
  <si>
    <t>Autre</t>
  </si>
  <si>
    <t>Pas réalisée</t>
  </si>
  <si>
    <t>REA forêt (compartiments forestiers) (en tCO2/ha) =</t>
  </si>
  <si>
    <t xml:space="preserve">REA produits (produits bois) (en tCO2/ha) = </t>
  </si>
  <si>
    <t xml:space="preserve">REE substitution (en tCO2/ha) = </t>
  </si>
  <si>
    <t>Biomasse Aérienne (n) (en tMS/ha)</t>
  </si>
  <si>
    <t>Biomasse Racinaire (n) (en tMS/ha)</t>
  </si>
  <si>
    <t>Litière (n) (en tC/ha)</t>
  </si>
  <si>
    <t>Bois Mort (n) (en tC/ha)</t>
  </si>
  <si>
    <t>S projet (n) (en tCO2/ha)</t>
  </si>
  <si>
    <t>S réf (n) (en tCO2/ha)</t>
  </si>
  <si>
    <t>Flux entrant de carbone en bois de sciage au cours de l'année n et dégradation (en tC/ha)</t>
  </si>
  <si>
    <t>Dégradation du bois de sciage déjà récoltés (en tC/ha)</t>
  </si>
  <si>
    <t>C projet Bois de sciage (n) (en tC/ha)</t>
  </si>
  <si>
    <t>C projet Panneaux de bois (n) (en tC/ha)</t>
  </si>
  <si>
    <t>Dégradation des panneaux de bois déjà récoltés (en tC/ha)</t>
  </si>
  <si>
    <t>Flux entrant de carbone en panneaux de bois  au cours de l'année n et dégradation (en tC/ha)</t>
  </si>
  <si>
    <t>C projet Papier (n) (en tC/ha)</t>
  </si>
  <si>
    <t>Dégradation des papiers déjà récoltés (en tC/ha)</t>
  </si>
  <si>
    <t>Flux entrant de carbone en papiers au cours de l'année n et dégradation (en tC/ha)</t>
  </si>
  <si>
    <t>C projet (n) (en tC/ha)</t>
  </si>
  <si>
    <t>C réf (n) (en tC/ha)</t>
  </si>
  <si>
    <t>C projet (n) - C réf (n) (en tC/ha)</t>
  </si>
  <si>
    <t>CS*Flux projet (n) (en TCO2/ha)</t>
  </si>
  <si>
    <t>Flux projet (n) (en m3/ha)</t>
  </si>
  <si>
    <t>Flux réf (n) (en m3/ha)</t>
  </si>
  <si>
    <t>CS*Flux réf (n) (en TCO2/ha)</t>
  </si>
  <si>
    <t>CSp*Flux projet (n) - CSr*Flux réf (n) (en tCO2/ha)</t>
  </si>
  <si>
    <r>
      <t>deltaS(30) (différence de stock de C à l’année 30 entre le projet et le scénario de référence) (en</t>
    </r>
    <r>
      <rPr>
        <b/>
        <sz val="11"/>
        <color theme="1"/>
        <rFont val="Calibri"/>
        <family val="2"/>
        <scheme val="minor"/>
      </rPr>
      <t xml:space="preserve"> tCO2/ha</t>
    </r>
    <r>
      <rPr>
        <sz val="11"/>
        <color theme="1"/>
        <rFont val="Calibri"/>
        <family val="2"/>
        <scheme val="minor"/>
      </rPr>
      <t xml:space="preserve"> à 30 ans)</t>
    </r>
  </si>
  <si>
    <r>
      <t xml:space="preserve">deltaS(30) (différence de stock de C à l’année 30 entre le projet et le scénario de référence) (en </t>
    </r>
    <r>
      <rPr>
        <b/>
        <sz val="11"/>
        <color theme="1"/>
        <rFont val="Calibri"/>
        <family val="2"/>
        <scheme val="minor"/>
      </rPr>
      <t>tCO2</t>
    </r>
    <r>
      <rPr>
        <sz val="11"/>
        <color theme="1"/>
        <rFont val="Calibri"/>
        <family val="2"/>
        <scheme val="minor"/>
      </rPr>
      <t xml:space="preserve"> à 30 ans)</t>
    </r>
  </si>
  <si>
    <r>
      <t xml:space="preserve">moyenne du carbone stocké dans le projet pendant sa durée de vie (en </t>
    </r>
    <r>
      <rPr>
        <b/>
        <sz val="11"/>
        <color theme="1"/>
        <rFont val="Calibri"/>
        <family val="2"/>
        <scheme val="minor"/>
      </rPr>
      <t>tCO2/ha/an</t>
    </r>
    <r>
      <rPr>
        <sz val="11"/>
        <color theme="1"/>
        <rFont val="Calibri"/>
        <family val="2"/>
        <scheme val="minor"/>
      </rPr>
      <t xml:space="preserve">) </t>
    </r>
  </si>
  <si>
    <r>
      <t xml:space="preserve">moyenne du carbone stocké dans le projet pendant sa durée de vie (en </t>
    </r>
    <r>
      <rPr>
        <b/>
        <sz val="11"/>
        <color theme="1"/>
        <rFont val="Calibri"/>
        <family val="2"/>
        <scheme val="minor"/>
      </rPr>
      <t>tCO2/an</t>
    </r>
    <r>
      <rPr>
        <sz val="11"/>
        <color theme="1"/>
        <rFont val="Calibri"/>
        <family val="2"/>
        <scheme val="minor"/>
      </rPr>
      <t xml:space="preserve">) </t>
    </r>
  </si>
  <si>
    <r>
      <t xml:space="preserve">moyenne du carbone stocké dans le scénario de référence pendant sa durée de vie (en </t>
    </r>
    <r>
      <rPr>
        <b/>
        <sz val="11"/>
        <color theme="1"/>
        <rFont val="Calibri"/>
        <family val="2"/>
        <scheme val="minor"/>
      </rPr>
      <t>tCO2/ha/an</t>
    </r>
    <r>
      <rPr>
        <sz val="11"/>
        <color theme="1"/>
        <rFont val="Calibri"/>
        <family val="2"/>
        <scheme val="minor"/>
      </rPr>
      <t xml:space="preserve">) </t>
    </r>
  </si>
  <si>
    <r>
      <t xml:space="preserve">moyenne du carbone stocké dans le scénario de référence pendant sa durée de vie (en </t>
    </r>
    <r>
      <rPr>
        <b/>
        <sz val="11"/>
        <color theme="1"/>
        <rFont val="Calibri"/>
        <family val="2"/>
        <scheme val="minor"/>
      </rPr>
      <t>tCO2/an</t>
    </r>
    <r>
      <rPr>
        <sz val="11"/>
        <color theme="1"/>
        <rFont val="Calibri"/>
        <family val="2"/>
        <scheme val="minor"/>
      </rPr>
      <t xml:space="preserve">) </t>
    </r>
  </si>
  <si>
    <r>
      <t xml:space="preserve">différence de la moyenne du carbone stocké dans le projet par rapport au scénario de référence pendant sa durée de vie (en </t>
    </r>
    <r>
      <rPr>
        <b/>
        <sz val="11"/>
        <color theme="1"/>
        <rFont val="Calibri"/>
        <family val="2"/>
        <scheme val="minor"/>
      </rPr>
      <t>tCO2/ha/an</t>
    </r>
    <r>
      <rPr>
        <sz val="11"/>
        <color theme="1"/>
        <rFont val="Calibri"/>
        <family val="2"/>
        <scheme val="minor"/>
      </rPr>
      <t xml:space="preserve">) </t>
    </r>
  </si>
  <si>
    <r>
      <t xml:space="preserve">différence de la moyenne du carbone stocké dans le projet par rapport au scénario de référence pendant sa durée de vie (en </t>
    </r>
    <r>
      <rPr>
        <b/>
        <sz val="11"/>
        <color theme="1"/>
        <rFont val="Calibri"/>
        <family val="2"/>
        <scheme val="minor"/>
      </rPr>
      <t>tCO2/an</t>
    </r>
    <r>
      <rPr>
        <sz val="11"/>
        <color theme="1"/>
        <rFont val="Calibri"/>
        <family val="2"/>
        <scheme val="minor"/>
      </rPr>
      <t xml:space="preserve">) </t>
    </r>
  </si>
  <si>
    <t>Moyenne</t>
  </si>
  <si>
    <t>Volume bois fort Bois de sciage (n) (en m3/ha)</t>
  </si>
  <si>
    <t>Volume  bois fort Panneaux de bois (n) (en m3/ha)</t>
  </si>
  <si>
    <t>Volume  bois fort Papier (n) (en m3/ha)</t>
  </si>
  <si>
    <t>Projet situé dans les GRECO de l'IGN "Méditerranée" et "Corse"</t>
  </si>
  <si>
    <t>GRECO IGN</t>
  </si>
  <si>
    <t>OUI</t>
  </si>
  <si>
    <t>NON</t>
  </si>
  <si>
    <t>Si embroussaillement de la parcelle, enfrichement par des :</t>
  </si>
  <si>
    <t>Analyse économique de l’additionnalité</t>
  </si>
  <si>
    <t>Risques généraux difficilement maîtrisables</t>
  </si>
  <si>
    <t>Projet CFBL de reboisement dans le Morvan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</si>
</sst>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9"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2"/>
      <color theme="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b/>
      <sz val="22"/>
      <color theme="1"/>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FAEB"/>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99FF99"/>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medium">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86">
    <xf numFmtId="0" fontId="0" fillId="0" borderId="0" xfId="0"/>
    <xf numFmtId="0" fontId="0" fillId="0" borderId="0" xfId="0" applyAlignment="1">
      <alignment vertical="center" wrapText="1"/>
    </xf>
    <xf numFmtId="0" fontId="0" fillId="4" borderId="4" xfId="0" applyFill="1" applyBorder="1" applyAlignment="1">
      <alignment vertical="center" wrapText="1"/>
    </xf>
    <xf numFmtId="0" fontId="0" fillId="4" borderId="6" xfId="0" applyFill="1" applyBorder="1" applyAlignment="1">
      <alignment vertical="center" wrapText="1"/>
    </xf>
    <xf numFmtId="0" fontId="0" fillId="4" borderId="8" xfId="0" applyFill="1" applyBorder="1" applyAlignment="1">
      <alignment vertical="center" wrapText="1"/>
    </xf>
    <xf numFmtId="0" fontId="0" fillId="6" borderId="0" xfId="0" applyFill="1"/>
    <xf numFmtId="0" fontId="1" fillId="0" borderId="0" xfId="0" applyFont="1" applyFill="1" applyBorder="1" applyAlignment="1">
      <alignment vertical="center" wrapText="1"/>
    </xf>
    <xf numFmtId="0" fontId="0" fillId="0" borderId="0" xfId="0" applyFill="1" applyBorder="1"/>
    <xf numFmtId="0" fontId="0" fillId="0" borderId="0" xfId="0" applyFill="1" applyBorder="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4" borderId="14" xfId="0" applyFill="1" applyBorder="1" applyAlignment="1">
      <alignment vertical="center" wrapText="1"/>
    </xf>
    <xf numFmtId="0" fontId="0" fillId="7" borderId="3" xfId="0" applyFill="1" applyBorder="1" applyAlignment="1">
      <alignment horizontal="center" vertical="center"/>
    </xf>
    <xf numFmtId="0" fontId="0" fillId="7" borderId="10" xfId="0" applyFill="1" applyBorder="1" applyAlignment="1">
      <alignment horizontal="center" vertical="center"/>
    </xf>
    <xf numFmtId="0" fontId="0" fillId="7" borderId="21" xfId="0" applyFill="1" applyBorder="1" applyAlignment="1">
      <alignment horizontal="center" vertical="center"/>
    </xf>
    <xf numFmtId="0" fontId="0" fillId="0" borderId="0" xfId="0" applyFill="1" applyBorder="1" applyAlignment="1">
      <alignment horizontal="center" vertical="center"/>
    </xf>
    <xf numFmtId="0" fontId="0" fillId="0" borderId="0" xfId="0" applyFill="1"/>
    <xf numFmtId="0" fontId="0" fillId="0" borderId="3" xfId="0" applyFill="1" applyBorder="1" applyAlignment="1">
      <alignment horizontal="center" vertical="center"/>
    </xf>
    <xf numFmtId="0" fontId="0" fillId="2" borderId="6" xfId="0" applyFill="1" applyBorder="1" applyAlignment="1">
      <alignment vertical="center" wrapText="1"/>
    </xf>
    <xf numFmtId="0" fontId="4" fillId="0" borderId="0" xfId="0" applyFont="1" applyFill="1" applyBorder="1" applyAlignment="1">
      <alignment vertical="center" wrapText="1"/>
    </xf>
    <xf numFmtId="0" fontId="4" fillId="5" borderId="22" xfId="0" applyFont="1" applyFill="1" applyBorder="1" applyAlignment="1">
      <alignment vertical="center" wrapText="1"/>
    </xf>
    <xf numFmtId="0" fontId="0" fillId="7" borderId="9" xfId="0" applyFill="1" applyBorder="1" applyAlignment="1">
      <alignment horizontal="center"/>
    </xf>
    <xf numFmtId="0" fontId="0" fillId="4" borderId="6" xfId="0" applyFill="1" applyBorder="1" applyAlignment="1">
      <alignment horizontal="center" vertical="center" wrapText="1"/>
    </xf>
    <xf numFmtId="0" fontId="0" fillId="0" borderId="20" xfId="0" applyFill="1" applyBorder="1" applyAlignment="1">
      <alignment horizontal="center" vertical="center"/>
    </xf>
    <xf numFmtId="0" fontId="0" fillId="7" borderId="11" xfId="0" applyFill="1" applyBorder="1" applyAlignment="1">
      <alignment horizontal="center" vertical="center"/>
    </xf>
    <xf numFmtId="0" fontId="0" fillId="7" borderId="26" xfId="0" applyFill="1" applyBorder="1" applyAlignment="1">
      <alignment horizontal="center" vertical="center"/>
    </xf>
    <xf numFmtId="0" fontId="0" fillId="0" borderId="27" xfId="0" applyFill="1" applyBorder="1" applyAlignment="1">
      <alignment horizontal="center" vertical="center"/>
    </xf>
    <xf numFmtId="0" fontId="0" fillId="3" borderId="25" xfId="0" applyFill="1" applyBorder="1" applyAlignment="1">
      <alignment horizontal="center" vertical="center"/>
    </xf>
    <xf numFmtId="0" fontId="0" fillId="7" borderId="7" xfId="0" applyFill="1" applyBorder="1" applyAlignment="1">
      <alignment horizontal="center" vertical="center"/>
    </xf>
    <xf numFmtId="0" fontId="0" fillId="7" borderId="28" xfId="0" applyFill="1" applyBorder="1" applyAlignment="1">
      <alignment horizontal="center" vertical="center"/>
    </xf>
    <xf numFmtId="164" fontId="0" fillId="7" borderId="23" xfId="0" applyNumberFormat="1" applyFill="1" applyBorder="1" applyAlignment="1">
      <alignment horizontal="center" vertical="center"/>
    </xf>
    <xf numFmtId="164" fontId="0" fillId="7" borderId="9" xfId="0" applyNumberFormat="1" applyFill="1" applyBorder="1" applyAlignment="1">
      <alignment horizontal="center" vertical="center"/>
    </xf>
    <xf numFmtId="164" fontId="0" fillId="7" borderId="3" xfId="0" applyNumberFormat="1" applyFill="1" applyBorder="1" applyAlignment="1">
      <alignment horizontal="center" vertical="center"/>
    </xf>
    <xf numFmtId="0" fontId="0" fillId="8" borderId="14" xfId="0" applyFill="1" applyBorder="1" applyAlignment="1">
      <alignment vertical="center" wrapText="1"/>
    </xf>
    <xf numFmtId="164" fontId="0" fillId="7" borderId="11" xfId="0" applyNumberFormat="1" applyFill="1" applyBorder="1" applyAlignment="1">
      <alignment horizontal="center" vertical="center"/>
    </xf>
    <xf numFmtId="0" fontId="4" fillId="5" borderId="4" xfId="0" applyFont="1" applyFill="1" applyBorder="1" applyAlignment="1">
      <alignment horizontal="center" vertical="center" wrapText="1"/>
    </xf>
    <xf numFmtId="0" fontId="5" fillId="5" borderId="22" xfId="0" applyFont="1" applyFill="1" applyBorder="1" applyAlignment="1">
      <alignment vertical="center" wrapText="1"/>
    </xf>
    <xf numFmtId="0" fontId="0" fillId="7" borderId="5" xfId="0" applyFill="1" applyBorder="1" applyAlignment="1">
      <alignment horizontal="center" vertical="center"/>
    </xf>
    <xf numFmtId="0" fontId="0" fillId="7" borderId="3" xfId="0" applyFill="1" applyBorder="1" applyAlignment="1">
      <alignment horizontal="center" vertical="center" wrapText="1"/>
    </xf>
    <xf numFmtId="164" fontId="0" fillId="0" borderId="3" xfId="0" applyNumberFormat="1" applyFill="1" applyBorder="1" applyAlignment="1">
      <alignment horizontal="center" vertical="center"/>
    </xf>
    <xf numFmtId="0" fontId="0" fillId="0" borderId="7" xfId="0" applyBorder="1" applyAlignment="1">
      <alignment horizontal="center" vertical="center" wrapText="1"/>
    </xf>
    <xf numFmtId="2" fontId="0" fillId="7" borderId="23" xfId="0" applyNumberFormat="1" applyFill="1" applyBorder="1" applyAlignment="1">
      <alignment horizontal="center" vertical="center"/>
    </xf>
    <xf numFmtId="2" fontId="0" fillId="7" borderId="9" xfId="0" applyNumberFormat="1" applyFill="1" applyBorder="1" applyAlignment="1">
      <alignment horizontal="center" vertical="center"/>
    </xf>
    <xf numFmtId="164" fontId="0" fillId="0" borderId="0" xfId="0" applyNumberFormat="1" applyFill="1" applyBorder="1" applyAlignment="1">
      <alignment horizontal="center" vertical="center"/>
    </xf>
    <xf numFmtId="0" fontId="0" fillId="7" borderId="9" xfId="0" applyFill="1" applyBorder="1" applyAlignment="1">
      <alignment horizontal="center" vertical="center"/>
    </xf>
    <xf numFmtId="0" fontId="0" fillId="10" borderId="6" xfId="0" applyFill="1" applyBorder="1" applyAlignment="1">
      <alignment vertical="center" wrapText="1"/>
    </xf>
    <xf numFmtId="0" fontId="4" fillId="0" borderId="33"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0" fillId="0" borderId="0" xfId="0" applyAlignment="1">
      <alignment wrapText="1"/>
    </xf>
    <xf numFmtId="0" fontId="4" fillId="2" borderId="22" xfId="0" applyFont="1" applyFill="1" applyBorder="1" applyAlignment="1">
      <alignment horizontal="center" vertical="center" wrapText="1"/>
    </xf>
    <xf numFmtId="0" fontId="0" fillId="4" borderId="3" xfId="0" applyFill="1" applyBorder="1" applyAlignment="1">
      <alignment horizontal="center" vertical="center" wrapText="1"/>
    </xf>
    <xf numFmtId="0" fontId="1" fillId="4" borderId="3" xfId="0" applyFont="1" applyFill="1" applyBorder="1" applyAlignment="1">
      <alignment horizontal="center" vertical="center" wrapText="1"/>
    </xf>
    <xf numFmtId="0" fontId="0" fillId="0" borderId="34" xfId="0" applyFill="1" applyBorder="1" applyAlignment="1">
      <alignment horizontal="center" vertical="center" wrapText="1"/>
    </xf>
    <xf numFmtId="0" fontId="0" fillId="0" borderId="3" xfId="0" applyFill="1" applyBorder="1" applyAlignment="1">
      <alignment horizontal="center" vertical="center" wrapText="1"/>
    </xf>
    <xf numFmtId="0" fontId="0" fillId="7" borderId="5" xfId="0" applyFill="1" applyBorder="1" applyAlignment="1">
      <alignment horizontal="center" vertical="center" wrapText="1"/>
    </xf>
    <xf numFmtId="0" fontId="0" fillId="7" borderId="7" xfId="0" applyFill="1" applyBorder="1" applyAlignment="1">
      <alignment horizontal="center" vertical="center" wrapText="1"/>
    </xf>
    <xf numFmtId="0" fontId="0" fillId="0" borderId="0" xfId="0" applyFill="1" applyBorder="1" applyAlignment="1"/>
    <xf numFmtId="0" fontId="0" fillId="0" borderId="0" xfId="0" applyFill="1" applyBorder="1" applyAlignment="1">
      <alignment vertical="center"/>
    </xf>
    <xf numFmtId="0" fontId="0" fillId="0" borderId="30" xfId="0" applyFill="1" applyBorder="1"/>
    <xf numFmtId="0" fontId="0" fillId="0" borderId="30" xfId="0" applyFill="1" applyBorder="1" applyAlignment="1">
      <alignment horizontal="center" vertical="center"/>
    </xf>
    <xf numFmtId="164" fontId="0" fillId="0" borderId="7" xfId="0" applyNumberFormat="1" applyFill="1" applyBorder="1" applyAlignment="1">
      <alignment horizontal="center" vertical="center"/>
    </xf>
    <xf numFmtId="0" fontId="0" fillId="7" borderId="23" xfId="0" applyFill="1" applyBorder="1" applyAlignment="1">
      <alignment horizontal="center" vertical="center"/>
    </xf>
    <xf numFmtId="0" fontId="0" fillId="7" borderId="20" xfId="0" applyFill="1" applyBorder="1" applyAlignment="1">
      <alignment horizontal="center" vertical="center"/>
    </xf>
    <xf numFmtId="164" fontId="0" fillId="7" borderId="29" xfId="0" applyNumberFormat="1" applyFill="1" applyBorder="1" applyAlignment="1">
      <alignment horizontal="center" vertical="center"/>
    </xf>
    <xf numFmtId="0" fontId="0" fillId="0" borderId="20" xfId="0" applyFill="1" applyBorder="1" applyAlignment="1">
      <alignment horizontal="center" vertical="center" wrapText="1"/>
    </xf>
    <xf numFmtId="0" fontId="0" fillId="7" borderId="2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0" fillId="9" borderId="6" xfId="0" applyFill="1" applyBorder="1" applyAlignment="1">
      <alignment vertical="center" wrapText="1"/>
    </xf>
    <xf numFmtId="0" fontId="0" fillId="11" borderId="6" xfId="0" applyFill="1" applyBorder="1" applyAlignment="1">
      <alignment vertical="center" wrapText="1"/>
    </xf>
    <xf numFmtId="0" fontId="0" fillId="12" borderId="6" xfId="0" applyFill="1" applyBorder="1" applyAlignment="1">
      <alignment vertical="center" wrapText="1"/>
    </xf>
    <xf numFmtId="0" fontId="0" fillId="7" borderId="3" xfId="0" applyFont="1" applyFill="1" applyBorder="1" applyAlignment="1">
      <alignment horizontal="center" vertical="center" wrapText="1"/>
    </xf>
    <xf numFmtId="0" fontId="0" fillId="4" borderId="14" xfId="0" applyFont="1" applyFill="1" applyBorder="1" applyAlignment="1">
      <alignment horizontal="left" vertical="center" wrapText="1"/>
    </xf>
    <xf numFmtId="0" fontId="0" fillId="7" borderId="7" xfId="0" applyFont="1" applyFill="1" applyBorder="1" applyAlignment="1">
      <alignment horizontal="center" vertical="center" wrapText="1"/>
    </xf>
    <xf numFmtId="0" fontId="4" fillId="2" borderId="35" xfId="0" applyFont="1" applyFill="1" applyBorder="1" applyAlignment="1">
      <alignment horizontal="center" vertical="center"/>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0" fontId="1" fillId="10" borderId="33" xfId="0" applyFont="1" applyFill="1" applyBorder="1" applyAlignment="1">
      <alignment horizontal="center" vertical="center" wrapText="1"/>
    </xf>
    <xf numFmtId="0" fontId="0" fillId="4" borderId="47"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48" xfId="0" applyFill="1" applyBorder="1" applyAlignment="1">
      <alignment horizontal="center" vertical="center" wrapText="1"/>
    </xf>
    <xf numFmtId="0" fontId="1" fillId="10" borderId="49"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37" xfId="0" applyFill="1" applyBorder="1" applyAlignment="1">
      <alignment horizontal="center" vertical="center" wrapText="1"/>
    </xf>
    <xf numFmtId="0" fontId="0" fillId="4" borderId="14" xfId="0" applyFill="1" applyBorder="1" applyAlignment="1">
      <alignment horizontal="center" vertical="center" wrapText="1"/>
    </xf>
    <xf numFmtId="0" fontId="4" fillId="2" borderId="33"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0" xfId="0" applyFill="1" applyBorder="1" applyAlignment="1">
      <alignment horizontal="center" vertical="center" wrapText="1"/>
    </xf>
    <xf numFmtId="0" fontId="0" fillId="4" borderId="41" xfId="0" applyFill="1" applyBorder="1" applyAlignment="1">
      <alignment horizontal="center" vertical="center" wrapText="1"/>
    </xf>
    <xf numFmtId="0" fontId="4" fillId="2" borderId="25"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5" fontId="0" fillId="7" borderId="3" xfId="0" applyNumberFormat="1" applyFill="1" applyBorder="1" applyAlignment="1">
      <alignment horizontal="center" vertical="center"/>
    </xf>
    <xf numFmtId="1" fontId="0" fillId="7" borderId="5" xfId="0" applyNumberFormat="1" applyFill="1" applyBorder="1" applyAlignment="1">
      <alignment horizontal="center" vertical="center"/>
    </xf>
    <xf numFmtId="0" fontId="0" fillId="4" borderId="31" xfId="0" applyFill="1" applyBorder="1" applyAlignment="1">
      <alignment vertical="center" wrapText="1"/>
    </xf>
    <xf numFmtId="1" fontId="0" fillId="7" borderId="9" xfId="0" applyNumberFormat="1" applyFill="1" applyBorder="1" applyAlignment="1">
      <alignment horizontal="center" vertical="center"/>
    </xf>
    <xf numFmtId="0" fontId="0" fillId="3" borderId="5" xfId="0" applyFill="1" applyBorder="1" applyAlignment="1">
      <alignment horizontal="center" vertical="center"/>
    </xf>
    <xf numFmtId="1" fontId="0" fillId="7" borderId="23" xfId="0" applyNumberFormat="1" applyFill="1" applyBorder="1" applyAlignment="1">
      <alignment horizontal="center" vertical="center"/>
    </xf>
    <xf numFmtId="0" fontId="0" fillId="0" borderId="0" xfId="0" applyBorder="1"/>
    <xf numFmtId="0" fontId="0" fillId="7" borderId="23" xfId="0" applyFill="1" applyBorder="1" applyAlignment="1">
      <alignment horizontal="center"/>
    </xf>
    <xf numFmtId="1" fontId="0" fillId="13" borderId="5" xfId="0" applyNumberFormat="1" applyFill="1" applyBorder="1" applyAlignment="1">
      <alignment horizontal="center" vertical="center"/>
    </xf>
    <xf numFmtId="1" fontId="0" fillId="13" borderId="9" xfId="0" applyNumberFormat="1" applyFill="1" applyBorder="1" applyAlignment="1">
      <alignment horizontal="center" vertical="center"/>
    </xf>
    <xf numFmtId="165" fontId="0" fillId="9" borderId="25" xfId="0" applyNumberFormat="1" applyFill="1" applyBorder="1" applyAlignment="1">
      <alignment horizontal="center" vertical="center"/>
    </xf>
    <xf numFmtId="0" fontId="4" fillId="14" borderId="6" xfId="0" applyFont="1" applyFill="1" applyBorder="1" applyAlignment="1">
      <alignment horizontal="center" vertical="center" wrapText="1"/>
    </xf>
    <xf numFmtId="0" fontId="4" fillId="14" borderId="8" xfId="0" applyFont="1" applyFill="1" applyBorder="1" applyAlignment="1">
      <alignment horizontal="center" vertical="center" wrapText="1"/>
    </xf>
    <xf numFmtId="164" fontId="0" fillId="7" borderId="7" xfId="0" applyNumberFormat="1" applyFill="1" applyBorder="1" applyAlignment="1">
      <alignment horizontal="center" vertical="center"/>
    </xf>
    <xf numFmtId="0" fontId="0" fillId="0" borderId="7" xfId="0" applyFill="1" applyBorder="1" applyAlignment="1">
      <alignment horizontal="center" vertical="center"/>
    </xf>
    <xf numFmtId="165" fontId="0" fillId="0" borderId="0" xfId="0" applyNumberFormat="1" applyFill="1" applyBorder="1" applyAlignment="1">
      <alignment horizontal="center" vertical="center"/>
    </xf>
    <xf numFmtId="0" fontId="0" fillId="4" borderId="8" xfId="0" applyFill="1" applyBorder="1" applyAlignment="1">
      <alignment horizontal="center" vertical="center" wrapText="1"/>
    </xf>
    <xf numFmtId="0" fontId="0" fillId="15" borderId="6" xfId="0" applyFill="1" applyBorder="1" applyAlignment="1">
      <alignment vertical="center" wrapText="1"/>
    </xf>
    <xf numFmtId="165" fontId="0" fillId="7" borderId="11" xfId="0" applyNumberFormat="1" applyFill="1" applyBorder="1" applyAlignment="1">
      <alignment horizontal="center" vertical="center"/>
    </xf>
    <xf numFmtId="0" fontId="0" fillId="16" borderId="9" xfId="0" applyFill="1" applyBorder="1" applyAlignment="1">
      <alignment horizontal="center" vertical="center" wrapText="1"/>
    </xf>
    <xf numFmtId="0" fontId="1" fillId="10" borderId="54" xfId="0" applyFont="1" applyFill="1" applyBorder="1" applyAlignment="1">
      <alignment horizontal="center" vertical="center" wrapText="1"/>
    </xf>
    <xf numFmtId="0" fontId="0" fillId="4" borderId="39" xfId="0" applyFill="1" applyBorder="1" applyAlignment="1">
      <alignment horizontal="center" vertical="center" wrapText="1"/>
    </xf>
    <xf numFmtId="165" fontId="0" fillId="0" borderId="3" xfId="0" applyNumberFormat="1" applyBorder="1" applyAlignment="1">
      <alignment horizontal="center" vertical="center"/>
    </xf>
    <xf numFmtId="165" fontId="0" fillId="0" borderId="10" xfId="0" applyNumberFormat="1" applyBorder="1" applyAlignment="1">
      <alignment horizontal="center" vertical="center"/>
    </xf>
    <xf numFmtId="0" fontId="0" fillId="4" borderId="19" xfId="0" applyFill="1" applyBorder="1" applyAlignment="1">
      <alignment horizontal="center" vertical="center" wrapText="1"/>
    </xf>
    <xf numFmtId="0" fontId="4" fillId="6" borderId="12" xfId="0" applyFont="1" applyFill="1" applyBorder="1" applyAlignment="1">
      <alignment vertical="center" wrapText="1"/>
    </xf>
    <xf numFmtId="0" fontId="4" fillId="6" borderId="13" xfId="0" applyFont="1" applyFill="1" applyBorder="1" applyAlignment="1">
      <alignment vertical="center" wrapText="1"/>
    </xf>
    <xf numFmtId="0" fontId="1" fillId="6" borderId="16" xfId="0" applyFont="1" applyFill="1" applyBorder="1" applyAlignment="1">
      <alignment vertical="center" wrapText="1"/>
    </xf>
    <xf numFmtId="0" fontId="1" fillId="6" borderId="17" xfId="0" applyFont="1" applyFill="1" applyBorder="1" applyAlignment="1">
      <alignment vertical="center" wrapText="1"/>
    </xf>
    <xf numFmtId="0" fontId="1" fillId="6" borderId="14" xfId="0" applyFont="1" applyFill="1" applyBorder="1" applyAlignment="1">
      <alignment vertical="center" wrapText="1"/>
    </xf>
    <xf numFmtId="0" fontId="1" fillId="6" borderId="15" xfId="0" applyFont="1" applyFill="1" applyBorder="1" applyAlignment="1">
      <alignment vertical="center" wrapText="1"/>
    </xf>
    <xf numFmtId="165" fontId="0" fillId="7" borderId="10" xfId="0" applyNumberFormat="1" applyFill="1" applyBorder="1" applyAlignment="1">
      <alignment horizontal="center" vertical="center"/>
    </xf>
    <xf numFmtId="0" fontId="0" fillId="0" borderId="30" xfId="0" applyBorder="1"/>
    <xf numFmtId="0" fontId="0" fillId="17" borderId="3" xfId="0" applyFill="1" applyBorder="1" applyAlignment="1">
      <alignment horizontal="center" vertical="center"/>
    </xf>
    <xf numFmtId="0" fontId="0" fillId="17" borderId="10" xfId="0" applyFill="1" applyBorder="1" applyAlignment="1">
      <alignment horizontal="center" vertical="center"/>
    </xf>
    <xf numFmtId="165" fontId="6" fillId="9" borderId="25" xfId="0" applyNumberFormat="1" applyFont="1" applyFill="1" applyBorder="1" applyAlignment="1">
      <alignment horizontal="center" vertical="center"/>
    </xf>
    <xf numFmtId="0" fontId="4" fillId="0" borderId="42"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30" xfId="0" applyFont="1" applyFill="1" applyBorder="1" applyAlignment="1">
      <alignment horizontal="center" vertical="center" wrapText="1"/>
    </xf>
    <xf numFmtId="165" fontId="4" fillId="9" borderId="50" xfId="0" applyNumberFormat="1" applyFont="1" applyFill="1" applyBorder="1" applyAlignment="1">
      <alignment horizontal="center" vertical="center" wrapText="1"/>
    </xf>
    <xf numFmtId="165" fontId="4" fillId="9" borderId="10" xfId="0" applyNumberFormat="1" applyFont="1" applyFill="1" applyBorder="1" applyAlignment="1">
      <alignment horizontal="center" vertical="center" wrapText="1"/>
    </xf>
    <xf numFmtId="165" fontId="4" fillId="9" borderId="37" xfId="0" applyNumberFormat="1" applyFont="1" applyFill="1" applyBorder="1" applyAlignment="1">
      <alignment horizontal="center" vertical="center" wrapText="1"/>
    </xf>
    <xf numFmtId="165" fontId="0" fillId="11" borderId="50" xfId="0" applyNumberFormat="1" applyFill="1" applyBorder="1" applyAlignment="1">
      <alignment horizontal="center" vertical="center"/>
    </xf>
    <xf numFmtId="165" fontId="0" fillId="11" borderId="37" xfId="0" applyNumberFormat="1" applyFill="1" applyBorder="1" applyAlignment="1">
      <alignment horizontal="center" vertical="center"/>
    </xf>
    <xf numFmtId="165" fontId="0" fillId="7" borderId="9" xfId="0" applyNumberFormat="1" applyFill="1" applyBorder="1" applyAlignment="1">
      <alignment horizontal="center" vertical="center"/>
    </xf>
    <xf numFmtId="165" fontId="0" fillId="7" borderId="7" xfId="0" applyNumberFormat="1" applyFill="1" applyBorder="1" applyAlignment="1">
      <alignment horizontal="center" vertical="center"/>
    </xf>
    <xf numFmtId="165" fontId="0" fillId="7" borderId="37" xfId="0" applyNumberFormat="1" applyFill="1" applyBorder="1" applyAlignment="1">
      <alignment horizontal="center" vertical="center"/>
    </xf>
    <xf numFmtId="0" fontId="1" fillId="6" borderId="55" xfId="0" applyFont="1" applyFill="1" applyBorder="1" applyAlignment="1">
      <alignment vertical="center" wrapText="1"/>
    </xf>
    <xf numFmtId="0" fontId="0" fillId="0" borderId="1" xfId="0" applyFill="1" applyBorder="1"/>
    <xf numFmtId="0" fontId="0" fillId="0" borderId="54" xfId="0" applyFill="1" applyBorder="1"/>
    <xf numFmtId="0" fontId="0" fillId="0" borderId="56" xfId="0" applyBorder="1"/>
    <xf numFmtId="0" fontId="0" fillId="0" borderId="57" xfId="0" applyBorder="1"/>
    <xf numFmtId="0" fontId="0" fillId="0" borderId="54" xfId="0" applyFill="1" applyBorder="1" applyAlignment="1"/>
    <xf numFmtId="0" fontId="0" fillId="0" borderId="54" xfId="0" applyFill="1" applyBorder="1" applyAlignment="1">
      <alignment horizontal="center" vertical="center"/>
    </xf>
    <xf numFmtId="0" fontId="8" fillId="0" borderId="0" xfId="0" applyFont="1" applyAlignment="1">
      <alignment horizontal="center" vertical="center" wrapText="1"/>
    </xf>
    <xf numFmtId="0" fontId="0" fillId="6" borderId="48" xfId="0" applyFill="1" applyBorder="1" applyAlignment="1">
      <alignment horizontal="center" vertical="center" wrapText="1"/>
    </xf>
    <xf numFmtId="0" fontId="0" fillId="6" borderId="52" xfId="0"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6" borderId="14"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31" xfId="0" applyFill="1" applyBorder="1" applyAlignment="1">
      <alignment horizontal="center" vertical="center" wrapText="1"/>
    </xf>
    <xf numFmtId="0" fontId="4" fillId="6" borderId="12"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38"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1" fillId="6" borderId="17" xfId="0" applyFont="1" applyFill="1" applyBorder="1" applyAlignment="1">
      <alignment horizontal="left" vertical="center" wrapText="1"/>
    </xf>
    <xf numFmtId="0" fontId="1" fillId="6" borderId="53"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1" fillId="6" borderId="1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6" borderId="18"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1" fillId="10" borderId="42" xfId="0" applyFont="1" applyFill="1" applyBorder="1" applyAlignment="1">
      <alignment horizontal="center" vertical="center" wrapText="1"/>
    </xf>
    <xf numFmtId="0" fontId="1" fillId="10" borderId="43" xfId="0" applyFont="1" applyFill="1" applyBorder="1" applyAlignment="1">
      <alignment horizontal="center" vertical="center" wrapText="1"/>
    </xf>
  </cellXfs>
  <cellStyles count="1">
    <cellStyle name="Normal" xfId="0" builtinId="0"/>
  </cellStyles>
  <dxfs count="1">
    <dxf>
      <font>
        <color rgb="FF006100"/>
      </font>
      <fill>
        <patternFill>
          <bgColor rgb="FFC6EFCE"/>
        </patternFill>
      </fill>
    </dxf>
  </dxfs>
  <tableStyles count="0" defaultTableStyle="TableStyleMedium2" defaultPivotStyle="PivotStyleLight16"/>
  <colors>
    <mruColors>
      <color rgb="FFD5FFD5"/>
      <color rgb="FF99FF99"/>
      <color rgb="FF66FF33"/>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U48"/>
  <sheetViews>
    <sheetView zoomScale="71" workbookViewId="0">
      <selection activeCell="B10" sqref="B10"/>
    </sheetView>
  </sheetViews>
  <sheetFormatPr baseColWidth="10" defaultRowHeight="14.5" x14ac:dyDescent="0.35"/>
  <cols>
    <col min="1" max="1" width="32.08984375" style="1" customWidth="1"/>
    <col min="2" max="2" width="19.90625" customWidth="1"/>
    <col min="3" max="3" width="12.36328125" bestFit="1" customWidth="1"/>
    <col min="4" max="4" width="13.1796875" customWidth="1"/>
    <col min="5" max="31" width="12.36328125" bestFit="1" customWidth="1"/>
    <col min="32" max="32" width="13.36328125" bestFit="1" customWidth="1"/>
  </cols>
  <sheetData>
    <row r="1" spans="1:9" ht="38" customHeight="1" x14ac:dyDescent="0.35">
      <c r="A1" s="158" t="s">
        <v>224</v>
      </c>
      <c r="B1" s="158"/>
      <c r="C1" s="158"/>
      <c r="D1" s="158"/>
      <c r="E1" s="158"/>
      <c r="F1" s="158"/>
      <c r="G1" s="158"/>
      <c r="H1" s="158"/>
      <c r="I1" s="158"/>
    </row>
    <row r="4" spans="1:9" ht="15" thickBot="1" x14ac:dyDescent="0.4">
      <c r="B4" s="9"/>
    </row>
    <row r="5" spans="1:9" ht="37.5" thickBot="1" x14ac:dyDescent="0.4">
      <c r="A5" s="36" t="s">
        <v>179</v>
      </c>
      <c r="B5" s="139">
        <f>MIN(B41,B47)</f>
        <v>251.1037598342848</v>
      </c>
    </row>
    <row r="6" spans="1:9" ht="37.5" thickBot="1" x14ac:dyDescent="0.4">
      <c r="A6" s="36" t="s">
        <v>156</v>
      </c>
      <c r="B6" s="139">
        <f>B5*B10</f>
        <v>1054.6357913039963</v>
      </c>
    </row>
    <row r="8" spans="1:9" ht="15" thickBot="1" x14ac:dyDescent="0.4"/>
    <row r="9" spans="1:9" ht="15" thickBot="1" x14ac:dyDescent="0.4">
      <c r="A9" s="161" t="s">
        <v>14</v>
      </c>
      <c r="B9" s="162"/>
    </row>
    <row r="10" spans="1:9" x14ac:dyDescent="0.35">
      <c r="A10" s="2" t="s">
        <v>7</v>
      </c>
      <c r="B10" s="102">
        <v>4.2</v>
      </c>
    </row>
    <row r="11" spans="1:9" x14ac:dyDescent="0.35">
      <c r="A11" s="3" t="s">
        <v>15</v>
      </c>
      <c r="B11" s="103">
        <v>60</v>
      </c>
    </row>
    <row r="12" spans="1:9" x14ac:dyDescent="0.35">
      <c r="A12" s="3" t="s">
        <v>19</v>
      </c>
      <c r="B12" s="103" t="s">
        <v>21</v>
      </c>
    </row>
    <row r="13" spans="1:9" ht="18.5" customHeight="1" x14ac:dyDescent="0.35">
      <c r="A13" s="3" t="s">
        <v>16</v>
      </c>
      <c r="B13" s="103">
        <v>80</v>
      </c>
    </row>
    <row r="14" spans="1:9" ht="18.5" customHeight="1" x14ac:dyDescent="0.35">
      <c r="A14" s="3" t="s">
        <v>89</v>
      </c>
      <c r="B14" s="103" t="s">
        <v>21</v>
      </c>
    </row>
    <row r="15" spans="1:9" x14ac:dyDescent="0.35">
      <c r="A15" s="3" t="s">
        <v>17</v>
      </c>
      <c r="B15" s="28">
        <v>30</v>
      </c>
    </row>
    <row r="16" spans="1:9" ht="29.5" thickBot="1" x14ac:dyDescent="0.4">
      <c r="A16" s="4" t="s">
        <v>217</v>
      </c>
      <c r="B16" s="123" t="s">
        <v>220</v>
      </c>
    </row>
    <row r="17" spans="1:177" ht="15" thickBot="1" x14ac:dyDescent="0.4"/>
    <row r="18" spans="1:177" s="5" customFormat="1" ht="15.5" x14ac:dyDescent="0.35">
      <c r="A18" s="129" t="s">
        <v>0</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60"/>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row>
    <row r="19" spans="1:177" ht="29.5" thickBot="1" x14ac:dyDescent="0.4">
      <c r="A19" s="3" t="s">
        <v>18</v>
      </c>
      <c r="B19" s="12">
        <v>0</v>
      </c>
      <c r="C19" s="12">
        <v>1</v>
      </c>
      <c r="D19" s="12">
        <v>2</v>
      </c>
      <c r="E19" s="12">
        <v>3</v>
      </c>
      <c r="F19" s="12">
        <v>4</v>
      </c>
      <c r="G19" s="12">
        <v>5</v>
      </c>
      <c r="H19" s="12">
        <v>6</v>
      </c>
      <c r="I19" s="12">
        <v>7</v>
      </c>
      <c r="J19" s="12">
        <v>8</v>
      </c>
      <c r="K19" s="12">
        <v>9</v>
      </c>
      <c r="L19" s="12">
        <v>10</v>
      </c>
      <c r="M19" s="12">
        <v>11</v>
      </c>
      <c r="N19" s="12">
        <v>12</v>
      </c>
      <c r="O19" s="12">
        <v>13</v>
      </c>
      <c r="P19" s="12">
        <v>14</v>
      </c>
      <c r="Q19" s="12">
        <v>15</v>
      </c>
      <c r="R19" s="12">
        <v>16</v>
      </c>
      <c r="S19" s="12">
        <v>17</v>
      </c>
      <c r="T19" s="12">
        <v>18</v>
      </c>
      <c r="U19" s="137">
        <v>19</v>
      </c>
      <c r="V19" s="12">
        <v>20</v>
      </c>
      <c r="W19" s="12">
        <v>21</v>
      </c>
      <c r="X19" s="12">
        <v>22</v>
      </c>
      <c r="Y19" s="12">
        <v>23</v>
      </c>
      <c r="Z19" s="12">
        <v>24</v>
      </c>
      <c r="AA19" s="12">
        <v>25</v>
      </c>
      <c r="AB19" s="12">
        <v>26</v>
      </c>
      <c r="AC19" s="137">
        <v>27</v>
      </c>
      <c r="AD19" s="12">
        <v>28</v>
      </c>
      <c r="AE19" s="12">
        <v>29</v>
      </c>
      <c r="AF19" s="13">
        <v>30</v>
      </c>
      <c r="AG19" s="12">
        <v>31</v>
      </c>
      <c r="AH19" s="13">
        <v>32</v>
      </c>
      <c r="AI19" s="12">
        <v>33</v>
      </c>
      <c r="AJ19" s="13">
        <v>34</v>
      </c>
      <c r="AK19" s="137">
        <v>35</v>
      </c>
      <c r="AL19" s="13">
        <v>36</v>
      </c>
      <c r="AM19" s="12">
        <v>37</v>
      </c>
      <c r="AN19" s="13">
        <v>38</v>
      </c>
      <c r="AO19" s="12">
        <v>39</v>
      </c>
      <c r="AP19" s="13">
        <v>40</v>
      </c>
      <c r="AQ19" s="12">
        <v>41</v>
      </c>
      <c r="AR19" s="13">
        <v>42</v>
      </c>
      <c r="AS19" s="137">
        <v>43</v>
      </c>
      <c r="AT19" s="13">
        <v>44</v>
      </c>
      <c r="AU19" s="12">
        <v>45</v>
      </c>
      <c r="AV19" s="13">
        <v>46</v>
      </c>
      <c r="AW19" s="12">
        <v>47</v>
      </c>
      <c r="AX19" s="13">
        <v>48</v>
      </c>
      <c r="AY19" s="12">
        <v>49</v>
      </c>
      <c r="AZ19" s="13">
        <v>50</v>
      </c>
      <c r="BA19" s="137">
        <v>51</v>
      </c>
      <c r="BB19" s="13">
        <v>52</v>
      </c>
      <c r="BC19" s="12">
        <v>53</v>
      </c>
      <c r="BD19" s="13">
        <v>54</v>
      </c>
      <c r="BE19" s="12">
        <v>55</v>
      </c>
      <c r="BF19" s="13">
        <v>56</v>
      </c>
      <c r="BG19" s="12">
        <v>57</v>
      </c>
      <c r="BH19" s="13">
        <v>58</v>
      </c>
      <c r="BI19" s="12">
        <v>59</v>
      </c>
      <c r="BJ19" s="138">
        <v>60</v>
      </c>
      <c r="BK19" s="64">
        <v>61</v>
      </c>
      <c r="BL19" s="14">
        <v>62</v>
      </c>
      <c r="BM19" s="64">
        <v>63</v>
      </c>
      <c r="BN19" s="14">
        <v>64</v>
      </c>
      <c r="BO19" s="64">
        <v>65</v>
      </c>
      <c r="BP19" s="14">
        <v>66</v>
      </c>
      <c r="BQ19" s="64">
        <v>67</v>
      </c>
      <c r="BR19" s="14">
        <v>68</v>
      </c>
      <c r="BS19" s="64">
        <v>69</v>
      </c>
      <c r="BT19" s="14">
        <v>70</v>
      </c>
      <c r="BU19" s="64">
        <v>71</v>
      </c>
      <c r="BV19" s="14">
        <v>72</v>
      </c>
      <c r="BW19" s="64">
        <v>73</v>
      </c>
      <c r="BX19" s="14">
        <v>74</v>
      </c>
      <c r="BY19" s="64">
        <v>75</v>
      </c>
      <c r="BZ19" s="14">
        <v>76</v>
      </c>
      <c r="CA19" s="64">
        <v>77</v>
      </c>
      <c r="CB19" s="14">
        <v>78</v>
      </c>
      <c r="CC19" s="64">
        <v>79</v>
      </c>
      <c r="CD19" s="14">
        <v>80</v>
      </c>
      <c r="CE19" s="60"/>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row>
    <row r="20" spans="1:177" s="5" customFormat="1" x14ac:dyDescent="0.35">
      <c r="A20" s="131" t="s">
        <v>3</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52"/>
      <c r="BL20" s="153"/>
      <c r="BM20" s="153"/>
      <c r="BN20" s="153"/>
      <c r="BO20" s="153"/>
      <c r="BP20" s="153"/>
      <c r="BQ20" s="153"/>
      <c r="BR20" s="153"/>
      <c r="BS20" s="153"/>
      <c r="BT20" s="153"/>
      <c r="BU20" s="153"/>
      <c r="BV20" s="153"/>
      <c r="BW20" s="153"/>
      <c r="BX20" s="153"/>
      <c r="BY20" s="153"/>
      <c r="BZ20" s="153"/>
      <c r="CA20" s="153"/>
      <c r="CB20" s="153"/>
      <c r="CC20" s="153"/>
      <c r="CD20" s="153"/>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row>
    <row r="21" spans="1:177" x14ac:dyDescent="0.35">
      <c r="A21" s="3" t="s">
        <v>186</v>
      </c>
      <c r="B21" s="104">
        <f t="shared" ref="B21:AG21" si="0">(((B22+B24)*$B$34)+$B$39+B25+B26)*(44/12)</f>
        <v>256.66666666666663</v>
      </c>
      <c r="C21" s="104">
        <f t="shared" si="0"/>
        <v>267.3835616832373</v>
      </c>
      <c r="D21" s="104">
        <f t="shared" si="0"/>
        <v>277.68505804361791</v>
      </c>
      <c r="E21" s="104">
        <f t="shared" si="0"/>
        <v>287.85240148975726</v>
      </c>
      <c r="F21" s="104">
        <f t="shared" si="0"/>
        <v>297.93704995816427</v>
      </c>
      <c r="G21" s="104">
        <f t="shared" si="0"/>
        <v>307.96232587256765</v>
      </c>
      <c r="H21" s="104">
        <f t="shared" si="0"/>
        <v>317.94153331720031</v>
      </c>
      <c r="I21" s="104">
        <f t="shared" si="0"/>
        <v>327.88324892075769</v>
      </c>
      <c r="J21" s="104">
        <f t="shared" si="0"/>
        <v>337.79344664373099</v>
      </c>
      <c r="K21" s="104">
        <f t="shared" si="0"/>
        <v>347.67651742307612</v>
      </c>
      <c r="L21" s="104">
        <f t="shared" si="0"/>
        <v>357.53581918867263</v>
      </c>
      <c r="M21" s="104">
        <f t="shared" si="0"/>
        <v>367.37399942153837</v>
      </c>
      <c r="N21" s="104">
        <f t="shared" si="0"/>
        <v>377.19319663326951</v>
      </c>
      <c r="O21" s="104">
        <f t="shared" si="0"/>
        <v>386.99517259237047</v>
      </c>
      <c r="P21" s="104">
        <f t="shared" si="0"/>
        <v>396.78140262914695</v>
      </c>
      <c r="Q21" s="104">
        <f t="shared" si="0"/>
        <v>406.55313936969344</v>
      </c>
      <c r="R21" s="104">
        <f t="shared" si="0"/>
        <v>416.31145897437966</v>
      </c>
      <c r="S21" s="104">
        <f t="shared" si="0"/>
        <v>426.05729548043155</v>
      </c>
      <c r="T21" s="104">
        <f t="shared" si="0"/>
        <v>435.7914668307609</v>
      </c>
      <c r="U21" s="104">
        <f t="shared" si="0"/>
        <v>396.7769135261359</v>
      </c>
      <c r="V21" s="104">
        <f t="shared" si="0"/>
        <v>406.55888326684141</v>
      </c>
      <c r="W21" s="104">
        <f t="shared" si="0"/>
        <v>416.3266835042682</v>
      </c>
      <c r="X21" s="104">
        <f t="shared" si="0"/>
        <v>426.08134670580733</v>
      </c>
      <c r="Y21" s="104">
        <f t="shared" si="0"/>
        <v>435.82377137951806</v>
      </c>
      <c r="Z21" s="104">
        <f t="shared" si="0"/>
        <v>469.08183132328077</v>
      </c>
      <c r="AA21" s="104">
        <f t="shared" si="0"/>
        <v>502.20848725520921</v>
      </c>
      <c r="AB21" s="104">
        <f t="shared" si="0"/>
        <v>533.30181395642808</v>
      </c>
      <c r="AC21" s="104">
        <f t="shared" si="0"/>
        <v>504.17039232739552</v>
      </c>
      <c r="AD21" s="104">
        <f t="shared" si="0"/>
        <v>535.26515494148339</v>
      </c>
      <c r="AE21" s="104">
        <f t="shared" si="0"/>
        <v>566.27687485372155</v>
      </c>
      <c r="AF21" s="104">
        <f t="shared" si="0"/>
        <v>597.2158408131902</v>
      </c>
      <c r="AG21" s="104">
        <f t="shared" si="0"/>
        <v>626.39015790649614</v>
      </c>
      <c r="AH21" s="104">
        <f t="shared" ref="AH21:BJ21" si="1">(((AH22+AH24)*$B$34)+$B$39+AH25+AH26)*(44/12)</f>
        <v>655.50815036924871</v>
      </c>
      <c r="AI21" s="104">
        <f t="shared" si="1"/>
        <v>684.57497857755641</v>
      </c>
      <c r="AJ21" s="104">
        <f t="shared" si="1"/>
        <v>713.59497385742725</v>
      </c>
      <c r="AK21" s="104">
        <f t="shared" si="1"/>
        <v>677.19374255226569</v>
      </c>
      <c r="AL21" s="104">
        <f t="shared" si="1"/>
        <v>703.72843336652727</v>
      </c>
      <c r="AM21" s="104">
        <f t="shared" si="1"/>
        <v>730.22609590678837</v>
      </c>
      <c r="AN21" s="104">
        <f t="shared" si="1"/>
        <v>756.68928927430852</v>
      </c>
      <c r="AO21" s="104">
        <f t="shared" si="1"/>
        <v>783.1202566591877</v>
      </c>
      <c r="AP21" s="104">
        <f t="shared" si="1"/>
        <v>809.52097962593314</v>
      </c>
      <c r="AQ21" s="104">
        <f t="shared" si="1"/>
        <v>830.5736832665591</v>
      </c>
      <c r="AR21" s="104">
        <f t="shared" si="1"/>
        <v>851.60905410500925</v>
      </c>
      <c r="AS21" s="104">
        <f t="shared" si="1"/>
        <v>754.3172554746476</v>
      </c>
      <c r="AT21" s="104">
        <f t="shared" si="1"/>
        <v>775.41936965058176</v>
      </c>
      <c r="AU21" s="104">
        <f t="shared" si="1"/>
        <v>796.50186601860287</v>
      </c>
      <c r="AV21" s="104">
        <f t="shared" si="1"/>
        <v>812.8338218405388</v>
      </c>
      <c r="AW21" s="104">
        <f t="shared" si="1"/>
        <v>829.15495342813767</v>
      </c>
      <c r="AX21" s="104">
        <f t="shared" si="1"/>
        <v>845.46563674492074</v>
      </c>
      <c r="AY21" s="104">
        <f t="shared" si="1"/>
        <v>861.76622374240776</v>
      </c>
      <c r="AZ21" s="104">
        <f t="shared" si="1"/>
        <v>878.05704455248167</v>
      </c>
      <c r="BA21" s="104">
        <f t="shared" si="1"/>
        <v>748.14874430547525</v>
      </c>
      <c r="BB21" s="104">
        <f t="shared" si="1"/>
        <v>760.24685474564387</v>
      </c>
      <c r="BC21" s="104">
        <f t="shared" si="1"/>
        <v>772.3382853016908</v>
      </c>
      <c r="BD21" s="104">
        <f t="shared" si="1"/>
        <v>784.42322834782169</v>
      </c>
      <c r="BE21" s="104">
        <f t="shared" si="1"/>
        <v>796.50186601860287</v>
      </c>
      <c r="BF21" s="104">
        <f t="shared" si="1"/>
        <v>804.3141767022654</v>
      </c>
      <c r="BG21" s="104">
        <f t="shared" si="1"/>
        <v>812.12396469671171</v>
      </c>
      <c r="BH21" s="104">
        <f t="shared" si="1"/>
        <v>819.93127334524615</v>
      </c>
      <c r="BI21" s="104">
        <f t="shared" si="1"/>
        <v>827.73614460076942</v>
      </c>
      <c r="BJ21" s="135">
        <f t="shared" si="1"/>
        <v>835.53861909047612</v>
      </c>
      <c r="BK21" s="60"/>
      <c r="BL21" s="7"/>
      <c r="BM21" s="7"/>
      <c r="BN21" s="7"/>
      <c r="BO21" s="7"/>
      <c r="BP21" s="7"/>
      <c r="BQ21" s="7"/>
      <c r="BR21" s="7"/>
      <c r="BS21" s="7"/>
      <c r="BT21" s="7"/>
      <c r="BU21" s="7"/>
      <c r="BV21" s="7"/>
      <c r="BW21" s="7"/>
      <c r="BX21" s="7"/>
      <c r="BY21" s="7"/>
      <c r="BZ21" s="7"/>
      <c r="CA21" s="7"/>
      <c r="CB21" s="7"/>
      <c r="CC21" s="7"/>
      <c r="CD21" s="7"/>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row>
    <row r="22" spans="1:177" x14ac:dyDescent="0.35">
      <c r="A22" s="3" t="s">
        <v>182</v>
      </c>
      <c r="B22" s="104">
        <f>B23*$B$35*$C$36</f>
        <v>0</v>
      </c>
      <c r="C22" s="104">
        <f>C23*$B$35*$C$36</f>
        <v>3.9129999999999998</v>
      </c>
      <c r="D22" s="104">
        <f t="shared" ref="D22:BI22" si="2">D23*$B$35*$C$36</f>
        <v>7.8259999999999996</v>
      </c>
      <c r="E22" s="104">
        <f t="shared" si="2"/>
        <v>11.739000000000001</v>
      </c>
      <c r="F22" s="104">
        <f t="shared" si="2"/>
        <v>15.651999999999999</v>
      </c>
      <c r="G22" s="104">
        <f t="shared" si="2"/>
        <v>19.565000000000001</v>
      </c>
      <c r="H22" s="104">
        <f t="shared" si="2"/>
        <v>23.478000000000002</v>
      </c>
      <c r="I22" s="104">
        <f t="shared" si="2"/>
        <v>27.391000000000002</v>
      </c>
      <c r="J22" s="104">
        <f t="shared" si="2"/>
        <v>31.303999999999998</v>
      </c>
      <c r="K22" s="104">
        <f t="shared" si="2"/>
        <v>35.216999999999999</v>
      </c>
      <c r="L22" s="104">
        <f t="shared" si="2"/>
        <v>39.130000000000003</v>
      </c>
      <c r="M22" s="104">
        <f t="shared" si="2"/>
        <v>43.043000000000006</v>
      </c>
      <c r="N22" s="104">
        <f t="shared" si="2"/>
        <v>46.956000000000003</v>
      </c>
      <c r="O22" s="104">
        <f t="shared" si="2"/>
        <v>50.869</v>
      </c>
      <c r="P22" s="104">
        <f t="shared" si="2"/>
        <v>54.782000000000004</v>
      </c>
      <c r="Q22" s="104">
        <f t="shared" si="2"/>
        <v>58.695</v>
      </c>
      <c r="R22" s="104">
        <f t="shared" si="2"/>
        <v>62.607999999999997</v>
      </c>
      <c r="S22" s="104">
        <f t="shared" si="2"/>
        <v>66.521000000000001</v>
      </c>
      <c r="T22" s="104">
        <f t="shared" si="2"/>
        <v>70.433999999999997</v>
      </c>
      <c r="U22" s="104">
        <f t="shared" si="2"/>
        <v>51.987000000000002</v>
      </c>
      <c r="V22" s="104">
        <f t="shared" si="2"/>
        <v>55.9</v>
      </c>
      <c r="W22" s="104">
        <f t="shared" si="2"/>
        <v>59.812999999999995</v>
      </c>
      <c r="X22" s="104">
        <f t="shared" si="2"/>
        <v>63.726000000000006</v>
      </c>
      <c r="Y22" s="104">
        <f t="shared" si="2"/>
        <v>67.63900000000001</v>
      </c>
      <c r="Z22" s="104">
        <f t="shared" si="2"/>
        <v>82.396600000000007</v>
      </c>
      <c r="AA22" s="104">
        <f t="shared" si="2"/>
        <v>97.154200000000003</v>
      </c>
      <c r="AB22" s="104">
        <f t="shared" si="2"/>
        <v>111.01740000000002</v>
      </c>
      <c r="AC22" s="104">
        <f t="shared" si="2"/>
        <v>96.930600000000013</v>
      </c>
      <c r="AD22" s="104">
        <f t="shared" si="2"/>
        <v>110.79380000000003</v>
      </c>
      <c r="AE22" s="104">
        <f t="shared" si="2"/>
        <v>124.65700000000004</v>
      </c>
      <c r="AF22" s="104">
        <f t="shared" si="2"/>
        <v>138.52020000000005</v>
      </c>
      <c r="AG22" s="104">
        <f t="shared" si="2"/>
        <v>152.15980000000002</v>
      </c>
      <c r="AH22" s="104">
        <f t="shared" si="2"/>
        <v>165.79940000000002</v>
      </c>
      <c r="AI22" s="104">
        <f t="shared" si="2"/>
        <v>179.43899999999999</v>
      </c>
      <c r="AJ22" s="104">
        <f t="shared" si="2"/>
        <v>193.07859999999999</v>
      </c>
      <c r="AK22" s="104">
        <f t="shared" si="2"/>
        <v>175.97319999999996</v>
      </c>
      <c r="AL22" s="104">
        <f t="shared" si="2"/>
        <v>188.43889999999999</v>
      </c>
      <c r="AM22" s="104">
        <f t="shared" si="2"/>
        <v>200.90459999999999</v>
      </c>
      <c r="AN22" s="104">
        <f t="shared" si="2"/>
        <v>213.37029999999999</v>
      </c>
      <c r="AO22" s="104">
        <f t="shared" si="2"/>
        <v>225.83600000000001</v>
      </c>
      <c r="AP22" s="104">
        <f t="shared" si="2"/>
        <v>238.30170000000001</v>
      </c>
      <c r="AQ22" s="104">
        <f t="shared" si="2"/>
        <v>248.25190000000001</v>
      </c>
      <c r="AR22" s="104">
        <f t="shared" si="2"/>
        <v>258.20210000000003</v>
      </c>
      <c r="AS22" s="104">
        <f t="shared" si="2"/>
        <v>212.25230000000002</v>
      </c>
      <c r="AT22" s="104">
        <f t="shared" si="2"/>
        <v>222.20250000000004</v>
      </c>
      <c r="AU22" s="104">
        <f t="shared" si="2"/>
        <v>232.15270000000004</v>
      </c>
      <c r="AV22" s="104">
        <f t="shared" si="2"/>
        <v>239.86690000000007</v>
      </c>
      <c r="AW22" s="104">
        <f t="shared" si="2"/>
        <v>247.58110000000005</v>
      </c>
      <c r="AX22" s="104">
        <f t="shared" si="2"/>
        <v>255.29530000000005</v>
      </c>
      <c r="AY22" s="104">
        <f t="shared" si="2"/>
        <v>263.00950000000006</v>
      </c>
      <c r="AZ22" s="104">
        <f t="shared" si="2"/>
        <v>270.72370000000006</v>
      </c>
      <c r="BA22" s="104">
        <f t="shared" si="2"/>
        <v>209.34550000000004</v>
      </c>
      <c r="BB22" s="104">
        <f t="shared" si="2"/>
        <v>215.04730000000006</v>
      </c>
      <c r="BC22" s="104">
        <f t="shared" si="2"/>
        <v>220.74910000000006</v>
      </c>
      <c r="BD22" s="104">
        <f t="shared" si="2"/>
        <v>226.45090000000005</v>
      </c>
      <c r="BE22" s="104">
        <f t="shared" si="2"/>
        <v>232.15270000000004</v>
      </c>
      <c r="BF22" s="104">
        <f t="shared" si="2"/>
        <v>235.84210000000004</v>
      </c>
      <c r="BG22" s="104">
        <f t="shared" si="2"/>
        <v>239.53150000000008</v>
      </c>
      <c r="BH22" s="104">
        <f t="shared" si="2"/>
        <v>243.22090000000009</v>
      </c>
      <c r="BI22" s="104">
        <f t="shared" si="2"/>
        <v>246.91030000000012</v>
      </c>
      <c r="BJ22" s="135">
        <f>BJ23*$B$35*$C$36</f>
        <v>250.59970000000013</v>
      </c>
      <c r="BK22" s="60"/>
      <c r="BL22" s="7"/>
      <c r="BM22" s="7"/>
      <c r="BN22" s="7"/>
      <c r="BO22" s="7"/>
      <c r="BP22" s="7"/>
      <c r="BQ22" s="7"/>
      <c r="BR22" s="7"/>
      <c r="BS22" s="7"/>
      <c r="BT22" s="7"/>
      <c r="BU22" s="7"/>
      <c r="BV22" s="7"/>
      <c r="BW22" s="7"/>
      <c r="BX22" s="7"/>
      <c r="BY22" s="7"/>
      <c r="BZ22" s="7"/>
      <c r="CA22" s="7"/>
      <c r="CB22" s="7"/>
      <c r="CC22" s="7"/>
      <c r="CD22" s="7"/>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row>
    <row r="23" spans="1:177" x14ac:dyDescent="0.35">
      <c r="A23" s="18" t="s">
        <v>13</v>
      </c>
      <c r="B23" s="126">
        <v>0</v>
      </c>
      <c r="C23" s="126">
        <f>B23+7</f>
        <v>7</v>
      </c>
      <c r="D23" s="126">
        <f t="shared" ref="D23:Y23" si="3">C23+7</f>
        <v>14</v>
      </c>
      <c r="E23" s="126">
        <f t="shared" si="3"/>
        <v>21</v>
      </c>
      <c r="F23" s="126">
        <f t="shared" si="3"/>
        <v>28</v>
      </c>
      <c r="G23" s="126">
        <f t="shared" si="3"/>
        <v>35</v>
      </c>
      <c r="H23" s="126">
        <f t="shared" si="3"/>
        <v>42</v>
      </c>
      <c r="I23" s="126">
        <f t="shared" si="3"/>
        <v>49</v>
      </c>
      <c r="J23" s="126">
        <f t="shared" si="3"/>
        <v>56</v>
      </c>
      <c r="K23" s="126">
        <f t="shared" si="3"/>
        <v>63</v>
      </c>
      <c r="L23" s="126">
        <f t="shared" si="3"/>
        <v>70</v>
      </c>
      <c r="M23" s="126">
        <f t="shared" si="3"/>
        <v>77</v>
      </c>
      <c r="N23" s="126">
        <f t="shared" si="3"/>
        <v>84</v>
      </c>
      <c r="O23" s="126">
        <f t="shared" si="3"/>
        <v>91</v>
      </c>
      <c r="P23" s="126">
        <f t="shared" si="3"/>
        <v>98</v>
      </c>
      <c r="Q23" s="126">
        <f t="shared" si="3"/>
        <v>105</v>
      </c>
      <c r="R23" s="126">
        <f t="shared" si="3"/>
        <v>112</v>
      </c>
      <c r="S23" s="126">
        <f t="shared" si="3"/>
        <v>119</v>
      </c>
      <c r="T23" s="126">
        <f t="shared" si="3"/>
        <v>126</v>
      </c>
      <c r="U23" s="126">
        <f>T23+7-40</f>
        <v>93</v>
      </c>
      <c r="V23" s="126">
        <f t="shared" si="3"/>
        <v>100</v>
      </c>
      <c r="W23" s="126">
        <f t="shared" si="3"/>
        <v>107</v>
      </c>
      <c r="X23" s="126">
        <f t="shared" si="3"/>
        <v>114</v>
      </c>
      <c r="Y23" s="126">
        <f t="shared" si="3"/>
        <v>121</v>
      </c>
      <c r="Z23" s="126">
        <f>Y23+26.4</f>
        <v>147.4</v>
      </c>
      <c r="AA23" s="126">
        <f t="shared" ref="AA23" si="4">Z23+26.4</f>
        <v>173.8</v>
      </c>
      <c r="AB23" s="126">
        <f>AA23+24.8</f>
        <v>198.60000000000002</v>
      </c>
      <c r="AC23" s="126">
        <f>AB23+24.8-50</f>
        <v>173.40000000000003</v>
      </c>
      <c r="AD23" s="126">
        <f t="shared" ref="AD23:AF23" si="5">AC23+24.8</f>
        <v>198.20000000000005</v>
      </c>
      <c r="AE23" s="126">
        <f t="shared" si="5"/>
        <v>223.00000000000006</v>
      </c>
      <c r="AF23" s="126">
        <f t="shared" si="5"/>
        <v>247.80000000000007</v>
      </c>
      <c r="AG23" s="126">
        <f>AF23+24.4</f>
        <v>272.20000000000005</v>
      </c>
      <c r="AH23" s="126">
        <f t="shared" ref="AH23:AJ23" si="6">AG23+24.4</f>
        <v>296.60000000000002</v>
      </c>
      <c r="AI23" s="126">
        <f t="shared" si="6"/>
        <v>321</v>
      </c>
      <c r="AJ23" s="126">
        <f t="shared" si="6"/>
        <v>345.4</v>
      </c>
      <c r="AK23" s="126">
        <f>AJ23+24.4-55</f>
        <v>314.79999999999995</v>
      </c>
      <c r="AL23" s="126">
        <f>AK23+22.3</f>
        <v>337.09999999999997</v>
      </c>
      <c r="AM23" s="126">
        <f t="shared" ref="AM23:AP23" si="7">AL23+22.3</f>
        <v>359.4</v>
      </c>
      <c r="AN23" s="126">
        <f t="shared" si="7"/>
        <v>381.7</v>
      </c>
      <c r="AO23" s="126">
        <f t="shared" si="7"/>
        <v>404</v>
      </c>
      <c r="AP23" s="126">
        <f t="shared" si="7"/>
        <v>426.3</v>
      </c>
      <c r="AQ23" s="126">
        <f>AP23+17.8</f>
        <v>444.1</v>
      </c>
      <c r="AR23" s="126">
        <f t="shared" ref="AR23:AU23" si="8">AQ23+17.8</f>
        <v>461.90000000000003</v>
      </c>
      <c r="AS23" s="126">
        <f>AR23+17.8-100</f>
        <v>379.70000000000005</v>
      </c>
      <c r="AT23" s="126">
        <f t="shared" si="8"/>
        <v>397.50000000000006</v>
      </c>
      <c r="AU23" s="126">
        <f t="shared" si="8"/>
        <v>415.30000000000007</v>
      </c>
      <c r="AV23" s="126">
        <f>AU23+13.8</f>
        <v>429.10000000000008</v>
      </c>
      <c r="AW23" s="126">
        <f t="shared" ref="AW23:AZ23" si="9">AV23+13.8</f>
        <v>442.90000000000009</v>
      </c>
      <c r="AX23" s="126">
        <f t="shared" si="9"/>
        <v>456.7000000000001</v>
      </c>
      <c r="AY23" s="126">
        <f t="shared" si="9"/>
        <v>470.50000000000011</v>
      </c>
      <c r="AZ23" s="126">
        <f t="shared" si="9"/>
        <v>484.30000000000013</v>
      </c>
      <c r="BA23" s="126">
        <f>AZ23+10.2-120</f>
        <v>374.50000000000011</v>
      </c>
      <c r="BB23" s="126">
        <f t="shared" ref="BB23:BE23" si="10">BA23+10.2</f>
        <v>384.7000000000001</v>
      </c>
      <c r="BC23" s="126">
        <f t="shared" si="10"/>
        <v>394.90000000000009</v>
      </c>
      <c r="BD23" s="126">
        <f t="shared" si="10"/>
        <v>405.10000000000008</v>
      </c>
      <c r="BE23" s="126">
        <f t="shared" si="10"/>
        <v>415.30000000000007</v>
      </c>
      <c r="BF23" s="126">
        <f>BE23+6.6</f>
        <v>421.90000000000009</v>
      </c>
      <c r="BG23" s="126">
        <f t="shared" ref="BG23:BJ23" si="11">BF23+6.6</f>
        <v>428.50000000000011</v>
      </c>
      <c r="BH23" s="126">
        <f t="shared" si="11"/>
        <v>435.10000000000014</v>
      </c>
      <c r="BI23" s="126">
        <f t="shared" si="11"/>
        <v>441.70000000000016</v>
      </c>
      <c r="BJ23" s="126">
        <f t="shared" si="11"/>
        <v>448.30000000000018</v>
      </c>
      <c r="BK23" s="60"/>
      <c r="BL23" s="7"/>
      <c r="BM23" s="7"/>
      <c r="BN23" s="7"/>
      <c r="BO23" s="7"/>
      <c r="BP23" s="7"/>
      <c r="BQ23" s="7"/>
      <c r="BR23" s="7"/>
      <c r="BS23" s="7"/>
      <c r="BT23" s="7"/>
      <c r="BU23" s="7"/>
      <c r="BV23" s="7"/>
      <c r="BW23" s="7"/>
      <c r="BX23" s="7"/>
      <c r="BY23" s="7"/>
      <c r="BZ23" s="7"/>
      <c r="CA23" s="7"/>
      <c r="CB23" s="7"/>
      <c r="CC23" s="7"/>
      <c r="CD23" s="7"/>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row>
    <row r="24" spans="1:177" x14ac:dyDescent="0.35">
      <c r="A24" s="3" t="s">
        <v>183</v>
      </c>
      <c r="B24" s="104">
        <v>0</v>
      </c>
      <c r="C24" s="104">
        <f>EXP(-1.0587+0.8836*LN(C22)+0.284)</f>
        <v>1.5384867718747024</v>
      </c>
      <c r="D24" s="104">
        <f t="shared" ref="D24:AH24" si="12">EXP(-1.0587+0.8836*LN(D22)+0.284)</f>
        <v>2.8384671382814215</v>
      </c>
      <c r="E24" s="104">
        <f t="shared" si="12"/>
        <v>4.0614219079945988</v>
      </c>
      <c r="F24" s="104">
        <f t="shared" si="12"/>
        <v>5.2368963077179416</v>
      </c>
      <c r="G24" s="104">
        <f t="shared" si="12"/>
        <v>6.3782812027501414</v>
      </c>
      <c r="H24" s="104">
        <f t="shared" si="12"/>
        <v>7.4932153017418202</v>
      </c>
      <c r="I24" s="104">
        <f t="shared" si="12"/>
        <v>8.5866229848050555</v>
      </c>
      <c r="J24" s="104">
        <f t="shared" si="12"/>
        <v>9.6619342771023202</v>
      </c>
      <c r="K24" s="104">
        <f t="shared" si="12"/>
        <v>10.721670290761447</v>
      </c>
      <c r="L24" s="104">
        <f t="shared" si="12"/>
        <v>11.767759023799298</v>
      </c>
      <c r="M24" s="104">
        <f t="shared" si="12"/>
        <v>12.801720561010871</v>
      </c>
      <c r="N24" s="104">
        <f t="shared" si="12"/>
        <v>13.824782755944211</v>
      </c>
      <c r="O24" s="104">
        <f t="shared" si="12"/>
        <v>14.837957150324355</v>
      </c>
      <c r="P24" s="104">
        <f t="shared" si="12"/>
        <v>15.842090823752658</v>
      </c>
      <c r="Q24" s="104">
        <f t="shared" si="12"/>
        <v>16.837902987383828</v>
      </c>
      <c r="R24" s="104">
        <f t="shared" si="12"/>
        <v>17.826011532339219</v>
      </c>
      <c r="S24" s="104">
        <f t="shared" si="12"/>
        <v>18.806952747935188</v>
      </c>
      <c r="T24" s="104">
        <f t="shared" si="12"/>
        <v>19.78119626646561</v>
      </c>
      <c r="U24" s="104">
        <f t="shared" si="12"/>
        <v>15.125741418515039</v>
      </c>
      <c r="V24" s="104">
        <f t="shared" si="12"/>
        <v>16.127428988936053</v>
      </c>
      <c r="W24" s="104">
        <f t="shared" si="12"/>
        <v>17.120980959388469</v>
      </c>
      <c r="X24" s="104">
        <f t="shared" si="12"/>
        <v>18.10699013411584</v>
      </c>
      <c r="Y24" s="104">
        <f t="shared" si="12"/>
        <v>19.085972402913089</v>
      </c>
      <c r="Z24" s="104">
        <f t="shared" si="12"/>
        <v>22.722154826764083</v>
      </c>
      <c r="AA24" s="104">
        <f t="shared" si="12"/>
        <v>26.282889971092974</v>
      </c>
      <c r="AB24" s="104">
        <f t="shared" si="12"/>
        <v>29.570563356162893</v>
      </c>
      <c r="AC24" s="104">
        <f t="shared" si="12"/>
        <v>26.229433872188817</v>
      </c>
      <c r="AD24" s="104">
        <f t="shared" si="12"/>
        <v>29.51793170483888</v>
      </c>
      <c r="AE24" s="104">
        <f t="shared" si="12"/>
        <v>32.758749517288294</v>
      </c>
      <c r="AF24" s="104">
        <f t="shared" si="12"/>
        <v>35.957794725276671</v>
      </c>
      <c r="AG24" s="104">
        <f t="shared" si="12"/>
        <v>39.068998797988243</v>
      </c>
      <c r="AH24" s="104">
        <f t="shared" si="12"/>
        <v>42.147863369903519</v>
      </c>
      <c r="AI24" s="104">
        <f t="shared" ref="AI24:BI24" si="13">EXP(-1.0587+0.8836*LN(AI22)+0.284)</f>
        <v>45.197351336396032</v>
      </c>
      <c r="AJ24" s="104">
        <f t="shared" si="13"/>
        <v>48.2199495832118</v>
      </c>
      <c r="AK24" s="104">
        <f t="shared" si="13"/>
        <v>44.425121082640622</v>
      </c>
      <c r="AL24" s="104">
        <f t="shared" si="13"/>
        <v>47.194650258293166</v>
      </c>
      <c r="AM24" s="104">
        <f t="shared" si="13"/>
        <v>49.942919180931142</v>
      </c>
      <c r="AN24" s="104">
        <f t="shared" si="13"/>
        <v>52.671397190990618</v>
      </c>
      <c r="AO24" s="104">
        <f t="shared" si="13"/>
        <v>55.381372244509706</v>
      </c>
      <c r="AP24" s="104">
        <f t="shared" si="13"/>
        <v>58.07398208187545</v>
      </c>
      <c r="AQ24" s="104">
        <f t="shared" si="13"/>
        <v>60.211458813335391</v>
      </c>
      <c r="AR24" s="104">
        <f t="shared" si="13"/>
        <v>62.338983696656037</v>
      </c>
      <c r="AS24" s="104">
        <f t="shared" si="13"/>
        <v>52.427463908888619</v>
      </c>
      <c r="AT24" s="104">
        <f t="shared" si="13"/>
        <v>54.593310325692876</v>
      </c>
      <c r="AU24" s="104">
        <f t="shared" si="13"/>
        <v>56.74789292934139</v>
      </c>
      <c r="AV24" s="104">
        <f t="shared" si="13"/>
        <v>58.410892444328475</v>
      </c>
      <c r="AW24" s="104">
        <f t="shared" si="13"/>
        <v>60.067677087925908</v>
      </c>
      <c r="AX24" s="104">
        <f t="shared" si="13"/>
        <v>61.718462724356392</v>
      </c>
      <c r="AY24" s="104">
        <f t="shared" si="13"/>
        <v>63.36345143104748</v>
      </c>
      <c r="AZ24" s="104">
        <f t="shared" si="13"/>
        <v>65.002832757405784</v>
      </c>
      <c r="BA24" s="104">
        <f t="shared" si="13"/>
        <v>51.79253500792835</v>
      </c>
      <c r="BB24" s="104">
        <f t="shared" si="13"/>
        <v>53.037018514245297</v>
      </c>
      <c r="BC24" s="104">
        <f t="shared" si="13"/>
        <v>54.277666680396663</v>
      </c>
      <c r="BD24" s="104">
        <f t="shared" si="13"/>
        <v>55.514589960471767</v>
      </c>
      <c r="BE24" s="104">
        <f t="shared" si="13"/>
        <v>56.74789292934139</v>
      </c>
      <c r="BF24" s="104">
        <f t="shared" si="13"/>
        <v>57.544030163980118</v>
      </c>
      <c r="BG24" s="104">
        <f t="shared" si="13"/>
        <v>58.338718964619126</v>
      </c>
      <c r="BH24" s="104">
        <f t="shared" si="13"/>
        <v>59.131984217366174</v>
      </c>
      <c r="BI24" s="104">
        <f t="shared" si="13"/>
        <v>59.92385001001103</v>
      </c>
      <c r="BJ24" s="135">
        <f>EXP(-1.0587+0.8836*LN(BJ22)+0.284)</f>
        <v>60.714339669172809</v>
      </c>
      <c r="BK24" s="136"/>
      <c r="BL24" s="110"/>
      <c r="BM24" s="110"/>
      <c r="BN24" s="110"/>
      <c r="BO24" s="110"/>
      <c r="BP24" s="110"/>
      <c r="BQ24" s="110"/>
      <c r="BR24" s="110"/>
      <c r="BS24" s="110"/>
      <c r="BT24" s="110"/>
      <c r="BU24" s="110"/>
      <c r="BV24" s="110"/>
      <c r="BW24" s="110"/>
      <c r="BX24" s="110"/>
      <c r="BY24" s="110"/>
      <c r="BZ24" s="110"/>
      <c r="CA24" s="110"/>
      <c r="CB24" s="110"/>
      <c r="CC24" s="110"/>
      <c r="CD24" s="110"/>
    </row>
    <row r="25" spans="1:177" x14ac:dyDescent="0.35">
      <c r="A25" s="3" t="s">
        <v>184</v>
      </c>
      <c r="B25" s="104">
        <f t="shared" ref="B25:AF25" si="14">(B19*(($B$38-$B$37)/30))</f>
        <v>0</v>
      </c>
      <c r="C25" s="104">
        <f>(C19*(($B$38-$B$37)/30))</f>
        <v>0.33333333333333331</v>
      </c>
      <c r="D25" s="104">
        <f t="shared" si="14"/>
        <v>0.66666666666666663</v>
      </c>
      <c r="E25" s="104">
        <f t="shared" si="14"/>
        <v>1</v>
      </c>
      <c r="F25" s="104">
        <f t="shared" si="14"/>
        <v>1.3333333333333333</v>
      </c>
      <c r="G25" s="104">
        <f t="shared" si="14"/>
        <v>1.6666666666666665</v>
      </c>
      <c r="H25" s="104">
        <f t="shared" si="14"/>
        <v>2</v>
      </c>
      <c r="I25" s="104">
        <f t="shared" si="14"/>
        <v>2.333333333333333</v>
      </c>
      <c r="J25" s="104">
        <f t="shared" si="14"/>
        <v>2.6666666666666665</v>
      </c>
      <c r="K25" s="104">
        <f t="shared" si="14"/>
        <v>3</v>
      </c>
      <c r="L25" s="104">
        <f t="shared" si="14"/>
        <v>3.333333333333333</v>
      </c>
      <c r="M25" s="104">
        <f t="shared" si="14"/>
        <v>3.6666666666666665</v>
      </c>
      <c r="N25" s="104">
        <f t="shared" si="14"/>
        <v>4</v>
      </c>
      <c r="O25" s="104">
        <f t="shared" si="14"/>
        <v>4.333333333333333</v>
      </c>
      <c r="P25" s="104">
        <f t="shared" si="14"/>
        <v>4.6666666666666661</v>
      </c>
      <c r="Q25" s="104">
        <f t="shared" si="14"/>
        <v>5</v>
      </c>
      <c r="R25" s="104">
        <f t="shared" si="14"/>
        <v>5.333333333333333</v>
      </c>
      <c r="S25" s="104">
        <f t="shared" si="14"/>
        <v>5.6666666666666661</v>
      </c>
      <c r="T25" s="104">
        <f t="shared" si="14"/>
        <v>6</v>
      </c>
      <c r="U25" s="104">
        <f t="shared" si="14"/>
        <v>6.333333333333333</v>
      </c>
      <c r="V25" s="104">
        <f t="shared" si="14"/>
        <v>6.6666666666666661</v>
      </c>
      <c r="W25" s="104">
        <f t="shared" si="14"/>
        <v>7</v>
      </c>
      <c r="X25" s="104">
        <f t="shared" si="14"/>
        <v>7.333333333333333</v>
      </c>
      <c r="Y25" s="104">
        <f t="shared" si="14"/>
        <v>7.6666666666666661</v>
      </c>
      <c r="Z25" s="104">
        <f t="shared" si="14"/>
        <v>8</v>
      </c>
      <c r="AA25" s="104">
        <f t="shared" si="14"/>
        <v>8.3333333333333321</v>
      </c>
      <c r="AB25" s="104">
        <f t="shared" si="14"/>
        <v>8.6666666666666661</v>
      </c>
      <c r="AC25" s="104">
        <f t="shared" si="14"/>
        <v>9</v>
      </c>
      <c r="AD25" s="104">
        <f t="shared" si="14"/>
        <v>9.3333333333333321</v>
      </c>
      <c r="AE25" s="104">
        <f t="shared" si="14"/>
        <v>9.6666666666666661</v>
      </c>
      <c r="AF25" s="104">
        <f t="shared" si="14"/>
        <v>10</v>
      </c>
      <c r="AG25" s="104">
        <v>10</v>
      </c>
      <c r="AH25" s="104">
        <v>10</v>
      </c>
      <c r="AI25" s="104">
        <v>10</v>
      </c>
      <c r="AJ25" s="104">
        <v>10</v>
      </c>
      <c r="AK25" s="104">
        <v>10</v>
      </c>
      <c r="AL25" s="104">
        <v>10</v>
      </c>
      <c r="AM25" s="104">
        <v>10</v>
      </c>
      <c r="AN25" s="104">
        <v>10</v>
      </c>
      <c r="AO25" s="104">
        <v>10</v>
      </c>
      <c r="AP25" s="104">
        <v>10</v>
      </c>
      <c r="AQ25" s="104">
        <v>10</v>
      </c>
      <c r="AR25" s="104">
        <v>10</v>
      </c>
      <c r="AS25" s="104">
        <v>10</v>
      </c>
      <c r="AT25" s="104">
        <v>10</v>
      </c>
      <c r="AU25" s="104">
        <v>10</v>
      </c>
      <c r="AV25" s="104">
        <v>10</v>
      </c>
      <c r="AW25" s="104">
        <v>10</v>
      </c>
      <c r="AX25" s="104">
        <v>10</v>
      </c>
      <c r="AY25" s="104">
        <v>10</v>
      </c>
      <c r="AZ25" s="104">
        <v>10</v>
      </c>
      <c r="BA25" s="104">
        <v>10</v>
      </c>
      <c r="BB25" s="104">
        <v>10</v>
      </c>
      <c r="BC25" s="104">
        <v>10</v>
      </c>
      <c r="BD25" s="104">
        <v>10</v>
      </c>
      <c r="BE25" s="104">
        <v>10</v>
      </c>
      <c r="BF25" s="104">
        <v>10</v>
      </c>
      <c r="BG25" s="104">
        <v>10</v>
      </c>
      <c r="BH25" s="104">
        <v>10</v>
      </c>
      <c r="BI25" s="104">
        <v>10</v>
      </c>
      <c r="BJ25" s="135">
        <v>10</v>
      </c>
      <c r="BK25" s="136"/>
      <c r="BL25" s="110"/>
      <c r="BM25" s="110"/>
      <c r="BN25" s="110"/>
      <c r="BO25" s="110"/>
      <c r="BP25" s="110"/>
      <c r="BQ25" s="110"/>
      <c r="BR25" s="110"/>
      <c r="BS25" s="110"/>
      <c r="BT25" s="110"/>
      <c r="BU25" s="110"/>
      <c r="BV25" s="110"/>
      <c r="BW25" s="110"/>
      <c r="BX25" s="110"/>
      <c r="BY25" s="110"/>
      <c r="BZ25" s="110"/>
      <c r="CA25" s="110"/>
      <c r="CB25" s="110"/>
      <c r="CC25" s="110"/>
      <c r="CD25" s="110"/>
    </row>
    <row r="26" spans="1:177" ht="15" thickBot="1" x14ac:dyDescent="0.4">
      <c r="A26" s="3" t="s">
        <v>185</v>
      </c>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7"/>
      <c r="AG26" s="126"/>
      <c r="AH26" s="127"/>
      <c r="AI26" s="126"/>
      <c r="AJ26" s="127"/>
      <c r="AK26" s="126"/>
      <c r="AL26" s="127"/>
      <c r="AM26" s="126"/>
      <c r="AN26" s="127"/>
      <c r="AO26" s="126"/>
      <c r="AP26" s="127"/>
      <c r="AQ26" s="126"/>
      <c r="AR26" s="127"/>
      <c r="AS26" s="126"/>
      <c r="AT26" s="127"/>
      <c r="AU26" s="126"/>
      <c r="AV26" s="127"/>
      <c r="AW26" s="126"/>
      <c r="AX26" s="127"/>
      <c r="AY26" s="126"/>
      <c r="AZ26" s="127"/>
      <c r="BA26" s="126"/>
      <c r="BB26" s="127"/>
      <c r="BC26" s="126"/>
      <c r="BD26" s="127"/>
      <c r="BE26" s="126"/>
      <c r="BF26" s="127"/>
      <c r="BG26" s="126"/>
      <c r="BH26" s="127"/>
      <c r="BI26" s="126"/>
      <c r="BJ26" s="127"/>
      <c r="BK26" s="154"/>
      <c r="BL26" s="155"/>
      <c r="BM26" s="155"/>
      <c r="BN26" s="155"/>
      <c r="BO26" s="155"/>
      <c r="BP26" s="155"/>
      <c r="BQ26" s="155"/>
      <c r="BR26" s="155"/>
      <c r="BS26" s="155"/>
      <c r="BT26" s="155"/>
      <c r="BU26" s="155"/>
      <c r="BV26" s="155"/>
      <c r="BW26" s="155"/>
      <c r="BX26" s="155"/>
      <c r="BY26" s="155"/>
      <c r="BZ26" s="155"/>
      <c r="CA26" s="155"/>
      <c r="CB26" s="155"/>
      <c r="CC26" s="155"/>
      <c r="CD26" s="155"/>
    </row>
    <row r="27" spans="1:177" x14ac:dyDescent="0.35">
      <c r="A27" s="133" t="s">
        <v>2</v>
      </c>
      <c r="B27" s="134"/>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51"/>
      <c r="BL27" s="151"/>
      <c r="BM27" s="151"/>
      <c r="BN27" s="151"/>
      <c r="BO27" s="151"/>
      <c r="BP27" s="151"/>
      <c r="BQ27" s="151"/>
      <c r="BR27" s="151"/>
      <c r="BS27" s="151"/>
      <c r="BT27" s="151"/>
      <c r="BU27" s="151"/>
      <c r="BV27" s="151"/>
      <c r="BW27" s="151"/>
      <c r="BX27" s="151"/>
      <c r="BY27" s="151"/>
      <c r="BZ27" s="151"/>
      <c r="CA27" s="151"/>
      <c r="CB27" s="151"/>
      <c r="CC27" s="151"/>
      <c r="CD27" s="151"/>
      <c r="CE27" s="136"/>
    </row>
    <row r="28" spans="1:177" x14ac:dyDescent="0.35">
      <c r="A28" s="3" t="s">
        <v>187</v>
      </c>
      <c r="B28" s="104">
        <f>(((B29+B31)*$B$34)+$B$39+B32)*(44/12)</f>
        <v>256.66666666666663</v>
      </c>
      <c r="C28" s="104">
        <f t="shared" ref="C28:AE28" si="15">(((C29+C31)*$B$34)+$B$39+C32)*(44/12)</f>
        <v>259.1470284134208</v>
      </c>
      <c r="D28" s="104">
        <f>(((D29+D31)*$B$34)+$B$39+D32)*(44/12)</f>
        <v>261.56221730085696</v>
      </c>
      <c r="E28" s="104">
        <f t="shared" si="15"/>
        <v>263.95635862620634</v>
      </c>
      <c r="F28" s="104">
        <f t="shared" si="15"/>
        <v>266.33752574456264</v>
      </c>
      <c r="G28" s="104">
        <f t="shared" si="15"/>
        <v>268.70937776511653</v>
      </c>
      <c r="H28" s="104">
        <f t="shared" si="15"/>
        <v>271.07400199652227</v>
      </c>
      <c r="I28" s="104">
        <f t="shared" si="15"/>
        <v>273.43274404596241</v>
      </c>
      <c r="J28" s="104">
        <f t="shared" si="15"/>
        <v>275.78654118196408</v>
      </c>
      <c r="K28" s="104">
        <f t="shared" si="15"/>
        <v>278.13608230881783</v>
      </c>
      <c r="L28" s="104">
        <f t="shared" si="15"/>
        <v>280.48189425993621</v>
      </c>
      <c r="M28" s="104">
        <f t="shared" si="15"/>
        <v>282.82439240476094</v>
      </c>
      <c r="N28" s="104">
        <f t="shared" si="15"/>
        <v>285.1639122593399</v>
      </c>
      <c r="O28" s="104">
        <f t="shared" si="15"/>
        <v>287.50073023162287</v>
      </c>
      <c r="P28" s="104">
        <f t="shared" si="15"/>
        <v>289.8350777896058</v>
      </c>
      <c r="Q28" s="104">
        <f t="shared" si="15"/>
        <v>292.16715146070396</v>
      </c>
      <c r="R28" s="104">
        <f t="shared" si="15"/>
        <v>294.49712008621555</v>
      </c>
      <c r="S28" s="104">
        <f t="shared" si="15"/>
        <v>296.82513020940894</v>
      </c>
      <c r="T28" s="104">
        <f t="shared" si="15"/>
        <v>299.1513101592459</v>
      </c>
      <c r="U28" s="104">
        <f t="shared" si="15"/>
        <v>301.47577320059446</v>
      </c>
      <c r="V28" s="104">
        <f t="shared" si="15"/>
        <v>303.79862000231839</v>
      </c>
      <c r="W28" s="104">
        <f t="shared" si="15"/>
        <v>306.11994059772184</v>
      </c>
      <c r="X28" s="104">
        <f t="shared" si="15"/>
        <v>308.43981596099542</v>
      </c>
      <c r="Y28" s="104">
        <f t="shared" si="15"/>
        <v>310.75831928893336</v>
      </c>
      <c r="Z28" s="104">
        <f t="shared" si="15"/>
        <v>313.07551705345361</v>
      </c>
      <c r="AA28" s="104">
        <f t="shared" si="15"/>
        <v>315.39146987375528</v>
      </c>
      <c r="AB28" s="104">
        <f t="shared" si="15"/>
        <v>317.70623324500224</v>
      </c>
      <c r="AC28" s="104">
        <f t="shared" si="15"/>
        <v>320.01985815174845</v>
      </c>
      <c r="AD28" s="104">
        <f t="shared" si="15"/>
        <v>322.33239158793157</v>
      </c>
      <c r="AE28" s="104">
        <f t="shared" si="15"/>
        <v>324.64387700049326</v>
      </c>
      <c r="AF28" s="104">
        <f>(((AF29+AF31)*$B$34)+$B$39+AF32)*(44/12)</f>
        <v>326.95435467009145</v>
      </c>
      <c r="AG28" s="104">
        <f t="shared" ref="AG28:BJ28" si="16">(((AG29+AG31)*$B$34)+$B$39+AG32)*(44/12)</f>
        <v>328.04163981740385</v>
      </c>
      <c r="AH28" s="104">
        <f t="shared" si="16"/>
        <v>329.12798955473778</v>
      </c>
      <c r="AI28" s="104">
        <f t="shared" si="16"/>
        <v>330.21343646768912</v>
      </c>
      <c r="AJ28" s="104">
        <f t="shared" si="16"/>
        <v>331.29801105474394</v>
      </c>
      <c r="AK28" s="104">
        <f t="shared" si="16"/>
        <v>332.38174191836544</v>
      </c>
      <c r="AL28" s="104">
        <f t="shared" si="16"/>
        <v>333.46465593362836</v>
      </c>
      <c r="AM28" s="104">
        <f t="shared" si="16"/>
        <v>334.54677839758983</v>
      </c>
      <c r="AN28" s="104">
        <f t="shared" si="16"/>
        <v>335.62813316205717</v>
      </c>
      <c r="AO28" s="104">
        <f t="shared" si="16"/>
        <v>336.70874275198798</v>
      </c>
      <c r="AP28" s="104">
        <f t="shared" si="16"/>
        <v>337.78862847140419</v>
      </c>
      <c r="AQ28" s="104">
        <f t="shared" si="16"/>
        <v>338.86781049841682</v>
      </c>
      <c r="AR28" s="104">
        <f t="shared" si="16"/>
        <v>339.94630797071898</v>
      </c>
      <c r="AS28" s="104">
        <f t="shared" si="16"/>
        <v>341.02413906270732</v>
      </c>
      <c r="AT28" s="104">
        <f t="shared" si="16"/>
        <v>342.1013210552274</v>
      </c>
      <c r="AU28" s="104">
        <f t="shared" si="16"/>
        <v>343.17787039879948</v>
      </c>
      <c r="AV28" s="104">
        <f t="shared" si="16"/>
        <v>344.25380277106626</v>
      </c>
      <c r="AW28" s="104">
        <f t="shared" si="16"/>
        <v>345.3291331291037</v>
      </c>
      <c r="AX28" s="104">
        <f t="shared" si="16"/>
        <v>346.40387575715482</v>
      </c>
      <c r="AY28" s="104">
        <f t="shared" si="16"/>
        <v>347.47804431027288</v>
      </c>
      <c r="AZ28" s="104">
        <f t="shared" si="16"/>
        <v>348.5516518543015</v>
      </c>
      <c r="BA28" s="104">
        <f t="shared" si="16"/>
        <v>349.62471090256611</v>
      </c>
      <c r="BB28" s="104">
        <f t="shared" si="16"/>
        <v>350.69723344960619</v>
      </c>
      <c r="BC28" s="104">
        <f t="shared" si="16"/>
        <v>351.76923100223917</v>
      </c>
      <c r="BD28" s="104">
        <f t="shared" si="16"/>
        <v>352.84071460821411</v>
      </c>
      <c r="BE28" s="104">
        <f t="shared" si="16"/>
        <v>353.91169488268241</v>
      </c>
      <c r="BF28" s="104">
        <f t="shared" si="16"/>
        <v>354.98218203268908</v>
      </c>
      <c r="BG28" s="104">
        <f t="shared" si="16"/>
        <v>356.05218587986491</v>
      </c>
      <c r="BH28" s="104">
        <f t="shared" si="16"/>
        <v>357.12171588148158</v>
      </c>
      <c r="BI28" s="104">
        <f t="shared" si="16"/>
        <v>358.19078115001304</v>
      </c>
      <c r="BJ28" s="135">
        <f t="shared" si="16"/>
        <v>359.25939047133357</v>
      </c>
      <c r="BK28" s="135">
        <f t="shared" ref="BK28:CD28" si="17">(((BK29+BK31)*$B$34)+$B$39+BK32)*(44/12)</f>
        <v>363.99421898833452</v>
      </c>
      <c r="BL28" s="135">
        <f t="shared" si="17"/>
        <v>368.72860821673174</v>
      </c>
      <c r="BM28" s="135">
        <f t="shared" si="17"/>
        <v>373.46256605982393</v>
      </c>
      <c r="BN28" s="135">
        <f t="shared" si="17"/>
        <v>378.19610015562108</v>
      </c>
      <c r="BO28" s="135">
        <f t="shared" si="17"/>
        <v>382.92921788975246</v>
      </c>
      <c r="BP28" s="135">
        <f t="shared" si="17"/>
        <v>387.66192640755844</v>
      </c>
      <c r="BQ28" s="135">
        <f t="shared" si="17"/>
        <v>392.39423262542761</v>
      </c>
      <c r="BR28" s="135">
        <f t="shared" si="17"/>
        <v>397.1261432414388</v>
      </c>
      <c r="BS28" s="135">
        <f t="shared" si="17"/>
        <v>401.8576647453591</v>
      </c>
      <c r="BT28" s="135">
        <f t="shared" si="17"/>
        <v>406.58880342804531</v>
      </c>
      <c r="BU28" s="135">
        <f t="shared" si="17"/>
        <v>411.31956539029358</v>
      </c>
      <c r="BV28" s="135">
        <f t="shared" si="17"/>
        <v>416.04995655117557</v>
      </c>
      <c r="BW28" s="135">
        <f t="shared" si="17"/>
        <v>420.77998265589935</v>
      </c>
      <c r="BX28" s="135">
        <f t="shared" si="17"/>
        <v>425.50964928322622</v>
      </c>
      <c r="BY28" s="135">
        <f t="shared" si="17"/>
        <v>430.23896185247582</v>
      </c>
      <c r="BZ28" s="135">
        <f t="shared" si="17"/>
        <v>434.96792563014714</v>
      </c>
      <c r="CA28" s="135">
        <f t="shared" si="17"/>
        <v>439.69654573618038</v>
      </c>
      <c r="CB28" s="135">
        <f t="shared" si="17"/>
        <v>444.42482714988535</v>
      </c>
      <c r="CC28" s="135">
        <f t="shared" si="17"/>
        <v>449.15277471555606</v>
      </c>
      <c r="CD28" s="135">
        <f t="shared" si="17"/>
        <v>453.88039314779411</v>
      </c>
      <c r="CE28" s="136"/>
    </row>
    <row r="29" spans="1:177" x14ac:dyDescent="0.35">
      <c r="A29" s="3" t="s">
        <v>182</v>
      </c>
      <c r="B29" s="104">
        <f>B30*$C$35*$E$36</f>
        <v>0</v>
      </c>
      <c r="C29" s="104">
        <f>C30*$C$35*$E$36</f>
        <v>0.48099999999999998</v>
      </c>
      <c r="D29" s="104">
        <f>D30*$C$35*$E$36</f>
        <v>0.96199999999999997</v>
      </c>
      <c r="E29" s="104">
        <f t="shared" ref="E29:BP29" si="18">E30*$C$35*$E$36</f>
        <v>1.4430000000000001</v>
      </c>
      <c r="F29" s="104">
        <f t="shared" si="18"/>
        <v>1.9239999999999999</v>
      </c>
      <c r="G29" s="104">
        <f t="shared" si="18"/>
        <v>2.4049999999999998</v>
      </c>
      <c r="H29" s="104">
        <f t="shared" si="18"/>
        <v>2.8860000000000001</v>
      </c>
      <c r="I29" s="104">
        <f t="shared" si="18"/>
        <v>3.367</v>
      </c>
      <c r="J29" s="104">
        <f t="shared" si="18"/>
        <v>3.8479999999999999</v>
      </c>
      <c r="K29" s="104">
        <f t="shared" si="18"/>
        <v>4.3290000000000006</v>
      </c>
      <c r="L29" s="104">
        <f t="shared" si="18"/>
        <v>4.8099999999999996</v>
      </c>
      <c r="M29" s="104">
        <f t="shared" si="18"/>
        <v>5.2910000000000004</v>
      </c>
      <c r="N29" s="104">
        <f t="shared" si="18"/>
        <v>5.7720000000000002</v>
      </c>
      <c r="O29" s="104">
        <f t="shared" si="18"/>
        <v>6.253000000000001</v>
      </c>
      <c r="P29" s="104">
        <f t="shared" si="18"/>
        <v>6.734</v>
      </c>
      <c r="Q29" s="104">
        <f t="shared" si="18"/>
        <v>7.2149999999999999</v>
      </c>
      <c r="R29" s="104">
        <f t="shared" si="18"/>
        <v>7.6959999999999997</v>
      </c>
      <c r="S29" s="104">
        <f t="shared" si="18"/>
        <v>8.1769999999999996</v>
      </c>
      <c r="T29" s="104">
        <f t="shared" si="18"/>
        <v>8.6580000000000013</v>
      </c>
      <c r="U29" s="104">
        <f t="shared" si="18"/>
        <v>9.1389999999999993</v>
      </c>
      <c r="V29" s="104">
        <f t="shared" si="18"/>
        <v>9.6199999999999992</v>
      </c>
      <c r="W29" s="104">
        <f t="shared" si="18"/>
        <v>10.101000000000001</v>
      </c>
      <c r="X29" s="104">
        <f t="shared" si="18"/>
        <v>10.582000000000001</v>
      </c>
      <c r="Y29" s="104">
        <f t="shared" si="18"/>
        <v>11.063000000000001</v>
      </c>
      <c r="Z29" s="104">
        <f t="shared" si="18"/>
        <v>11.544</v>
      </c>
      <c r="AA29" s="104">
        <f t="shared" si="18"/>
        <v>12.025</v>
      </c>
      <c r="AB29" s="104">
        <f t="shared" si="18"/>
        <v>12.506000000000002</v>
      </c>
      <c r="AC29" s="104">
        <f t="shared" si="18"/>
        <v>12.987</v>
      </c>
      <c r="AD29" s="104">
        <f t="shared" si="18"/>
        <v>13.468</v>
      </c>
      <c r="AE29" s="104">
        <f t="shared" si="18"/>
        <v>13.949000000000002</v>
      </c>
      <c r="AF29" s="104">
        <f>AF30*$C$35*$E$36</f>
        <v>14.43</v>
      </c>
      <c r="AG29" s="104">
        <f t="shared" si="18"/>
        <v>14.911000000000001</v>
      </c>
      <c r="AH29" s="104">
        <f t="shared" si="18"/>
        <v>15.391999999999999</v>
      </c>
      <c r="AI29" s="104">
        <f t="shared" si="18"/>
        <v>15.872999999999999</v>
      </c>
      <c r="AJ29" s="104">
        <f t="shared" si="18"/>
        <v>16.353999999999999</v>
      </c>
      <c r="AK29" s="104">
        <f t="shared" si="18"/>
        <v>16.835000000000001</v>
      </c>
      <c r="AL29" s="104">
        <f t="shared" si="18"/>
        <v>17.316000000000003</v>
      </c>
      <c r="AM29" s="104">
        <f t="shared" si="18"/>
        <v>17.797000000000001</v>
      </c>
      <c r="AN29" s="104">
        <f t="shared" si="18"/>
        <v>18.277999999999999</v>
      </c>
      <c r="AO29" s="104">
        <f t="shared" si="18"/>
        <v>18.759</v>
      </c>
      <c r="AP29" s="104">
        <f t="shared" si="18"/>
        <v>19.239999999999998</v>
      </c>
      <c r="AQ29" s="104">
        <f t="shared" si="18"/>
        <v>19.721</v>
      </c>
      <c r="AR29" s="104">
        <f t="shared" si="18"/>
        <v>20.202000000000002</v>
      </c>
      <c r="AS29" s="104">
        <f t="shared" si="18"/>
        <v>20.683</v>
      </c>
      <c r="AT29" s="104">
        <f t="shared" si="18"/>
        <v>21.164000000000001</v>
      </c>
      <c r="AU29" s="104">
        <f t="shared" si="18"/>
        <v>21.645</v>
      </c>
      <c r="AV29" s="104">
        <f t="shared" si="18"/>
        <v>22.126000000000001</v>
      </c>
      <c r="AW29" s="104">
        <f t="shared" si="18"/>
        <v>22.606999999999999</v>
      </c>
      <c r="AX29" s="104">
        <f t="shared" si="18"/>
        <v>23.088000000000001</v>
      </c>
      <c r="AY29" s="104">
        <f t="shared" si="18"/>
        <v>23.568999999999999</v>
      </c>
      <c r="AZ29" s="104">
        <f t="shared" si="18"/>
        <v>24.05</v>
      </c>
      <c r="BA29" s="104">
        <f t="shared" si="18"/>
        <v>24.530999999999999</v>
      </c>
      <c r="BB29" s="104">
        <f t="shared" si="18"/>
        <v>25.012000000000004</v>
      </c>
      <c r="BC29" s="104">
        <f t="shared" si="18"/>
        <v>25.493000000000002</v>
      </c>
      <c r="BD29" s="104">
        <f t="shared" si="18"/>
        <v>25.974</v>
      </c>
      <c r="BE29" s="104">
        <f t="shared" si="18"/>
        <v>26.454999999999998</v>
      </c>
      <c r="BF29" s="104">
        <f t="shared" si="18"/>
        <v>26.936</v>
      </c>
      <c r="BG29" s="104">
        <f t="shared" si="18"/>
        <v>27.417000000000002</v>
      </c>
      <c r="BH29" s="104">
        <f t="shared" si="18"/>
        <v>27.898000000000003</v>
      </c>
      <c r="BI29" s="104">
        <f t="shared" si="18"/>
        <v>28.379000000000001</v>
      </c>
      <c r="BJ29" s="135">
        <f t="shared" si="18"/>
        <v>28.86</v>
      </c>
      <c r="BK29" s="135">
        <f t="shared" si="18"/>
        <v>29.340999999999998</v>
      </c>
      <c r="BL29" s="135">
        <f t="shared" si="18"/>
        <v>29.822000000000003</v>
      </c>
      <c r="BM29" s="135">
        <f t="shared" si="18"/>
        <v>30.303000000000001</v>
      </c>
      <c r="BN29" s="135">
        <f t="shared" si="18"/>
        <v>30.783999999999999</v>
      </c>
      <c r="BO29" s="135">
        <f t="shared" si="18"/>
        <v>31.265000000000001</v>
      </c>
      <c r="BP29" s="135">
        <f t="shared" si="18"/>
        <v>31.745999999999999</v>
      </c>
      <c r="BQ29" s="135">
        <f t="shared" ref="BQ29:CC29" si="19">BQ30*$C$35*$E$36</f>
        <v>32.227000000000004</v>
      </c>
      <c r="BR29" s="135">
        <f t="shared" si="19"/>
        <v>32.707999999999998</v>
      </c>
      <c r="BS29" s="135">
        <f t="shared" si="19"/>
        <v>33.189</v>
      </c>
      <c r="BT29" s="135">
        <f t="shared" si="19"/>
        <v>33.67</v>
      </c>
      <c r="BU29" s="135">
        <f t="shared" si="19"/>
        <v>34.150999999999996</v>
      </c>
      <c r="BV29" s="135">
        <f t="shared" si="19"/>
        <v>34.632000000000005</v>
      </c>
      <c r="BW29" s="135">
        <f t="shared" si="19"/>
        <v>35.113</v>
      </c>
      <c r="BX29" s="135">
        <f t="shared" si="19"/>
        <v>35.594000000000001</v>
      </c>
      <c r="BY29" s="135">
        <f t="shared" si="19"/>
        <v>36.075000000000003</v>
      </c>
      <c r="BZ29" s="135">
        <f t="shared" si="19"/>
        <v>36.555999999999997</v>
      </c>
      <c r="CA29" s="135">
        <f t="shared" si="19"/>
        <v>37.037000000000006</v>
      </c>
      <c r="CB29" s="135">
        <f t="shared" si="19"/>
        <v>37.518000000000001</v>
      </c>
      <c r="CC29" s="135">
        <f t="shared" si="19"/>
        <v>37.999000000000002</v>
      </c>
      <c r="CD29" s="135">
        <f>CD30*$C$35*$E$36</f>
        <v>38.479999999999997</v>
      </c>
      <c r="CE29" s="136"/>
    </row>
    <row r="30" spans="1:177" ht="17" customHeight="1" x14ac:dyDescent="0.35">
      <c r="A30" s="18" t="s">
        <v>13</v>
      </c>
      <c r="B30" s="104">
        <v>0</v>
      </c>
      <c r="C30" s="104">
        <f>IF($B$16="NON",1,0.5)</f>
        <v>1</v>
      </c>
      <c r="D30" s="104">
        <f>IF($B$16="NON",C30+1,C30+0.5)</f>
        <v>2</v>
      </c>
      <c r="E30" s="104">
        <f t="shared" ref="E30:AF30" si="20">IF($B$16="NON",D30+1,D30+0.5)</f>
        <v>3</v>
      </c>
      <c r="F30" s="104">
        <f t="shared" si="20"/>
        <v>4</v>
      </c>
      <c r="G30" s="104">
        <f t="shared" si="20"/>
        <v>5</v>
      </c>
      <c r="H30" s="104">
        <f t="shared" si="20"/>
        <v>6</v>
      </c>
      <c r="I30" s="104">
        <f t="shared" si="20"/>
        <v>7</v>
      </c>
      <c r="J30" s="104">
        <f t="shared" si="20"/>
        <v>8</v>
      </c>
      <c r="K30" s="104">
        <f t="shared" si="20"/>
        <v>9</v>
      </c>
      <c r="L30" s="104">
        <f t="shared" si="20"/>
        <v>10</v>
      </c>
      <c r="M30" s="104">
        <f t="shared" si="20"/>
        <v>11</v>
      </c>
      <c r="N30" s="104">
        <f t="shared" si="20"/>
        <v>12</v>
      </c>
      <c r="O30" s="104">
        <f t="shared" si="20"/>
        <v>13</v>
      </c>
      <c r="P30" s="104">
        <f t="shared" si="20"/>
        <v>14</v>
      </c>
      <c r="Q30" s="104">
        <f t="shared" si="20"/>
        <v>15</v>
      </c>
      <c r="R30" s="104">
        <f t="shared" si="20"/>
        <v>16</v>
      </c>
      <c r="S30" s="104">
        <f t="shared" si="20"/>
        <v>17</v>
      </c>
      <c r="T30" s="104">
        <f t="shared" si="20"/>
        <v>18</v>
      </c>
      <c r="U30" s="104">
        <f t="shared" si="20"/>
        <v>19</v>
      </c>
      <c r="V30" s="104">
        <f t="shared" si="20"/>
        <v>20</v>
      </c>
      <c r="W30" s="104">
        <f t="shared" si="20"/>
        <v>21</v>
      </c>
      <c r="X30" s="104">
        <f t="shared" si="20"/>
        <v>22</v>
      </c>
      <c r="Y30" s="104">
        <f t="shared" si="20"/>
        <v>23</v>
      </c>
      <c r="Z30" s="104">
        <f t="shared" si="20"/>
        <v>24</v>
      </c>
      <c r="AA30" s="104">
        <f t="shared" si="20"/>
        <v>25</v>
      </c>
      <c r="AB30" s="104">
        <f t="shared" si="20"/>
        <v>26</v>
      </c>
      <c r="AC30" s="104">
        <f t="shared" si="20"/>
        <v>27</v>
      </c>
      <c r="AD30" s="104">
        <f t="shared" si="20"/>
        <v>28</v>
      </c>
      <c r="AE30" s="104">
        <f t="shared" si="20"/>
        <v>29</v>
      </c>
      <c r="AF30" s="104">
        <f t="shared" si="20"/>
        <v>30</v>
      </c>
      <c r="AG30" s="104">
        <f t="shared" ref="AG30" si="21">IF($B$16="NON",AF30+1,AF30+0.5)</f>
        <v>31</v>
      </c>
      <c r="AH30" s="104">
        <f t="shared" ref="AH30" si="22">IF($B$16="NON",AG30+1,AG30+0.5)</f>
        <v>32</v>
      </c>
      <c r="AI30" s="104">
        <f t="shared" ref="AI30" si="23">IF($B$16="NON",AH30+1,AH30+0.5)</f>
        <v>33</v>
      </c>
      <c r="AJ30" s="104">
        <f t="shared" ref="AJ30" si="24">IF($B$16="NON",AI30+1,AI30+0.5)</f>
        <v>34</v>
      </c>
      <c r="AK30" s="104">
        <f t="shared" ref="AK30" si="25">IF($B$16="NON",AJ30+1,AJ30+0.5)</f>
        <v>35</v>
      </c>
      <c r="AL30" s="104">
        <f t="shared" ref="AL30" si="26">IF($B$16="NON",AK30+1,AK30+0.5)</f>
        <v>36</v>
      </c>
      <c r="AM30" s="104">
        <f t="shared" ref="AM30" si="27">IF($B$16="NON",AL30+1,AL30+0.5)</f>
        <v>37</v>
      </c>
      <c r="AN30" s="104">
        <f t="shared" ref="AN30" si="28">IF($B$16="NON",AM30+1,AM30+0.5)</f>
        <v>38</v>
      </c>
      <c r="AO30" s="104">
        <f t="shared" ref="AO30" si="29">IF($B$16="NON",AN30+1,AN30+0.5)</f>
        <v>39</v>
      </c>
      <c r="AP30" s="104">
        <f t="shared" ref="AP30" si="30">IF($B$16="NON",AO30+1,AO30+0.5)</f>
        <v>40</v>
      </c>
      <c r="AQ30" s="104">
        <f t="shared" ref="AQ30" si="31">IF($B$16="NON",AP30+1,AP30+0.5)</f>
        <v>41</v>
      </c>
      <c r="AR30" s="104">
        <f t="shared" ref="AR30" si="32">IF($B$16="NON",AQ30+1,AQ30+0.5)</f>
        <v>42</v>
      </c>
      <c r="AS30" s="104">
        <f t="shared" ref="AS30" si="33">IF($B$16="NON",AR30+1,AR30+0.5)</f>
        <v>43</v>
      </c>
      <c r="AT30" s="104">
        <f t="shared" ref="AT30" si="34">IF($B$16="NON",AS30+1,AS30+0.5)</f>
        <v>44</v>
      </c>
      <c r="AU30" s="104">
        <f t="shared" ref="AU30" si="35">IF($B$16="NON",AT30+1,AT30+0.5)</f>
        <v>45</v>
      </c>
      <c r="AV30" s="104">
        <f t="shared" ref="AV30" si="36">IF($B$16="NON",AU30+1,AU30+0.5)</f>
        <v>46</v>
      </c>
      <c r="AW30" s="104">
        <f t="shared" ref="AW30" si="37">IF($B$16="NON",AV30+1,AV30+0.5)</f>
        <v>47</v>
      </c>
      <c r="AX30" s="104">
        <f t="shared" ref="AX30" si="38">IF($B$16="NON",AW30+1,AW30+0.5)</f>
        <v>48</v>
      </c>
      <c r="AY30" s="104">
        <f t="shared" ref="AY30" si="39">IF($B$16="NON",AX30+1,AX30+0.5)</f>
        <v>49</v>
      </c>
      <c r="AZ30" s="104">
        <f t="shared" ref="AZ30" si="40">IF($B$16="NON",AY30+1,AY30+0.5)</f>
        <v>50</v>
      </c>
      <c r="BA30" s="104">
        <f t="shared" ref="BA30" si="41">IF($B$16="NON",AZ30+1,AZ30+0.5)</f>
        <v>51</v>
      </c>
      <c r="BB30" s="104">
        <f t="shared" ref="BB30" si="42">IF($B$16="NON",BA30+1,BA30+0.5)</f>
        <v>52</v>
      </c>
      <c r="BC30" s="104">
        <f t="shared" ref="BC30" si="43">IF($B$16="NON",BB30+1,BB30+0.5)</f>
        <v>53</v>
      </c>
      <c r="BD30" s="104">
        <f t="shared" ref="BD30" si="44">IF($B$16="NON",BC30+1,BC30+0.5)</f>
        <v>54</v>
      </c>
      <c r="BE30" s="104">
        <f t="shared" ref="BE30" si="45">IF($B$16="NON",BD30+1,BD30+0.5)</f>
        <v>55</v>
      </c>
      <c r="BF30" s="104">
        <f t="shared" ref="BF30" si="46">IF($B$16="NON",BE30+1,BE30+0.5)</f>
        <v>56</v>
      </c>
      <c r="BG30" s="104">
        <f t="shared" ref="BG30" si="47">IF($B$16="NON",BF30+1,BF30+0.5)</f>
        <v>57</v>
      </c>
      <c r="BH30" s="104">
        <f t="shared" ref="BH30" si="48">IF($B$16="NON",BG30+1,BG30+0.5)</f>
        <v>58</v>
      </c>
      <c r="BI30" s="104">
        <f t="shared" ref="BI30" si="49">IF($B$16="NON",BH30+1,BH30+0.5)</f>
        <v>59</v>
      </c>
      <c r="BJ30" s="135">
        <f t="shared" ref="BJ30" si="50">IF($B$16="NON",BI30+1,BI30+0.5)</f>
        <v>60</v>
      </c>
      <c r="BK30" s="135">
        <f t="shared" ref="BK30" si="51">IF($B$16="NON",BJ30+1,BJ30+0.5)</f>
        <v>61</v>
      </c>
      <c r="BL30" s="135">
        <f t="shared" ref="BL30" si="52">IF($B$16="NON",BK30+1,BK30+0.5)</f>
        <v>62</v>
      </c>
      <c r="BM30" s="135">
        <f t="shared" ref="BM30" si="53">IF($B$16="NON",BL30+1,BL30+0.5)</f>
        <v>63</v>
      </c>
      <c r="BN30" s="135">
        <f t="shared" ref="BN30" si="54">IF($B$16="NON",BM30+1,BM30+0.5)</f>
        <v>64</v>
      </c>
      <c r="BO30" s="135">
        <f t="shared" ref="BO30" si="55">IF($B$16="NON",BN30+1,BN30+0.5)</f>
        <v>65</v>
      </c>
      <c r="BP30" s="135">
        <f t="shared" ref="BP30" si="56">IF($B$16="NON",BO30+1,BO30+0.5)</f>
        <v>66</v>
      </c>
      <c r="BQ30" s="135">
        <f t="shared" ref="BQ30" si="57">IF($B$16="NON",BP30+1,BP30+0.5)</f>
        <v>67</v>
      </c>
      <c r="BR30" s="135">
        <f t="shared" ref="BR30" si="58">IF($B$16="NON",BQ30+1,BQ30+0.5)</f>
        <v>68</v>
      </c>
      <c r="BS30" s="135">
        <f t="shared" ref="BS30" si="59">IF($B$16="NON",BR30+1,BR30+0.5)</f>
        <v>69</v>
      </c>
      <c r="BT30" s="135">
        <f t="shared" ref="BT30" si="60">IF($B$16="NON",BS30+1,BS30+0.5)</f>
        <v>70</v>
      </c>
      <c r="BU30" s="135">
        <f t="shared" ref="BU30" si="61">IF($B$16="NON",BT30+1,BT30+0.5)</f>
        <v>71</v>
      </c>
      <c r="BV30" s="135">
        <f t="shared" ref="BV30" si="62">IF($B$16="NON",BU30+1,BU30+0.5)</f>
        <v>72</v>
      </c>
      <c r="BW30" s="135">
        <f t="shared" ref="BW30" si="63">IF($B$16="NON",BV30+1,BV30+0.5)</f>
        <v>73</v>
      </c>
      <c r="BX30" s="135">
        <f t="shared" ref="BX30" si="64">IF($B$16="NON",BW30+1,BW30+0.5)</f>
        <v>74</v>
      </c>
      <c r="BY30" s="135">
        <f t="shared" ref="BY30" si="65">IF($B$16="NON",BX30+1,BX30+0.5)</f>
        <v>75</v>
      </c>
      <c r="BZ30" s="135">
        <f t="shared" ref="BZ30" si="66">IF($B$16="NON",BY30+1,BY30+0.5)</f>
        <v>76</v>
      </c>
      <c r="CA30" s="135">
        <f t="shared" ref="CA30" si="67">IF($B$16="NON",BZ30+1,BZ30+0.5)</f>
        <v>77</v>
      </c>
      <c r="CB30" s="135">
        <f t="shared" ref="CB30" si="68">IF($B$16="NON",CA30+1,CA30+0.5)</f>
        <v>78</v>
      </c>
      <c r="CC30" s="135">
        <f t="shared" ref="CC30" si="69">IF($B$16="NON",CB30+1,CB30+0.5)</f>
        <v>79</v>
      </c>
      <c r="CD30" s="135">
        <f t="shared" ref="CD30" si="70">IF($B$16="NON",CC30+1,CC30+0.5)</f>
        <v>80</v>
      </c>
      <c r="CE30" s="136"/>
    </row>
    <row r="31" spans="1:177" x14ac:dyDescent="0.35">
      <c r="A31" s="3" t="s">
        <v>183</v>
      </c>
      <c r="B31" s="104">
        <v>0</v>
      </c>
      <c r="C31" s="104">
        <f>EXP(-1.0587+0.8836*LN(C29)+0.284)</f>
        <v>0.24137676049677712</v>
      </c>
      <c r="D31" s="104">
        <f t="shared" ref="D31:AE31" si="71">EXP(-1.0587+0.8836*LN(D29)+0.284)</f>
        <v>0.4453336974617329</v>
      </c>
      <c r="E31" s="104">
        <f>EXP(-1.0587+0.8836*LN(E29)+0.284)</f>
        <v>0.63720590978354918</v>
      </c>
      <c r="F31" s="104">
        <f t="shared" si="71"/>
        <v>0.82162881665480925</v>
      </c>
      <c r="G31" s="104">
        <f t="shared" si="71"/>
        <v>1.0007033420126812</v>
      </c>
      <c r="H31" s="104">
        <f t="shared" si="71"/>
        <v>1.1756279405869499</v>
      </c>
      <c r="I31" s="104">
        <f t="shared" si="71"/>
        <v>1.3471752098029797</v>
      </c>
      <c r="J31" s="104">
        <f t="shared" si="71"/>
        <v>1.5158832942696654</v>
      </c>
      <c r="K31" s="104">
        <f t="shared" si="71"/>
        <v>1.6821477371202942</v>
      </c>
      <c r="L31" s="104">
        <f t="shared" si="71"/>
        <v>1.8462710264386484</v>
      </c>
      <c r="M31" s="104">
        <f t="shared" si="71"/>
        <v>2.0084916518563651</v>
      </c>
      <c r="N31" s="104">
        <f t="shared" si="71"/>
        <v>2.1690022541664664</v>
      </c>
      <c r="O31" s="104">
        <f t="shared" si="71"/>
        <v>2.3279615364980022</v>
      </c>
      <c r="P31" s="104">
        <f t="shared" si="71"/>
        <v>2.4855023991357164</v>
      </c>
      <c r="Q31" s="104">
        <f t="shared" si="71"/>
        <v>2.6417376807869739</v>
      </c>
      <c r="R31" s="104">
        <f t="shared" si="71"/>
        <v>2.7967643238239419</v>
      </c>
      <c r="S31" s="104">
        <f t="shared" si="71"/>
        <v>2.9506664679221988</v>
      </c>
      <c r="T31" s="104">
        <f t="shared" si="71"/>
        <v>3.1035177947823605</v>
      </c>
      <c r="U31" s="104">
        <f t="shared" si="71"/>
        <v>3.2553833368644418</v>
      </c>
      <c r="V31" s="104">
        <f t="shared" si="71"/>
        <v>3.4063208944730636</v>
      </c>
      <c r="W31" s="104">
        <f t="shared" si="71"/>
        <v>3.5563821613713857</v>
      </c>
      <c r="X31" s="104">
        <f t="shared" si="71"/>
        <v>3.7056136299176217</v>
      </c>
      <c r="Y31" s="104">
        <f t="shared" si="71"/>
        <v>3.8540573269792722</v>
      </c>
      <c r="Z31" s="104">
        <f t="shared" si="71"/>
        <v>4.0017514182509002</v>
      </c>
      <c r="AA31" s="104">
        <f t="shared" si="71"/>
        <v>4.1487307090142194</v>
      </c>
      <c r="AB31" s="104">
        <f t="shared" si="71"/>
        <v>4.2950270625211875</v>
      </c>
      <c r="AC31" s="104">
        <f t="shared" si="71"/>
        <v>4.4406697522000576</v>
      </c>
      <c r="AD31" s="104">
        <f t="shared" si="71"/>
        <v>4.5856857602159096</v>
      </c>
      <c r="AE31" s="104">
        <f t="shared" si="71"/>
        <v>4.7301000321811149</v>
      </c>
      <c r="AF31" s="104">
        <f>EXP(-1.0587+0.8836*LN(AF29)+0.284)</f>
        <v>4.8739356957462956</v>
      </c>
      <c r="AG31" s="104">
        <f t="shared" ref="AG31:BJ31" si="72">EXP(-1.0587+0.8836*LN(AG29)+0.284)</f>
        <v>5.0172142492271012</v>
      </c>
      <c r="AH31" s="104">
        <f t="shared" si="72"/>
        <v>5.1599557252083095</v>
      </c>
      <c r="AI31" s="104">
        <f t="shared" si="72"/>
        <v>5.302178833122948</v>
      </c>
      <c r="AJ31" s="104">
        <f t="shared" si="72"/>
        <v>5.4439010840635174</v>
      </c>
      <c r="AK31" s="104">
        <f t="shared" si="72"/>
        <v>5.5851389004969132</v>
      </c>
      <c r="AL31" s="104">
        <f t="shared" si="72"/>
        <v>5.7259077130880893</v>
      </c>
      <c r="AM31" s="104">
        <f t="shared" si="72"/>
        <v>5.8662220464630659</v>
      </c>
      <c r="AN31" s="104">
        <f t="shared" si="72"/>
        <v>6.0060955954395334</v>
      </c>
      <c r="AO31" s="104">
        <f t="shared" si="72"/>
        <v>6.1455412930074749</v>
      </c>
      <c r="AP31" s="104">
        <f t="shared" si="72"/>
        <v>6.2845713711411815</v>
      </c>
      <c r="AQ31" s="104">
        <f t="shared" si="72"/>
        <v>6.4231974153589464</v>
      </c>
      <c r="AR31" s="104">
        <f t="shared" si="72"/>
        <v>6.5614304138099309</v>
      </c>
      <c r="AS31" s="104">
        <f t="shared" si="72"/>
        <v>6.6992808015544387</v>
      </c>
      <c r="AT31" s="104">
        <f t="shared" si="72"/>
        <v>6.8367585006090232</v>
      </c>
      <c r="AU31" s="104">
        <f t="shared" si="72"/>
        <v>6.9738729562485098</v>
      </c>
      <c r="AV31" s="104">
        <f t="shared" si="72"/>
        <v>7.1106331699901961</v>
      </c>
      <c r="AW31" s="104">
        <f t="shared" si="72"/>
        <v>7.2470477296289335</v>
      </c>
      <c r="AX31" s="104">
        <f t="shared" si="72"/>
        <v>7.3831248366439288</v>
      </c>
      <c r="AY31" s="104">
        <f t="shared" si="72"/>
        <v>7.5188723312571524</v>
      </c>
      <c r="AZ31" s="104">
        <f t="shared" si="72"/>
        <v>7.6542977153884202</v>
      </c>
      <c r="BA31" s="104">
        <f t="shared" si="72"/>
        <v>7.7894081737221814</v>
      </c>
      <c r="BB31" s="104">
        <f t="shared" si="72"/>
        <v>7.9242105930753208</v>
      </c>
      <c r="BC31" s="104">
        <f t="shared" si="72"/>
        <v>8.0587115802330231</v>
      </c>
      <c r="BD31" s="104">
        <f t="shared" si="72"/>
        <v>8.1929174784004655</v>
      </c>
      <c r="BE31" s="104">
        <f t="shared" si="72"/>
        <v>8.3268343824014135</v>
      </c>
      <c r="BF31" s="104">
        <f t="shared" si="72"/>
        <v>8.4604681527401464</v>
      </c>
      <c r="BG31" s="104">
        <f t="shared" si="72"/>
        <v>8.5938244286305689</v>
      </c>
      <c r="BH31" s="104">
        <f t="shared" si="72"/>
        <v>8.726908640085103</v>
      </c>
      <c r="BI31" s="104">
        <f t="shared" si="72"/>
        <v>8.8597260191462457</v>
      </c>
      <c r="BJ31" s="135">
        <f t="shared" si="72"/>
        <v>8.9922816103350698</v>
      </c>
      <c r="BK31" s="135">
        <f t="shared" ref="BK31:CD31" si="73">EXP(-1.0587+0.8836*LN(BK29)+0.284)</f>
        <v>9.1245802803834763</v>
      </c>
      <c r="BL31" s="135">
        <f t="shared" si="73"/>
        <v>9.2566267273101062</v>
      </c>
      <c r="BM31" s="135">
        <f t="shared" si="73"/>
        <v>9.388425488894141</v>
      </c>
      <c r="BN31" s="135">
        <f t="shared" si="73"/>
        <v>9.5199809505958406</v>
      </c>
      <c r="BO31" s="135">
        <f t="shared" si="73"/>
        <v>9.6512973529679584</v>
      </c>
      <c r="BP31" s="135">
        <f t="shared" si="73"/>
        <v>9.7823787985981596</v>
      </c>
      <c r="BQ31" s="135">
        <f t="shared" si="73"/>
        <v>9.9132292586187223</v>
      </c>
      <c r="BR31" s="135">
        <f t="shared" si="73"/>
        <v>10.04385257881656</v>
      </c>
      <c r="BS31" s="135">
        <f t="shared" si="73"/>
        <v>10.174252485373673</v>
      </c>
      <c r="BT31" s="135">
        <f t="shared" si="73"/>
        <v>10.304432590265284</v>
      </c>
      <c r="BU31" s="135">
        <f t="shared" si="73"/>
        <v>10.434396396340803</v>
      </c>
      <c r="BV31" s="135">
        <f t="shared" si="73"/>
        <v>10.564147302110392</v>
      </c>
      <c r="BW31" s="135">
        <f t="shared" si="73"/>
        <v>10.69368860625802</v>
      </c>
      <c r="BX31" s="135">
        <f t="shared" si="73"/>
        <v>10.823023511900235</v>
      </c>
      <c r="BY31" s="135">
        <f t="shared" si="73"/>
        <v>10.952155130608164</v>
      </c>
      <c r="BZ31" s="135">
        <f t="shared" si="73"/>
        <v>11.081086486208886</v>
      </c>
      <c r="CA31" s="135">
        <f t="shared" si="73"/>
        <v>11.209820518381095</v>
      </c>
      <c r="CB31" s="135">
        <f t="shared" si="73"/>
        <v>11.338360086058575</v>
      </c>
      <c r="CC31" s="135">
        <f t="shared" si="73"/>
        <v>11.466707970654237</v>
      </c>
      <c r="CD31" s="135">
        <f t="shared" si="73"/>
        <v>11.594866879116243</v>
      </c>
      <c r="CE31" s="136"/>
    </row>
    <row r="32" spans="1:177" ht="15" thickBot="1" x14ac:dyDescent="0.4">
      <c r="A32" s="3" t="s">
        <v>184</v>
      </c>
      <c r="B32" s="104">
        <f>(B19*(($B$38-$B$37)/30))</f>
        <v>0</v>
      </c>
      <c r="C32" s="122">
        <f t="shared" ref="C32:AF32" si="74">(C19*(($B$38-$B$37)/30))</f>
        <v>0.33333333333333331</v>
      </c>
      <c r="D32" s="122">
        <f t="shared" si="74"/>
        <v>0.66666666666666663</v>
      </c>
      <c r="E32" s="122">
        <f t="shared" si="74"/>
        <v>1</v>
      </c>
      <c r="F32" s="122">
        <f t="shared" si="74"/>
        <v>1.3333333333333333</v>
      </c>
      <c r="G32" s="122">
        <f t="shared" si="74"/>
        <v>1.6666666666666665</v>
      </c>
      <c r="H32" s="122">
        <f t="shared" si="74"/>
        <v>2</v>
      </c>
      <c r="I32" s="122">
        <f t="shared" si="74"/>
        <v>2.333333333333333</v>
      </c>
      <c r="J32" s="122">
        <f t="shared" si="74"/>
        <v>2.6666666666666665</v>
      </c>
      <c r="K32" s="122">
        <f t="shared" si="74"/>
        <v>3</v>
      </c>
      <c r="L32" s="122">
        <f t="shared" si="74"/>
        <v>3.333333333333333</v>
      </c>
      <c r="M32" s="122">
        <f t="shared" si="74"/>
        <v>3.6666666666666665</v>
      </c>
      <c r="N32" s="122">
        <f t="shared" si="74"/>
        <v>4</v>
      </c>
      <c r="O32" s="122">
        <f t="shared" si="74"/>
        <v>4.333333333333333</v>
      </c>
      <c r="P32" s="122">
        <f t="shared" si="74"/>
        <v>4.6666666666666661</v>
      </c>
      <c r="Q32" s="122">
        <f t="shared" si="74"/>
        <v>5</v>
      </c>
      <c r="R32" s="122">
        <f t="shared" si="74"/>
        <v>5.333333333333333</v>
      </c>
      <c r="S32" s="122">
        <f t="shared" si="74"/>
        <v>5.6666666666666661</v>
      </c>
      <c r="T32" s="122">
        <f t="shared" si="74"/>
        <v>6</v>
      </c>
      <c r="U32" s="122">
        <f t="shared" si="74"/>
        <v>6.333333333333333</v>
      </c>
      <c r="V32" s="122">
        <f t="shared" si="74"/>
        <v>6.6666666666666661</v>
      </c>
      <c r="W32" s="122">
        <f t="shared" si="74"/>
        <v>7</v>
      </c>
      <c r="X32" s="122">
        <f t="shared" si="74"/>
        <v>7.333333333333333</v>
      </c>
      <c r="Y32" s="122">
        <f t="shared" si="74"/>
        <v>7.6666666666666661</v>
      </c>
      <c r="Z32" s="122">
        <f t="shared" si="74"/>
        <v>8</v>
      </c>
      <c r="AA32" s="122">
        <f t="shared" si="74"/>
        <v>8.3333333333333321</v>
      </c>
      <c r="AB32" s="122">
        <f t="shared" si="74"/>
        <v>8.6666666666666661</v>
      </c>
      <c r="AC32" s="122">
        <f t="shared" si="74"/>
        <v>9</v>
      </c>
      <c r="AD32" s="122">
        <f t="shared" si="74"/>
        <v>9.3333333333333321</v>
      </c>
      <c r="AE32" s="122">
        <f t="shared" si="74"/>
        <v>9.6666666666666661</v>
      </c>
      <c r="AF32" s="122">
        <f t="shared" si="74"/>
        <v>10</v>
      </c>
      <c r="AG32" s="122">
        <v>10</v>
      </c>
      <c r="AH32" s="122">
        <v>10</v>
      </c>
      <c r="AI32" s="122">
        <v>10</v>
      </c>
      <c r="AJ32" s="122">
        <v>10</v>
      </c>
      <c r="AK32" s="122">
        <v>10</v>
      </c>
      <c r="AL32" s="122">
        <v>10</v>
      </c>
      <c r="AM32" s="122">
        <v>10</v>
      </c>
      <c r="AN32" s="122">
        <v>10</v>
      </c>
      <c r="AO32" s="122">
        <v>10</v>
      </c>
      <c r="AP32" s="122">
        <v>10</v>
      </c>
      <c r="AQ32" s="122">
        <v>10</v>
      </c>
      <c r="AR32" s="122">
        <v>10</v>
      </c>
      <c r="AS32" s="122">
        <v>10</v>
      </c>
      <c r="AT32" s="122">
        <v>10</v>
      </c>
      <c r="AU32" s="122">
        <v>10</v>
      </c>
      <c r="AV32" s="122">
        <v>10</v>
      </c>
      <c r="AW32" s="122">
        <v>10</v>
      </c>
      <c r="AX32" s="122">
        <v>10</v>
      </c>
      <c r="AY32" s="122">
        <v>10</v>
      </c>
      <c r="AZ32" s="122">
        <v>10</v>
      </c>
      <c r="BA32" s="122">
        <v>10</v>
      </c>
      <c r="BB32" s="122">
        <v>10</v>
      </c>
      <c r="BC32" s="122">
        <v>10</v>
      </c>
      <c r="BD32" s="122">
        <v>10</v>
      </c>
      <c r="BE32" s="122">
        <v>10</v>
      </c>
      <c r="BF32" s="122">
        <v>10</v>
      </c>
      <c r="BG32" s="122">
        <v>10</v>
      </c>
      <c r="BH32" s="122">
        <v>10</v>
      </c>
      <c r="BI32" s="122">
        <v>10</v>
      </c>
      <c r="BJ32" s="150">
        <v>10</v>
      </c>
      <c r="BK32" s="150">
        <v>11</v>
      </c>
      <c r="BL32" s="150">
        <v>12</v>
      </c>
      <c r="BM32" s="150">
        <v>13</v>
      </c>
      <c r="BN32" s="150">
        <v>14</v>
      </c>
      <c r="BO32" s="150">
        <v>15</v>
      </c>
      <c r="BP32" s="150">
        <v>16</v>
      </c>
      <c r="BQ32" s="150">
        <v>17</v>
      </c>
      <c r="BR32" s="150">
        <v>18</v>
      </c>
      <c r="BS32" s="150">
        <v>19</v>
      </c>
      <c r="BT32" s="150">
        <v>20</v>
      </c>
      <c r="BU32" s="150">
        <v>21</v>
      </c>
      <c r="BV32" s="150">
        <v>22</v>
      </c>
      <c r="BW32" s="150">
        <v>23</v>
      </c>
      <c r="BX32" s="150">
        <v>24</v>
      </c>
      <c r="BY32" s="150">
        <v>25</v>
      </c>
      <c r="BZ32" s="150">
        <v>26</v>
      </c>
      <c r="CA32" s="150">
        <v>27</v>
      </c>
      <c r="CB32" s="150">
        <v>28</v>
      </c>
      <c r="CC32" s="150">
        <v>29</v>
      </c>
      <c r="CD32" s="150">
        <v>30</v>
      </c>
      <c r="CE32" s="136"/>
    </row>
    <row r="33" spans="1:32" x14ac:dyDescent="0.35">
      <c r="A33" s="163" t="s">
        <v>11</v>
      </c>
      <c r="B33" s="16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row>
    <row r="34" spans="1:32" ht="29.5" thickBot="1" x14ac:dyDescent="0.4">
      <c r="A34" s="3" t="s">
        <v>4</v>
      </c>
      <c r="B34" s="28">
        <v>0.47499999999999998</v>
      </c>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row>
    <row r="35" spans="1:32" ht="15" thickBot="1" x14ac:dyDescent="0.4">
      <c r="A35" s="3" t="s">
        <v>5</v>
      </c>
      <c r="B35" s="14">
        <f>IF(B12="Conifères",1.3,1.56)</f>
        <v>1.3</v>
      </c>
      <c r="C35" s="108">
        <f>IF($B$14="Conifères",1.3,1.56)</f>
        <v>1.3</v>
      </c>
      <c r="D35" s="15"/>
      <c r="E35" s="15"/>
      <c r="F35" s="7"/>
      <c r="G35" s="7"/>
      <c r="H35" s="7"/>
      <c r="I35" s="7"/>
      <c r="J35" s="7"/>
      <c r="K35" s="7"/>
      <c r="L35" s="7"/>
      <c r="M35" s="7"/>
      <c r="N35" s="7"/>
      <c r="O35" s="7"/>
      <c r="P35" s="7"/>
      <c r="Q35" s="7"/>
      <c r="R35" s="7"/>
      <c r="S35" s="7"/>
      <c r="T35" s="7"/>
      <c r="U35" s="7"/>
      <c r="V35" s="7"/>
      <c r="W35" s="7"/>
      <c r="X35" s="7"/>
      <c r="Y35" s="7"/>
      <c r="Z35" s="7"/>
      <c r="AA35" s="7"/>
      <c r="AB35" s="7"/>
      <c r="AC35" s="7"/>
      <c r="AD35" s="7"/>
      <c r="AE35" s="7"/>
      <c r="AF35" s="7"/>
    </row>
    <row r="36" spans="1:32" ht="29.5" thickBot="1" x14ac:dyDescent="0.4">
      <c r="A36" s="11" t="s">
        <v>149</v>
      </c>
      <c r="B36" s="17" t="s">
        <v>40</v>
      </c>
      <c r="C36" s="24">
        <f>IF(B36="Alisier torminal",0.62,IF(B36="Arbousier",0.64,IF(B36="Aulne vert",0.42,IF(B36="Grands aulnes",0.42,IF(B36="Bouleaux",0.52,IF(B36="Cèdre de l’Atlas",0.36,IF(B36="Charme",0.61,IF(B36="Charme-houblon",0.66,IF(B36="Châtaignier",0.47,IF(B36="Chêne chevelu",0.67,IF(B36="Chêne-liège",0.7,IF(B36="Chêne pédonculé",0.54,IF(B36="Chêne pubescent",0.65,IF(B36="Chêne rouge d’Amérique",0.56,IF(B36="Chêne rouvre (sessile)",0.58,IF(B36="Chêne tauzin",0.64,IF(B36="Chêne vert",0.73,IF(B36="Chênes indifférenciés",0.56,IF(B36="Cornouiller mâle",0.74,IF(B36="Cyprès",0.4,IF(B36="Cytise aubour",0.6,IF(B36="Douglas",0.43,IF(B36="Epicéa commun",0.37,IF(B36="Epicéa de Sitka",0.36,IF(B36="Grands érables",0.51,IF(B36="Petits érables",0.56,IF(B36="Eucalyptus",0.56,IF(B36="Genévrier thurifère",0.48,IF(B36="Hêtre",0.55,IF(B36="Frênes",0.56,IF(B36="Fruitiers",0.58,IF(B36="If",0.58,IF(B36="Mélèze d’Europe",0.48,IF(B36="Mélèze du Japon",0.42,IF(B36="Merisier",0.5,IF(B36="Micocoulier",0.55,IF(B36="Mûrier",0.53,IF(B36="Noisetier",0.52,IF(B36="Noyer",0.52,IF(B36="Olivier",0.75,IF(B36="Ormes",0.52,IF(B36="Peupliers cultivés",0.35,IF(B36="Peupliers non cultivés",0.37,IF(B36="Pin d'Alep",0.45,IF(B36="Pin cembro",0.39,IF(B36="Pin à crochets",0.44,IF(B36="Pin laricio",0.46,IF(B36="Pin maritime",0.46,IF(B36="Pin mugho",0.44,IF(B36="Pin noir d'Autriche",0.46,IF(B36="Pin pignon",0.48,IF(B36="Pin sylvestre",0.44,IF(B36="Pin Weymouth",0.34,IF(B36="Platanes",0.5,IF(B36="Robinier faux acacia",0.58,IF(B36="Sapin méditerranéen",0.37,IF(B36="Sapin de Nordmann",0.37,IF(B36="Sapin pectiné",0.38,IF(B36="Sapin de Vancouver",0.36,IF(B36="Saules",0.37,IF(B36="Tamaris",0.53,IF(B36="Tilleuls",0.43,IF(B36="Tremble",0.38,IF(B36="Conifères (moyenne)",0.42,IF(B36="Feuillus (moyenne)",0.57,0)))))))))))))))))))))))))))))))))))))))))))))))))))))))))))))))))</f>
        <v>0.43</v>
      </c>
      <c r="D36" s="26" t="s">
        <v>41</v>
      </c>
      <c r="E36" s="27">
        <f>IF(D36="Alisier torminal",0.62,IF(D36="Arbousier",0.64,IF(D36="Aulne vert",0.42,IF(D36="Grands aulnes",0.42,IF(D36="Bouleaux",0.52,IF(D36="Cèdre de l’Atlas",0.36,IF(D36="Charme",0.61,IF(D36="Charme-houblon",0.66,IF(D36="Châtaignier",0.47,IF(D36="Chêne chevelu",0.67,IF(D36="Chêne-liège",0.7,IF(D36="Chêne pédonculé",0.54,IF(D36="Chêne pubescent",0.65,IF(D36="Chêne rouge d’Amérique",0.56,IF(D36="Chêne rouvre (sessile)",0.58,IF(D36="Chêne tauzin",0.64,IF(D36="Chêne vert",0.73,IF(D36="Chênes indifférenciés",0.56,IF(D36="Cornouiller mâle",0.74,IF(D36="Cyprès",0.4,IF(D36="Cytise aubour",0.6,IF(D36="Douglas",0.43,IF(D36="Epicéa commun",0.37,IF(D36="Epicéa de Sitka",0.36,IF(D36="Grands érables",0.51,IF(D36="Petits érables",0.56,IF(D36="Eucalyptus",0.56,IF(D36="Genévrier thurifère",0.48,IF(D36="Hêtre",0.55,IF(D36="Frênes",0.56,IF(D36="Fruitiers",0.58,IF(D36="If",0.58,IF(D36="Mélèze d’Europe",0.48,IF(D36="Mélèze du Japon",0.42,IF(D36="Merisier",0.5,IF(D36="Micocoulier",0.55,IF(D36="Mûrier",0.53,IF(D36="Noisetier",0.52,IF(D36="Noyer",0.52,IF(D36="Olivier",0.75,IF(D36="Ormes",0.52,IF(D36="Peupliers cultivés",0.35,IF(D36="Peupliers non cultivés",0.37,IF(D36="Pin d'Alep",0.45,IF(D36="Pin cembro",0.39,IF(D36="Pin à crochets",0.44,IF(D36="Pin laricio",0.46,IF(D36="Pin maritime",0.46,IF(D36="Pin mugho",0.44,IF(D36="Pin noir d'Autriche",0.46,IF(D36="Pin pignon",0.48,IF(D36="Pin sylvestre",0.44,IF(D36="Pin Weymouth",0.34,IF(D36="Platanes",0.5,IF(D36="Robinier faux acacia",0.58,IF(D36="Sapin méditerranéen",0.37,IF(D36="Sapin de Nordmann",0.37,IF(D36="Sapin pectiné",0.38,IF(D36="Sapin de Vancouver",0.36,IF(D36="Saules",0.37,IF(D36="Tamaris",0.53,IF(D36="Tilleuls",0.43,IF(D36="Tremble",0.38,IF(D36="Conifères (moyenne)",0.42,IF(D36="Feuillus (moyenne)",0.57,0)))))))))))))))))))))))))))))))))))))))))))))))))))))))))))))))))</f>
        <v>0.37</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row>
    <row r="37" spans="1:32" ht="29" x14ac:dyDescent="0.35">
      <c r="A37" s="3" t="s">
        <v>10</v>
      </c>
      <c r="B37" s="28">
        <v>0</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row>
    <row r="38" spans="1:32" x14ac:dyDescent="0.35">
      <c r="A38" s="3" t="s">
        <v>8</v>
      </c>
      <c r="B38" s="28">
        <v>10</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row>
    <row r="39" spans="1:32" ht="29" x14ac:dyDescent="0.35">
      <c r="A39" s="3" t="s">
        <v>12</v>
      </c>
      <c r="B39" s="28">
        <v>70</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row>
    <row r="40" spans="1:32" ht="17.5" customHeight="1" thickBot="1" x14ac:dyDescent="0.4">
      <c r="A40" s="159"/>
      <c r="B40" s="160"/>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row>
    <row r="41" spans="1:32" ht="58" x14ac:dyDescent="0.35">
      <c r="A41" s="2" t="s">
        <v>205</v>
      </c>
      <c r="B41" s="112">
        <f>AF21-AF28</f>
        <v>270.26148614309875</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58.5" thickBot="1" x14ac:dyDescent="0.4">
      <c r="A42" s="4" t="s">
        <v>206</v>
      </c>
      <c r="B42" s="113">
        <f>B41*B10</f>
        <v>1135.0982418010149</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43.5" x14ac:dyDescent="0.35">
      <c r="A43" s="2" t="s">
        <v>207</v>
      </c>
      <c r="B43" s="105">
        <f>(1/B11)*(SUM(B21:BJ21))</f>
        <v>595.4001979844445</v>
      </c>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row>
    <row r="44" spans="1:32" ht="44" thickBot="1" x14ac:dyDescent="0.4">
      <c r="A44" s="4" t="s">
        <v>208</v>
      </c>
      <c r="B44" s="107">
        <f>B43*B10</f>
        <v>2500.680831534667</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row>
    <row r="45" spans="1:32" ht="43.5" x14ac:dyDescent="0.35">
      <c r="A45" s="106" t="s">
        <v>209</v>
      </c>
      <c r="B45" s="109">
        <f>((1/B13)*(SUM(B28:CD28)))</f>
        <v>344.2964381501597</v>
      </c>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row>
    <row r="46" spans="1:32" ht="44" thickBot="1" x14ac:dyDescent="0.4">
      <c r="A46" s="4" t="s">
        <v>210</v>
      </c>
      <c r="B46" s="107">
        <f>B45*B10</f>
        <v>1446.0450402306708</v>
      </c>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row>
    <row r="47" spans="1:32" ht="72.5" x14ac:dyDescent="0.35">
      <c r="A47" s="2" t="s">
        <v>211</v>
      </c>
      <c r="B47" s="112">
        <f>B43-B45</f>
        <v>251.1037598342848</v>
      </c>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row>
    <row r="48" spans="1:32" ht="73" thickBot="1" x14ac:dyDescent="0.4">
      <c r="A48" s="4" t="s">
        <v>212</v>
      </c>
      <c r="B48" s="113">
        <f>B44-B46</f>
        <v>1054.6357913039963</v>
      </c>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row>
  </sheetData>
  <mergeCells count="4">
    <mergeCell ref="A1:I1"/>
    <mergeCell ref="A40:B40"/>
    <mergeCell ref="A9:B9"/>
    <mergeCell ref="A33:B33"/>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showInputMessage="1" showErrorMessage="1" prompt="Information nécessaire pour le scénario de référence">
          <x14:formula1>
            <xm:f>'Listes choix'!$T$2:$T$3</xm:f>
          </x14:formula1>
          <xm:sqref>B16</xm:sqref>
        </x14:dataValidation>
        <x14:dataValidation type="list" showInputMessage="1" showErrorMessage="1" prompt="Information nécessaire pour le calcul du stock de la Biomasse Aérienne du scénario de projet">
          <x14:formula1>
            <xm:f>'Listes choix'!$B$2:$B$3</xm:f>
          </x14:formula1>
          <xm:sqref>B12</xm:sqref>
        </x14:dataValidation>
        <x14:dataValidation type="list" showInputMessage="1" showErrorMessage="1" prompt="Choisir l'essence pour avoir la di pour le scénario de projet">
          <x14:formula1>
            <xm:f>'Listes choix'!$C$2:$C$66</xm:f>
          </x14:formula1>
          <xm:sqref>B36</xm:sqref>
        </x14:dataValidation>
        <x14:dataValidation type="list" showInputMessage="1" showErrorMessage="1" prompt="Information nécessaire pour le calcul du stock de la Biomasse Aérienne du scénario de référence">
          <x14:formula1>
            <xm:f>'Listes choix'!$B$2:$B$3</xm:f>
          </x14:formula1>
          <xm:sqref>B14</xm:sqref>
        </x14:dataValidation>
        <x14:dataValidation type="list" allowBlank="1" showInputMessage="1" showErrorMessage="1" prompt="Choisir l'essence pour avoir la di pour le scénario de référence">
          <x14:formula1>
            <xm:f>'Listes choix'!$C$2:$C$66</xm:f>
          </x14:formula1>
          <xm:sqref>D36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FU52"/>
  <sheetViews>
    <sheetView zoomScale="65" workbookViewId="0">
      <selection activeCell="B10" sqref="B10"/>
    </sheetView>
  </sheetViews>
  <sheetFormatPr baseColWidth="10" defaultRowHeight="14.5" x14ac:dyDescent="0.35"/>
  <cols>
    <col min="1" max="1" width="36.81640625" style="1" customWidth="1"/>
    <col min="2" max="2" width="19.90625" customWidth="1"/>
    <col min="4" max="4" width="13.1796875" customWidth="1"/>
  </cols>
  <sheetData>
    <row r="4" spans="1:177" ht="16" thickBot="1" x14ac:dyDescent="0.4">
      <c r="A4" s="19"/>
      <c r="B4" s="7"/>
    </row>
    <row r="5" spans="1:177" ht="31.5" thickBot="1" x14ac:dyDescent="0.4">
      <c r="A5" s="20" t="s">
        <v>180</v>
      </c>
      <c r="B5" s="114">
        <f>(SUM(B39:AF39)/30)*(44/12)</f>
        <v>1.5910829113695479</v>
      </c>
    </row>
    <row r="6" spans="1:177" ht="31.5" thickBot="1" x14ac:dyDescent="0.4">
      <c r="A6" s="20" t="s">
        <v>90</v>
      </c>
      <c r="B6" s="114">
        <f>B5*B10</f>
        <v>6.6825482277521013</v>
      </c>
    </row>
    <row r="8" spans="1:177" ht="15" thickBot="1" x14ac:dyDescent="0.4"/>
    <row r="9" spans="1:177" ht="15" thickBot="1" x14ac:dyDescent="0.4">
      <c r="A9" s="161" t="s">
        <v>14</v>
      </c>
      <c r="B9" s="162"/>
    </row>
    <row r="10" spans="1:177" x14ac:dyDescent="0.35">
      <c r="A10" s="2" t="s">
        <v>7</v>
      </c>
      <c r="B10" s="102">
        <v>4.2</v>
      </c>
    </row>
    <row r="11" spans="1:177" ht="15" thickBot="1" x14ac:dyDescent="0.4">
      <c r="A11" s="4" t="s">
        <v>17</v>
      </c>
      <c r="B11" s="21">
        <v>30</v>
      </c>
    </row>
    <row r="12" spans="1:177" ht="15" thickBot="1" x14ac:dyDescent="0.4"/>
    <row r="13" spans="1:177" s="5" customFormat="1" ht="15.5" x14ac:dyDescent="0.35">
      <c r="A13" s="169" t="s">
        <v>1</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1"/>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row>
    <row r="14" spans="1:177" ht="29" x14ac:dyDescent="0.35">
      <c r="A14" s="3" t="s">
        <v>161</v>
      </c>
      <c r="B14" s="12">
        <v>0</v>
      </c>
      <c r="C14" s="12">
        <v>1</v>
      </c>
      <c r="D14" s="12">
        <v>2</v>
      </c>
      <c r="E14" s="12">
        <v>3</v>
      </c>
      <c r="F14" s="12">
        <v>4</v>
      </c>
      <c r="G14" s="12">
        <v>5</v>
      </c>
      <c r="H14" s="12">
        <v>6</v>
      </c>
      <c r="I14" s="12">
        <v>7</v>
      </c>
      <c r="J14" s="12">
        <v>8</v>
      </c>
      <c r="K14" s="12">
        <v>9</v>
      </c>
      <c r="L14" s="12">
        <v>10</v>
      </c>
      <c r="M14" s="12">
        <v>11</v>
      </c>
      <c r="N14" s="12">
        <v>12</v>
      </c>
      <c r="O14" s="12">
        <v>13</v>
      </c>
      <c r="P14" s="12">
        <v>14</v>
      </c>
      <c r="Q14" s="12">
        <v>15</v>
      </c>
      <c r="R14" s="12">
        <v>16</v>
      </c>
      <c r="S14" s="12">
        <v>17</v>
      </c>
      <c r="T14" s="12">
        <v>18</v>
      </c>
      <c r="U14" s="137">
        <v>19</v>
      </c>
      <c r="V14" s="12">
        <v>20</v>
      </c>
      <c r="W14" s="12">
        <v>21</v>
      </c>
      <c r="X14" s="12">
        <v>22</v>
      </c>
      <c r="Y14" s="12">
        <v>23</v>
      </c>
      <c r="Z14" s="12">
        <v>24</v>
      </c>
      <c r="AA14" s="12">
        <v>25</v>
      </c>
      <c r="AB14" s="12">
        <v>26</v>
      </c>
      <c r="AC14" s="137">
        <v>27</v>
      </c>
      <c r="AD14" s="12">
        <v>28</v>
      </c>
      <c r="AE14" s="12">
        <v>29</v>
      </c>
      <c r="AF14" s="28">
        <v>30</v>
      </c>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row>
    <row r="15" spans="1:177" s="5" customFormat="1" x14ac:dyDescent="0.35">
      <c r="A15" s="172" t="s">
        <v>3</v>
      </c>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4"/>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row>
    <row r="16" spans="1:177" x14ac:dyDescent="0.35">
      <c r="A16" s="3" t="s">
        <v>197</v>
      </c>
      <c r="B16" s="12">
        <f>SUM(B17,B20,B23)</f>
        <v>0</v>
      </c>
      <c r="C16" s="12">
        <f t="shared" ref="C16:AE16" si="0">SUM(C17,C20,C23)</f>
        <v>0</v>
      </c>
      <c r="D16" s="12">
        <f t="shared" si="0"/>
        <v>0</v>
      </c>
      <c r="E16" s="12">
        <f t="shared" si="0"/>
        <v>0</v>
      </c>
      <c r="F16" s="12">
        <f t="shared" si="0"/>
        <v>0</v>
      </c>
      <c r="G16" s="12">
        <f t="shared" si="0"/>
        <v>0</v>
      </c>
      <c r="H16" s="12">
        <f t="shared" si="0"/>
        <v>0</v>
      </c>
      <c r="I16" s="12">
        <f t="shared" si="0"/>
        <v>0</v>
      </c>
      <c r="J16" s="12">
        <f t="shared" si="0"/>
        <v>0</v>
      </c>
      <c r="K16" s="12">
        <f t="shared" si="0"/>
        <v>0</v>
      </c>
      <c r="L16" s="12">
        <f t="shared" si="0"/>
        <v>0</v>
      </c>
      <c r="M16" s="12">
        <f t="shared" si="0"/>
        <v>0</v>
      </c>
      <c r="N16" s="12">
        <f t="shared" si="0"/>
        <v>0</v>
      </c>
      <c r="O16" s="12">
        <f t="shared" si="0"/>
        <v>0</v>
      </c>
      <c r="P16" s="12">
        <f t="shared" si="0"/>
        <v>0</v>
      </c>
      <c r="Q16" s="12">
        <f t="shared" si="0"/>
        <v>0</v>
      </c>
      <c r="R16" s="12">
        <f t="shared" si="0"/>
        <v>0</v>
      </c>
      <c r="S16" s="12">
        <f t="shared" si="0"/>
        <v>0</v>
      </c>
      <c r="T16" s="12">
        <f t="shared" si="0"/>
        <v>0</v>
      </c>
      <c r="U16" s="12">
        <f t="shared" si="0"/>
        <v>0</v>
      </c>
      <c r="V16" s="12">
        <f t="shared" si="0"/>
        <v>2.0713675232202364</v>
      </c>
      <c r="W16" s="12">
        <f t="shared" si="0"/>
        <v>1.4646780219986126</v>
      </c>
      <c r="X16" s="12">
        <f t="shared" si="0"/>
        <v>1.0356837616101182</v>
      </c>
      <c r="Y16" s="12">
        <f t="shared" si="0"/>
        <v>0.73233901099930632</v>
      </c>
      <c r="Z16" s="12">
        <f t="shared" si="0"/>
        <v>0.51784188080505911</v>
      </c>
      <c r="AA16" s="12">
        <f t="shared" si="0"/>
        <v>0.36616950549965316</v>
      </c>
      <c r="AB16" s="104">
        <f t="shared" si="0"/>
        <v>0.25892094040252955</v>
      </c>
      <c r="AC16" s="104">
        <f t="shared" si="0"/>
        <v>0.18308475274982658</v>
      </c>
      <c r="AD16" s="104">
        <f t="shared" si="0"/>
        <v>4.6670106329238799</v>
      </c>
      <c r="AE16" s="104">
        <f t="shared" si="0"/>
        <v>3.7145933787669838</v>
      </c>
      <c r="AF16" s="104">
        <f>SUM(AF17,AF20,AF23)</f>
        <v>3.0330042246375819</v>
      </c>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row>
    <row r="17" spans="1:177" x14ac:dyDescent="0.35">
      <c r="A17" s="71" t="s">
        <v>190</v>
      </c>
      <c r="B17" s="12">
        <v>0</v>
      </c>
      <c r="C17" s="32">
        <f>C18+B19</f>
        <v>0</v>
      </c>
      <c r="D17" s="32">
        <f>D18+C19</f>
        <v>0</v>
      </c>
      <c r="E17" s="32">
        <f>E18+D19</f>
        <v>0</v>
      </c>
      <c r="F17" s="32">
        <f>F18+E19</f>
        <v>0</v>
      </c>
      <c r="G17" s="32">
        <f t="shared" ref="G17:AE17" si="1">G18+F19</f>
        <v>0</v>
      </c>
      <c r="H17" s="32">
        <f t="shared" si="1"/>
        <v>0</v>
      </c>
      <c r="I17" s="32">
        <f t="shared" si="1"/>
        <v>0</v>
      </c>
      <c r="J17" s="32">
        <f t="shared" si="1"/>
        <v>0</v>
      </c>
      <c r="K17" s="32">
        <f t="shared" si="1"/>
        <v>0</v>
      </c>
      <c r="L17" s="32">
        <f t="shared" si="1"/>
        <v>0</v>
      </c>
      <c r="M17" s="32">
        <f t="shared" si="1"/>
        <v>0</v>
      </c>
      <c r="N17" s="32">
        <f t="shared" si="1"/>
        <v>0</v>
      </c>
      <c r="O17" s="32">
        <f t="shared" si="1"/>
        <v>0</v>
      </c>
      <c r="P17" s="32">
        <f t="shared" si="1"/>
        <v>0</v>
      </c>
      <c r="Q17" s="32">
        <f t="shared" si="1"/>
        <v>0</v>
      </c>
      <c r="R17" s="32">
        <f t="shared" si="1"/>
        <v>0</v>
      </c>
      <c r="S17" s="32">
        <f t="shared" si="1"/>
        <v>0</v>
      </c>
      <c r="T17" s="32">
        <f t="shared" si="1"/>
        <v>0</v>
      </c>
      <c r="U17" s="32">
        <f t="shared" si="1"/>
        <v>0</v>
      </c>
      <c r="V17" s="32">
        <f t="shared" si="1"/>
        <v>0</v>
      </c>
      <c r="W17" s="32">
        <f t="shared" si="1"/>
        <v>0</v>
      </c>
      <c r="X17" s="32">
        <f t="shared" si="1"/>
        <v>0</v>
      </c>
      <c r="Y17" s="32">
        <f t="shared" si="1"/>
        <v>0</v>
      </c>
      <c r="Z17" s="32">
        <f t="shared" si="1"/>
        <v>0</v>
      </c>
      <c r="AA17" s="32">
        <f t="shared" si="1"/>
        <v>0</v>
      </c>
      <c r="AB17" s="104">
        <f t="shared" si="1"/>
        <v>0</v>
      </c>
      <c r="AC17" s="104">
        <f t="shared" si="1"/>
        <v>0</v>
      </c>
      <c r="AD17" s="104">
        <f>AD18+AC19</f>
        <v>1.5168058580264379</v>
      </c>
      <c r="AE17" s="104">
        <f t="shared" si="1"/>
        <v>1.4870622203107609</v>
      </c>
      <c r="AF17" s="149">
        <f>AF18+AE19</f>
        <v>1.4579018371888606</v>
      </c>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row>
    <row r="18" spans="1:177" ht="29" x14ac:dyDescent="0.35">
      <c r="A18" s="71" t="s">
        <v>189</v>
      </c>
      <c r="B18" s="12">
        <v>0</v>
      </c>
      <c r="C18" s="32">
        <f t="shared" ref="C18:AF18" si="2">(EXP(-$C$47))*B17</f>
        <v>0</v>
      </c>
      <c r="D18" s="32">
        <f t="shared" si="2"/>
        <v>0</v>
      </c>
      <c r="E18" s="32">
        <f t="shared" si="2"/>
        <v>0</v>
      </c>
      <c r="F18" s="32">
        <f t="shared" si="2"/>
        <v>0</v>
      </c>
      <c r="G18" s="32">
        <f t="shared" si="2"/>
        <v>0</v>
      </c>
      <c r="H18" s="32">
        <f t="shared" si="2"/>
        <v>0</v>
      </c>
      <c r="I18" s="32">
        <f t="shared" si="2"/>
        <v>0</v>
      </c>
      <c r="J18" s="32">
        <f t="shared" si="2"/>
        <v>0</v>
      </c>
      <c r="K18" s="32">
        <f t="shared" si="2"/>
        <v>0</v>
      </c>
      <c r="L18" s="32">
        <f t="shared" si="2"/>
        <v>0</v>
      </c>
      <c r="M18" s="32">
        <f t="shared" si="2"/>
        <v>0</v>
      </c>
      <c r="N18" s="32">
        <f t="shared" si="2"/>
        <v>0</v>
      </c>
      <c r="O18" s="32">
        <f t="shared" si="2"/>
        <v>0</v>
      </c>
      <c r="P18" s="32">
        <f t="shared" si="2"/>
        <v>0</v>
      </c>
      <c r="Q18" s="32">
        <f t="shared" si="2"/>
        <v>0</v>
      </c>
      <c r="R18" s="32">
        <f t="shared" si="2"/>
        <v>0</v>
      </c>
      <c r="S18" s="32">
        <f t="shared" si="2"/>
        <v>0</v>
      </c>
      <c r="T18" s="32">
        <f t="shared" si="2"/>
        <v>0</v>
      </c>
      <c r="U18" s="32">
        <f t="shared" si="2"/>
        <v>0</v>
      </c>
      <c r="V18" s="32">
        <f t="shared" si="2"/>
        <v>0</v>
      </c>
      <c r="W18" s="32">
        <f t="shared" si="2"/>
        <v>0</v>
      </c>
      <c r="X18" s="32">
        <f t="shared" si="2"/>
        <v>0</v>
      </c>
      <c r="Y18" s="32">
        <f t="shared" si="2"/>
        <v>0</v>
      </c>
      <c r="Z18" s="32">
        <f t="shared" si="2"/>
        <v>0</v>
      </c>
      <c r="AA18" s="32">
        <f t="shared" si="2"/>
        <v>0</v>
      </c>
      <c r="AB18" s="104">
        <f t="shared" si="2"/>
        <v>0</v>
      </c>
      <c r="AC18" s="104">
        <f t="shared" si="2"/>
        <v>0</v>
      </c>
      <c r="AD18" s="104">
        <f t="shared" si="2"/>
        <v>0</v>
      </c>
      <c r="AE18" s="104">
        <f t="shared" si="2"/>
        <v>1.4870622203107609</v>
      </c>
      <c r="AF18" s="149">
        <f t="shared" si="2"/>
        <v>1.4579018371888606</v>
      </c>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row>
    <row r="19" spans="1:177" ht="43.5" x14ac:dyDescent="0.35">
      <c r="A19" s="71" t="s">
        <v>188</v>
      </c>
      <c r="B19" s="12">
        <f t="shared" ref="B19:AF19" si="3">((1-EXP(-$C$47))/$C$47)*(B26*$C$42*$B$41)</f>
        <v>0</v>
      </c>
      <c r="C19" s="12">
        <f t="shared" si="3"/>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c r="M19" s="12">
        <f t="shared" si="3"/>
        <v>0</v>
      </c>
      <c r="N19" s="12">
        <f t="shared" si="3"/>
        <v>0</v>
      </c>
      <c r="O19" s="12">
        <f t="shared" si="3"/>
        <v>0</v>
      </c>
      <c r="P19" s="12">
        <f t="shared" si="3"/>
        <v>0</v>
      </c>
      <c r="Q19" s="12">
        <f t="shared" si="3"/>
        <v>0</v>
      </c>
      <c r="R19" s="12">
        <f t="shared" si="3"/>
        <v>0</v>
      </c>
      <c r="S19" s="12">
        <f t="shared" si="3"/>
        <v>0</v>
      </c>
      <c r="T19" s="12">
        <f t="shared" si="3"/>
        <v>0</v>
      </c>
      <c r="U19" s="12">
        <f t="shared" si="3"/>
        <v>0</v>
      </c>
      <c r="V19" s="12">
        <f t="shared" si="3"/>
        <v>0</v>
      </c>
      <c r="W19" s="12">
        <f t="shared" si="3"/>
        <v>0</v>
      </c>
      <c r="X19" s="12">
        <f t="shared" si="3"/>
        <v>0</v>
      </c>
      <c r="Y19" s="12">
        <f t="shared" si="3"/>
        <v>0</v>
      </c>
      <c r="Z19" s="12">
        <f t="shared" si="3"/>
        <v>0</v>
      </c>
      <c r="AA19" s="104">
        <f t="shared" si="3"/>
        <v>0</v>
      </c>
      <c r="AB19" s="12">
        <f t="shared" si="3"/>
        <v>0</v>
      </c>
      <c r="AC19" s="12">
        <f t="shared" si="3"/>
        <v>1.5168058580264379</v>
      </c>
      <c r="AD19" s="12">
        <f t="shared" si="3"/>
        <v>0</v>
      </c>
      <c r="AE19" s="12">
        <f t="shared" si="3"/>
        <v>0</v>
      </c>
      <c r="AF19" s="28">
        <f t="shared" si="3"/>
        <v>0</v>
      </c>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row>
    <row r="20" spans="1:177" x14ac:dyDescent="0.35">
      <c r="A20" s="72" t="s">
        <v>191</v>
      </c>
      <c r="B20" s="12">
        <v>0</v>
      </c>
      <c r="C20" s="32">
        <f>C21+B22</f>
        <v>0</v>
      </c>
      <c r="D20" s="32">
        <f>D21+C22</f>
        <v>0</v>
      </c>
      <c r="E20" s="32">
        <f>E21+D22</f>
        <v>0</v>
      </c>
      <c r="F20" s="32">
        <f t="shared" ref="F20:AF20" si="4">F21+E22</f>
        <v>0</v>
      </c>
      <c r="G20" s="32">
        <f t="shared" si="4"/>
        <v>0</v>
      </c>
      <c r="H20" s="32">
        <f t="shared" si="4"/>
        <v>0</v>
      </c>
      <c r="I20" s="32">
        <f t="shared" si="4"/>
        <v>0</v>
      </c>
      <c r="J20" s="32">
        <f t="shared" si="4"/>
        <v>0</v>
      </c>
      <c r="K20" s="32">
        <f t="shared" si="4"/>
        <v>0</v>
      </c>
      <c r="L20" s="32">
        <f t="shared" si="4"/>
        <v>0</v>
      </c>
      <c r="M20" s="32">
        <f t="shared" si="4"/>
        <v>0</v>
      </c>
      <c r="N20" s="32">
        <f t="shared" si="4"/>
        <v>0</v>
      </c>
      <c r="O20" s="32">
        <f t="shared" si="4"/>
        <v>0</v>
      </c>
      <c r="P20" s="32">
        <f t="shared" si="4"/>
        <v>0</v>
      </c>
      <c r="Q20" s="32">
        <f t="shared" si="4"/>
        <v>0</v>
      </c>
      <c r="R20" s="32">
        <f t="shared" si="4"/>
        <v>0</v>
      </c>
      <c r="S20" s="32">
        <f t="shared" si="4"/>
        <v>0</v>
      </c>
      <c r="T20" s="32">
        <f t="shared" si="4"/>
        <v>0</v>
      </c>
      <c r="U20" s="32">
        <f t="shared" si="4"/>
        <v>0</v>
      </c>
      <c r="V20" s="32">
        <f t="shared" si="4"/>
        <v>0</v>
      </c>
      <c r="W20" s="32">
        <f t="shared" si="4"/>
        <v>0</v>
      </c>
      <c r="X20" s="32">
        <f t="shared" si="4"/>
        <v>0</v>
      </c>
      <c r="Y20" s="32">
        <f t="shared" si="4"/>
        <v>0</v>
      </c>
      <c r="Z20" s="32">
        <f t="shared" si="4"/>
        <v>0</v>
      </c>
      <c r="AA20" s="32">
        <f t="shared" si="4"/>
        <v>0</v>
      </c>
      <c r="AB20" s="104">
        <f t="shared" si="4"/>
        <v>0</v>
      </c>
      <c r="AC20" s="104">
        <f t="shared" si="4"/>
        <v>0</v>
      </c>
      <c r="AD20" s="104">
        <f t="shared" si="4"/>
        <v>0</v>
      </c>
      <c r="AE20" s="104">
        <f>AE21+AD22</f>
        <v>0</v>
      </c>
      <c r="AF20" s="149">
        <f t="shared" si="4"/>
        <v>0</v>
      </c>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row>
    <row r="21" spans="1:177" ht="29" x14ac:dyDescent="0.35">
      <c r="A21" s="72" t="s">
        <v>192</v>
      </c>
      <c r="B21" s="12">
        <v>0</v>
      </c>
      <c r="C21" s="32">
        <f t="shared" ref="C21:AF21" si="5">(EXP(-$C$48))*B20</f>
        <v>0</v>
      </c>
      <c r="D21" s="32">
        <f t="shared" si="5"/>
        <v>0</v>
      </c>
      <c r="E21" s="32">
        <f t="shared" si="5"/>
        <v>0</v>
      </c>
      <c r="F21" s="32">
        <f t="shared" si="5"/>
        <v>0</v>
      </c>
      <c r="G21" s="32">
        <f t="shared" si="5"/>
        <v>0</v>
      </c>
      <c r="H21" s="32">
        <f t="shared" si="5"/>
        <v>0</v>
      </c>
      <c r="I21" s="32">
        <f t="shared" si="5"/>
        <v>0</v>
      </c>
      <c r="J21" s="32">
        <f t="shared" si="5"/>
        <v>0</v>
      </c>
      <c r="K21" s="32">
        <f t="shared" si="5"/>
        <v>0</v>
      </c>
      <c r="L21" s="32">
        <f t="shared" si="5"/>
        <v>0</v>
      </c>
      <c r="M21" s="32">
        <f t="shared" si="5"/>
        <v>0</v>
      </c>
      <c r="N21" s="32">
        <f t="shared" si="5"/>
        <v>0</v>
      </c>
      <c r="O21" s="32">
        <f t="shared" si="5"/>
        <v>0</v>
      </c>
      <c r="P21" s="32">
        <f t="shared" si="5"/>
        <v>0</v>
      </c>
      <c r="Q21" s="32">
        <f t="shared" si="5"/>
        <v>0</v>
      </c>
      <c r="R21" s="32">
        <f t="shared" si="5"/>
        <v>0</v>
      </c>
      <c r="S21" s="32">
        <f t="shared" si="5"/>
        <v>0</v>
      </c>
      <c r="T21" s="32">
        <f t="shared" si="5"/>
        <v>0</v>
      </c>
      <c r="U21" s="32">
        <f t="shared" si="5"/>
        <v>0</v>
      </c>
      <c r="V21" s="32">
        <f t="shared" si="5"/>
        <v>0</v>
      </c>
      <c r="W21" s="32">
        <f t="shared" si="5"/>
        <v>0</v>
      </c>
      <c r="X21" s="32">
        <f t="shared" si="5"/>
        <v>0</v>
      </c>
      <c r="Y21" s="32">
        <f t="shared" si="5"/>
        <v>0</v>
      </c>
      <c r="Z21" s="32">
        <f t="shared" si="5"/>
        <v>0</v>
      </c>
      <c r="AA21" s="32">
        <f t="shared" si="5"/>
        <v>0</v>
      </c>
      <c r="AB21" s="104">
        <f t="shared" si="5"/>
        <v>0</v>
      </c>
      <c r="AC21" s="104">
        <f t="shared" si="5"/>
        <v>0</v>
      </c>
      <c r="AD21" s="104">
        <f t="shared" si="5"/>
        <v>0</v>
      </c>
      <c r="AE21" s="104">
        <f t="shared" si="5"/>
        <v>0</v>
      </c>
      <c r="AF21" s="149">
        <f t="shared" si="5"/>
        <v>0</v>
      </c>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row>
    <row r="22" spans="1:177" ht="43.5" x14ac:dyDescent="0.35">
      <c r="A22" s="72" t="s">
        <v>193</v>
      </c>
      <c r="B22" s="12">
        <f t="shared" ref="B22:AF22" si="6">((1-EXP(-$C$48))/$C$48)*(B27*$C$42*$B$41)</f>
        <v>0</v>
      </c>
      <c r="C22" s="12">
        <f t="shared" si="6"/>
        <v>0</v>
      </c>
      <c r="D22" s="12">
        <f t="shared" si="6"/>
        <v>0</v>
      </c>
      <c r="E22" s="12">
        <f t="shared" si="6"/>
        <v>0</v>
      </c>
      <c r="F22" s="12">
        <f t="shared" si="6"/>
        <v>0</v>
      </c>
      <c r="G22" s="12">
        <f t="shared" si="6"/>
        <v>0</v>
      </c>
      <c r="H22" s="12">
        <f t="shared" si="6"/>
        <v>0</v>
      </c>
      <c r="I22" s="12">
        <f t="shared" si="6"/>
        <v>0</v>
      </c>
      <c r="J22" s="12">
        <f t="shared" si="6"/>
        <v>0</v>
      </c>
      <c r="K22" s="12">
        <f t="shared" si="6"/>
        <v>0</v>
      </c>
      <c r="L22" s="12">
        <f t="shared" si="6"/>
        <v>0</v>
      </c>
      <c r="M22" s="12">
        <f t="shared" si="6"/>
        <v>0</v>
      </c>
      <c r="N22" s="12">
        <f t="shared" si="6"/>
        <v>0</v>
      </c>
      <c r="O22" s="12">
        <f t="shared" si="6"/>
        <v>0</v>
      </c>
      <c r="P22" s="12">
        <f t="shared" si="6"/>
        <v>0</v>
      </c>
      <c r="Q22" s="12">
        <f t="shared" si="6"/>
        <v>0</v>
      </c>
      <c r="R22" s="12">
        <f t="shared" si="6"/>
        <v>0</v>
      </c>
      <c r="S22" s="12">
        <f t="shared" si="6"/>
        <v>0</v>
      </c>
      <c r="T22" s="12">
        <f t="shared" si="6"/>
        <v>0</v>
      </c>
      <c r="U22" s="12">
        <f t="shared" si="6"/>
        <v>0</v>
      </c>
      <c r="V22" s="12">
        <f t="shared" si="6"/>
        <v>0</v>
      </c>
      <c r="W22" s="12">
        <f t="shared" si="6"/>
        <v>0</v>
      </c>
      <c r="X22" s="12">
        <f t="shared" si="6"/>
        <v>0</v>
      </c>
      <c r="Y22" s="12">
        <f t="shared" si="6"/>
        <v>0</v>
      </c>
      <c r="Z22" s="12">
        <f t="shared" si="6"/>
        <v>0</v>
      </c>
      <c r="AA22" s="104">
        <f t="shared" si="6"/>
        <v>0</v>
      </c>
      <c r="AB22" s="12">
        <f t="shared" si="6"/>
        <v>0</v>
      </c>
      <c r="AC22" s="12">
        <f t="shared" si="6"/>
        <v>0</v>
      </c>
      <c r="AD22" s="12">
        <f t="shared" si="6"/>
        <v>0</v>
      </c>
      <c r="AE22" s="12">
        <f t="shared" si="6"/>
        <v>0</v>
      </c>
      <c r="AF22" s="28">
        <f t="shared" si="6"/>
        <v>0</v>
      </c>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row>
    <row r="23" spans="1:177" x14ac:dyDescent="0.35">
      <c r="A23" s="73" t="s">
        <v>194</v>
      </c>
      <c r="B23" s="12">
        <v>0</v>
      </c>
      <c r="C23" s="32">
        <f>C24+B25</f>
        <v>0</v>
      </c>
      <c r="D23" s="32">
        <f>D24+C25</f>
        <v>0</v>
      </c>
      <c r="E23" s="32">
        <f t="shared" ref="E23:AF23" si="7">E24+D25</f>
        <v>0</v>
      </c>
      <c r="F23" s="32">
        <f>F24+E25</f>
        <v>0</v>
      </c>
      <c r="G23" s="32">
        <f t="shared" si="7"/>
        <v>0</v>
      </c>
      <c r="H23" s="32">
        <f t="shared" si="7"/>
        <v>0</v>
      </c>
      <c r="I23" s="32">
        <f t="shared" si="7"/>
        <v>0</v>
      </c>
      <c r="J23" s="32">
        <f t="shared" si="7"/>
        <v>0</v>
      </c>
      <c r="K23" s="32">
        <f t="shared" si="7"/>
        <v>0</v>
      </c>
      <c r="L23" s="32">
        <f t="shared" si="7"/>
        <v>0</v>
      </c>
      <c r="M23" s="32">
        <f>M24+L25</f>
        <v>0</v>
      </c>
      <c r="N23" s="32">
        <f t="shared" si="7"/>
        <v>0</v>
      </c>
      <c r="O23" s="32">
        <f t="shared" si="7"/>
        <v>0</v>
      </c>
      <c r="P23" s="32">
        <f t="shared" si="7"/>
        <v>0</v>
      </c>
      <c r="Q23" s="32">
        <f t="shared" si="7"/>
        <v>0</v>
      </c>
      <c r="R23" s="32">
        <f t="shared" si="7"/>
        <v>0</v>
      </c>
      <c r="S23" s="32">
        <f t="shared" si="7"/>
        <v>0</v>
      </c>
      <c r="T23" s="32">
        <f t="shared" si="7"/>
        <v>0</v>
      </c>
      <c r="U23" s="32">
        <f t="shared" si="7"/>
        <v>0</v>
      </c>
      <c r="V23" s="32">
        <f t="shared" si="7"/>
        <v>2.0713675232202364</v>
      </c>
      <c r="W23" s="32">
        <f t="shared" si="7"/>
        <v>1.4646780219986126</v>
      </c>
      <c r="X23" s="32">
        <f t="shared" si="7"/>
        <v>1.0356837616101182</v>
      </c>
      <c r="Y23" s="32">
        <f t="shared" si="7"/>
        <v>0.73233901099930632</v>
      </c>
      <c r="Z23" s="32">
        <f t="shared" si="7"/>
        <v>0.51784188080505911</v>
      </c>
      <c r="AA23" s="32">
        <f t="shared" si="7"/>
        <v>0.36616950549965316</v>
      </c>
      <c r="AB23" s="32">
        <f t="shared" si="7"/>
        <v>0.25892094040252955</v>
      </c>
      <c r="AC23" s="32">
        <f t="shared" si="7"/>
        <v>0.18308475274982658</v>
      </c>
      <c r="AD23" s="32">
        <f t="shared" si="7"/>
        <v>3.1502047748974422</v>
      </c>
      <c r="AE23" s="32">
        <f t="shared" si="7"/>
        <v>2.2275311584562232</v>
      </c>
      <c r="AF23" s="117">
        <f t="shared" si="7"/>
        <v>1.5751023874487213</v>
      </c>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row>
    <row r="24" spans="1:177" ht="29" x14ac:dyDescent="0.35">
      <c r="A24" s="73" t="s">
        <v>195</v>
      </c>
      <c r="B24" s="12">
        <v>0</v>
      </c>
      <c r="C24" s="32">
        <f t="shared" ref="C24:AF24" si="8">(EXP(-$C$49))*B23</f>
        <v>0</v>
      </c>
      <c r="D24" s="32">
        <f t="shared" si="8"/>
        <v>0</v>
      </c>
      <c r="E24" s="32">
        <f t="shared" si="8"/>
        <v>0</v>
      </c>
      <c r="F24" s="32">
        <f t="shared" si="8"/>
        <v>0</v>
      </c>
      <c r="G24" s="32">
        <f t="shared" si="8"/>
        <v>0</v>
      </c>
      <c r="H24" s="32">
        <f t="shared" si="8"/>
        <v>0</v>
      </c>
      <c r="I24" s="32">
        <f t="shared" si="8"/>
        <v>0</v>
      </c>
      <c r="J24" s="32">
        <f t="shared" si="8"/>
        <v>0</v>
      </c>
      <c r="K24" s="32">
        <f t="shared" si="8"/>
        <v>0</v>
      </c>
      <c r="L24" s="32">
        <f t="shared" si="8"/>
        <v>0</v>
      </c>
      <c r="M24" s="32">
        <f t="shared" si="8"/>
        <v>0</v>
      </c>
      <c r="N24" s="32">
        <f t="shared" si="8"/>
        <v>0</v>
      </c>
      <c r="O24" s="32">
        <f t="shared" si="8"/>
        <v>0</v>
      </c>
      <c r="P24" s="32">
        <f t="shared" si="8"/>
        <v>0</v>
      </c>
      <c r="Q24" s="32">
        <f t="shared" si="8"/>
        <v>0</v>
      </c>
      <c r="R24" s="32">
        <f t="shared" si="8"/>
        <v>0</v>
      </c>
      <c r="S24" s="32">
        <f t="shared" si="8"/>
        <v>0</v>
      </c>
      <c r="T24" s="32">
        <f t="shared" si="8"/>
        <v>0</v>
      </c>
      <c r="U24" s="32">
        <f t="shared" si="8"/>
        <v>0</v>
      </c>
      <c r="V24" s="32">
        <f t="shared" si="8"/>
        <v>0</v>
      </c>
      <c r="W24" s="32">
        <f t="shared" si="8"/>
        <v>1.4646780219986126</v>
      </c>
      <c r="X24" s="32">
        <f t="shared" si="8"/>
        <v>1.0356837616101182</v>
      </c>
      <c r="Y24" s="32">
        <f t="shared" si="8"/>
        <v>0.73233901099930632</v>
      </c>
      <c r="Z24" s="32">
        <f t="shared" si="8"/>
        <v>0.51784188080505911</v>
      </c>
      <c r="AA24" s="32">
        <f t="shared" si="8"/>
        <v>0.36616950549965316</v>
      </c>
      <c r="AB24" s="32">
        <f t="shared" si="8"/>
        <v>0.25892094040252955</v>
      </c>
      <c r="AC24" s="32">
        <f t="shared" si="8"/>
        <v>0.18308475274982658</v>
      </c>
      <c r="AD24" s="32">
        <f t="shared" si="8"/>
        <v>0.12946047020126478</v>
      </c>
      <c r="AE24" s="32">
        <f t="shared" si="8"/>
        <v>2.2275311584562232</v>
      </c>
      <c r="AF24" s="117">
        <f t="shared" si="8"/>
        <v>1.5751023874487213</v>
      </c>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row>
    <row r="25" spans="1:177" ht="43.5" x14ac:dyDescent="0.35">
      <c r="A25" s="73" t="s">
        <v>196</v>
      </c>
      <c r="B25" s="12">
        <f t="shared" ref="B25:AF25" si="9">((1-EXP(-$C$49))/$C$49)*(B28*$C$42*$B$41)</f>
        <v>0</v>
      </c>
      <c r="C25" s="12">
        <f t="shared" si="9"/>
        <v>0</v>
      </c>
      <c r="D25" s="12">
        <f t="shared" si="9"/>
        <v>0</v>
      </c>
      <c r="E25" s="12">
        <f t="shared" si="9"/>
        <v>0</v>
      </c>
      <c r="F25" s="12">
        <f t="shared" si="9"/>
        <v>0</v>
      </c>
      <c r="G25" s="12">
        <f t="shared" si="9"/>
        <v>0</v>
      </c>
      <c r="H25" s="12">
        <f t="shared" si="9"/>
        <v>0</v>
      </c>
      <c r="I25" s="12">
        <f t="shared" si="9"/>
        <v>0</v>
      </c>
      <c r="J25" s="12">
        <f t="shared" si="9"/>
        <v>0</v>
      </c>
      <c r="K25" s="12">
        <f t="shared" si="9"/>
        <v>0</v>
      </c>
      <c r="L25" s="12">
        <f t="shared" si="9"/>
        <v>0</v>
      </c>
      <c r="M25" s="12">
        <f t="shared" si="9"/>
        <v>0</v>
      </c>
      <c r="N25" s="12">
        <f t="shared" si="9"/>
        <v>0</v>
      </c>
      <c r="O25" s="12">
        <f t="shared" si="9"/>
        <v>0</v>
      </c>
      <c r="P25" s="12">
        <f t="shared" si="9"/>
        <v>0</v>
      </c>
      <c r="Q25" s="12">
        <f t="shared" si="9"/>
        <v>0</v>
      </c>
      <c r="R25" s="12">
        <f t="shared" si="9"/>
        <v>0</v>
      </c>
      <c r="S25" s="12">
        <f t="shared" si="9"/>
        <v>0</v>
      </c>
      <c r="T25" s="12">
        <f t="shared" si="9"/>
        <v>0</v>
      </c>
      <c r="U25" s="12">
        <f t="shared" si="9"/>
        <v>2.0713675232202364</v>
      </c>
      <c r="V25" s="12">
        <f t="shared" si="9"/>
        <v>0</v>
      </c>
      <c r="W25" s="12">
        <f t="shared" si="9"/>
        <v>0</v>
      </c>
      <c r="X25" s="12">
        <f t="shared" si="9"/>
        <v>0</v>
      </c>
      <c r="Y25" s="12">
        <f t="shared" si="9"/>
        <v>0</v>
      </c>
      <c r="Z25" s="12">
        <f t="shared" si="9"/>
        <v>0</v>
      </c>
      <c r="AA25" s="12">
        <f t="shared" si="9"/>
        <v>0</v>
      </c>
      <c r="AB25" s="12">
        <f t="shared" si="9"/>
        <v>0</v>
      </c>
      <c r="AC25" s="12">
        <f t="shared" si="9"/>
        <v>3.0207443046961773</v>
      </c>
      <c r="AD25" s="12">
        <f t="shared" si="9"/>
        <v>0</v>
      </c>
      <c r="AE25" s="12">
        <f t="shared" si="9"/>
        <v>0</v>
      </c>
      <c r="AF25" s="28">
        <f t="shared" si="9"/>
        <v>0</v>
      </c>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row>
    <row r="26" spans="1:177" ht="32" customHeight="1" x14ac:dyDescent="0.35">
      <c r="A26" s="121" t="s">
        <v>214</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f>((30*50)/100)/2</f>
        <v>7.5</v>
      </c>
      <c r="AD26" s="17"/>
      <c r="AE26" s="17"/>
      <c r="AF26" s="118"/>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row>
    <row r="27" spans="1:177" ht="32" customHeight="1" x14ac:dyDescent="0.35">
      <c r="A27" s="18" t="s">
        <v>215</v>
      </c>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18"/>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row>
    <row r="28" spans="1:177" x14ac:dyDescent="0.35">
      <c r="A28" s="18" t="s">
        <v>216</v>
      </c>
      <c r="B28" s="17"/>
      <c r="C28" s="17"/>
      <c r="D28" s="17"/>
      <c r="E28" s="17"/>
      <c r="F28" s="17"/>
      <c r="G28" s="17"/>
      <c r="H28" s="17"/>
      <c r="I28" s="17"/>
      <c r="J28" s="17"/>
      <c r="K28" s="17"/>
      <c r="L28" s="17"/>
      <c r="M28" s="17"/>
      <c r="N28" s="17"/>
      <c r="O28" s="17"/>
      <c r="P28" s="17"/>
      <c r="Q28" s="17"/>
      <c r="R28" s="17"/>
      <c r="S28" s="17"/>
      <c r="T28" s="17"/>
      <c r="U28" s="17">
        <f>(30*40)/100</f>
        <v>12</v>
      </c>
      <c r="V28" s="17"/>
      <c r="W28" s="17"/>
      <c r="X28" s="17"/>
      <c r="Y28" s="17"/>
      <c r="Z28" s="17"/>
      <c r="AA28" s="17"/>
      <c r="AB28" s="17"/>
      <c r="AC28" s="17">
        <f>(35*50)/100</f>
        <v>17.5</v>
      </c>
      <c r="AD28" s="17"/>
      <c r="AE28" s="17"/>
      <c r="AF28" s="118"/>
    </row>
    <row r="29" spans="1:177" x14ac:dyDescent="0.35">
      <c r="A29" s="175" t="s">
        <v>2</v>
      </c>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7"/>
    </row>
    <row r="30" spans="1:177" x14ac:dyDescent="0.35">
      <c r="A30" s="3" t="s">
        <v>198</v>
      </c>
      <c r="B30" s="12">
        <f>SUM(B31,B34)</f>
        <v>0</v>
      </c>
      <c r="C30" s="12">
        <f t="shared" ref="C30:AF30" si="10">SUM(C31,C34)</f>
        <v>0</v>
      </c>
      <c r="D30" s="12">
        <f t="shared" si="10"/>
        <v>0</v>
      </c>
      <c r="E30" s="12">
        <f t="shared" si="10"/>
        <v>0</v>
      </c>
      <c r="F30" s="12">
        <f t="shared" si="10"/>
        <v>0</v>
      </c>
      <c r="G30" s="12">
        <f t="shared" si="10"/>
        <v>0</v>
      </c>
      <c r="H30" s="12">
        <f t="shared" si="10"/>
        <v>0</v>
      </c>
      <c r="I30" s="12">
        <f t="shared" si="10"/>
        <v>0</v>
      </c>
      <c r="J30" s="12">
        <f t="shared" si="10"/>
        <v>0</v>
      </c>
      <c r="K30" s="12">
        <f t="shared" si="10"/>
        <v>0</v>
      </c>
      <c r="L30" s="12">
        <f t="shared" si="10"/>
        <v>0</v>
      </c>
      <c r="M30" s="12">
        <f t="shared" si="10"/>
        <v>0</v>
      </c>
      <c r="N30" s="12">
        <f t="shared" si="10"/>
        <v>0</v>
      </c>
      <c r="O30" s="12">
        <f t="shared" si="10"/>
        <v>0</v>
      </c>
      <c r="P30" s="12">
        <f t="shared" si="10"/>
        <v>0</v>
      </c>
      <c r="Q30" s="12">
        <f t="shared" si="10"/>
        <v>0</v>
      </c>
      <c r="R30" s="12">
        <f t="shared" si="10"/>
        <v>0</v>
      </c>
      <c r="S30" s="12">
        <f t="shared" si="10"/>
        <v>0</v>
      </c>
      <c r="T30" s="12">
        <f t="shared" si="10"/>
        <v>0</v>
      </c>
      <c r="U30" s="12">
        <f t="shared" si="10"/>
        <v>0</v>
      </c>
      <c r="V30" s="12">
        <f t="shared" si="10"/>
        <v>0</v>
      </c>
      <c r="W30" s="12">
        <f t="shared" si="10"/>
        <v>0</v>
      </c>
      <c r="X30" s="12">
        <f t="shared" si="10"/>
        <v>0</v>
      </c>
      <c r="Y30" s="12">
        <f t="shared" si="10"/>
        <v>0</v>
      </c>
      <c r="Z30" s="12">
        <f t="shared" si="10"/>
        <v>0</v>
      </c>
      <c r="AA30" s="12">
        <f t="shared" si="10"/>
        <v>0</v>
      </c>
      <c r="AB30" s="12">
        <f t="shared" si="10"/>
        <v>0</v>
      </c>
      <c r="AC30" s="12">
        <f t="shared" si="10"/>
        <v>0</v>
      </c>
      <c r="AD30" s="12">
        <f t="shared" si="10"/>
        <v>0</v>
      </c>
      <c r="AE30" s="12">
        <f t="shared" si="10"/>
        <v>0</v>
      </c>
      <c r="AF30" s="104">
        <f t="shared" si="10"/>
        <v>5.026742540590214</v>
      </c>
    </row>
    <row r="31" spans="1:177" x14ac:dyDescent="0.35">
      <c r="A31" s="72" t="s">
        <v>191</v>
      </c>
      <c r="B31" s="12">
        <v>0</v>
      </c>
      <c r="C31" s="32">
        <f>C32+B33</f>
        <v>0</v>
      </c>
      <c r="D31" s="32">
        <f>D32+C33</f>
        <v>0</v>
      </c>
      <c r="E31" s="32">
        <f t="shared" ref="E31:AE31" si="11">E32+D33</f>
        <v>0</v>
      </c>
      <c r="F31" s="32">
        <f t="shared" si="11"/>
        <v>0</v>
      </c>
      <c r="G31" s="32">
        <f t="shared" si="11"/>
        <v>0</v>
      </c>
      <c r="H31" s="32">
        <f t="shared" si="11"/>
        <v>0</v>
      </c>
      <c r="I31" s="32">
        <f t="shared" si="11"/>
        <v>0</v>
      </c>
      <c r="J31" s="32">
        <f t="shared" si="11"/>
        <v>0</v>
      </c>
      <c r="K31" s="32">
        <f t="shared" si="11"/>
        <v>0</v>
      </c>
      <c r="L31" s="32">
        <f t="shared" si="11"/>
        <v>0</v>
      </c>
      <c r="M31" s="32">
        <f t="shared" si="11"/>
        <v>0</v>
      </c>
      <c r="N31" s="32">
        <f t="shared" si="11"/>
        <v>0</v>
      </c>
      <c r="O31" s="32">
        <f t="shared" si="11"/>
        <v>0</v>
      </c>
      <c r="P31" s="32">
        <f t="shared" si="11"/>
        <v>0</v>
      </c>
      <c r="Q31" s="32">
        <f t="shared" si="11"/>
        <v>0</v>
      </c>
      <c r="R31" s="32">
        <f t="shared" si="11"/>
        <v>0</v>
      </c>
      <c r="S31" s="32">
        <f t="shared" si="11"/>
        <v>0</v>
      </c>
      <c r="T31" s="32">
        <f t="shared" si="11"/>
        <v>0</v>
      </c>
      <c r="U31" s="32">
        <f t="shared" si="11"/>
        <v>0</v>
      </c>
      <c r="V31" s="32">
        <f t="shared" si="11"/>
        <v>0</v>
      </c>
      <c r="W31" s="32">
        <f t="shared" si="11"/>
        <v>0</v>
      </c>
      <c r="X31" s="32">
        <f t="shared" si="11"/>
        <v>0</v>
      </c>
      <c r="Y31" s="32">
        <f t="shared" si="11"/>
        <v>0</v>
      </c>
      <c r="Z31" s="32">
        <f t="shared" si="11"/>
        <v>0</v>
      </c>
      <c r="AA31" s="32">
        <f t="shared" si="11"/>
        <v>0</v>
      </c>
      <c r="AB31" s="32">
        <f t="shared" si="11"/>
        <v>0</v>
      </c>
      <c r="AC31" s="32">
        <f t="shared" si="11"/>
        <v>0</v>
      </c>
      <c r="AD31" s="32">
        <f>AD32+AC33</f>
        <v>0</v>
      </c>
      <c r="AE31" s="32">
        <f t="shared" si="11"/>
        <v>0</v>
      </c>
      <c r="AF31" s="149">
        <f>AF32+AE33</f>
        <v>5.026742540590214</v>
      </c>
    </row>
    <row r="32" spans="1:177" ht="29" x14ac:dyDescent="0.35">
      <c r="A32" s="72" t="s">
        <v>192</v>
      </c>
      <c r="B32" s="12">
        <v>0</v>
      </c>
      <c r="C32" s="32">
        <f t="shared" ref="C32:AF32" si="12">(EXP(-$C$48))*B31</f>
        <v>0</v>
      </c>
      <c r="D32" s="32">
        <f t="shared" si="12"/>
        <v>0</v>
      </c>
      <c r="E32" s="32">
        <f t="shared" si="12"/>
        <v>0</v>
      </c>
      <c r="F32" s="32">
        <f t="shared" si="12"/>
        <v>0</v>
      </c>
      <c r="G32" s="32">
        <f t="shared" si="12"/>
        <v>0</v>
      </c>
      <c r="H32" s="32">
        <f t="shared" si="12"/>
        <v>0</v>
      </c>
      <c r="I32" s="32">
        <f t="shared" si="12"/>
        <v>0</v>
      </c>
      <c r="J32" s="32">
        <f t="shared" si="12"/>
        <v>0</v>
      </c>
      <c r="K32" s="32">
        <f t="shared" si="12"/>
        <v>0</v>
      </c>
      <c r="L32" s="32">
        <f t="shared" si="12"/>
        <v>0</v>
      </c>
      <c r="M32" s="32">
        <f t="shared" si="12"/>
        <v>0</v>
      </c>
      <c r="N32" s="32">
        <f t="shared" si="12"/>
        <v>0</v>
      </c>
      <c r="O32" s="32">
        <f t="shared" si="12"/>
        <v>0</v>
      </c>
      <c r="P32" s="32">
        <f t="shared" si="12"/>
        <v>0</v>
      </c>
      <c r="Q32" s="32">
        <f t="shared" si="12"/>
        <v>0</v>
      </c>
      <c r="R32" s="32">
        <f t="shared" si="12"/>
        <v>0</v>
      </c>
      <c r="S32" s="32">
        <f t="shared" si="12"/>
        <v>0</v>
      </c>
      <c r="T32" s="32">
        <f t="shared" si="12"/>
        <v>0</v>
      </c>
      <c r="U32" s="32">
        <f t="shared" si="12"/>
        <v>0</v>
      </c>
      <c r="V32" s="32">
        <f t="shared" si="12"/>
        <v>0</v>
      </c>
      <c r="W32" s="32">
        <f t="shared" si="12"/>
        <v>0</v>
      </c>
      <c r="X32" s="32">
        <f t="shared" si="12"/>
        <v>0</v>
      </c>
      <c r="Y32" s="32">
        <f t="shared" si="12"/>
        <v>0</v>
      </c>
      <c r="Z32" s="32">
        <f t="shared" si="12"/>
        <v>0</v>
      </c>
      <c r="AA32" s="32">
        <f t="shared" si="12"/>
        <v>0</v>
      </c>
      <c r="AB32" s="32">
        <f t="shared" si="12"/>
        <v>0</v>
      </c>
      <c r="AC32" s="32">
        <f t="shared" si="12"/>
        <v>0</v>
      </c>
      <c r="AD32" s="32">
        <f t="shared" si="12"/>
        <v>0</v>
      </c>
      <c r="AE32" s="32">
        <f t="shared" si="12"/>
        <v>0</v>
      </c>
      <c r="AF32" s="117">
        <f t="shared" si="12"/>
        <v>0</v>
      </c>
    </row>
    <row r="33" spans="1:32" ht="43.5" x14ac:dyDescent="0.35">
      <c r="A33" s="72" t="s">
        <v>193</v>
      </c>
      <c r="B33" s="12">
        <f t="shared" ref="B33:AF33" si="13">((1-EXP(-$C$48))/$C$48)*(B37*$E$42*$B$41)</f>
        <v>0</v>
      </c>
      <c r="C33" s="12">
        <f t="shared" si="13"/>
        <v>0</v>
      </c>
      <c r="D33" s="12">
        <f t="shared" si="13"/>
        <v>0</v>
      </c>
      <c r="E33" s="12">
        <f t="shared" si="13"/>
        <v>0</v>
      </c>
      <c r="F33" s="12">
        <f t="shared" si="13"/>
        <v>0</v>
      </c>
      <c r="G33" s="12">
        <f t="shared" si="13"/>
        <v>0</v>
      </c>
      <c r="H33" s="12">
        <f t="shared" si="13"/>
        <v>0</v>
      </c>
      <c r="I33" s="12">
        <f t="shared" si="13"/>
        <v>0</v>
      </c>
      <c r="J33" s="12">
        <f t="shared" si="13"/>
        <v>0</v>
      </c>
      <c r="K33" s="12">
        <f t="shared" si="13"/>
        <v>0</v>
      </c>
      <c r="L33" s="12">
        <f t="shared" si="13"/>
        <v>0</v>
      </c>
      <c r="M33" s="12">
        <f t="shared" si="13"/>
        <v>0</v>
      </c>
      <c r="N33" s="12">
        <f t="shared" si="13"/>
        <v>0</v>
      </c>
      <c r="O33" s="12">
        <f t="shared" si="13"/>
        <v>0</v>
      </c>
      <c r="P33" s="12">
        <f t="shared" si="13"/>
        <v>0</v>
      </c>
      <c r="Q33" s="12">
        <f t="shared" si="13"/>
        <v>0</v>
      </c>
      <c r="R33" s="12">
        <f t="shared" si="13"/>
        <v>0</v>
      </c>
      <c r="S33" s="12">
        <f t="shared" si="13"/>
        <v>0</v>
      </c>
      <c r="T33" s="12">
        <f t="shared" si="13"/>
        <v>0</v>
      </c>
      <c r="U33" s="12">
        <f t="shared" si="13"/>
        <v>0</v>
      </c>
      <c r="V33" s="12">
        <f t="shared" si="13"/>
        <v>0</v>
      </c>
      <c r="W33" s="12">
        <f t="shared" si="13"/>
        <v>0</v>
      </c>
      <c r="X33" s="12">
        <f t="shared" si="13"/>
        <v>0</v>
      </c>
      <c r="Y33" s="12">
        <f t="shared" si="13"/>
        <v>0</v>
      </c>
      <c r="Z33" s="12">
        <f t="shared" si="13"/>
        <v>0</v>
      </c>
      <c r="AA33" s="12">
        <f t="shared" si="13"/>
        <v>0</v>
      </c>
      <c r="AB33" s="12">
        <f t="shared" si="13"/>
        <v>0</v>
      </c>
      <c r="AC33" s="12">
        <f t="shared" si="13"/>
        <v>0</v>
      </c>
      <c r="AD33" s="12">
        <f t="shared" si="13"/>
        <v>0</v>
      </c>
      <c r="AE33" s="104">
        <f t="shared" si="13"/>
        <v>5.026742540590214</v>
      </c>
      <c r="AF33" s="28">
        <f t="shared" si="13"/>
        <v>0</v>
      </c>
    </row>
    <row r="34" spans="1:32" x14ac:dyDescent="0.35">
      <c r="A34" s="73" t="s">
        <v>194</v>
      </c>
      <c r="B34" s="12">
        <v>0</v>
      </c>
      <c r="C34" s="32">
        <f>C35+B36</f>
        <v>0</v>
      </c>
      <c r="D34" s="32">
        <f>D35+C36</f>
        <v>0</v>
      </c>
      <c r="E34" s="32">
        <f t="shared" ref="E34:AF34" si="14">E35+D36</f>
        <v>0</v>
      </c>
      <c r="F34" s="32">
        <f t="shared" si="14"/>
        <v>0</v>
      </c>
      <c r="G34" s="32">
        <f t="shared" si="14"/>
        <v>0</v>
      </c>
      <c r="H34" s="32">
        <f t="shared" si="14"/>
        <v>0</v>
      </c>
      <c r="I34" s="32">
        <f t="shared" si="14"/>
        <v>0</v>
      </c>
      <c r="J34" s="32">
        <f t="shared" si="14"/>
        <v>0</v>
      </c>
      <c r="K34" s="32">
        <f t="shared" si="14"/>
        <v>0</v>
      </c>
      <c r="L34" s="32">
        <f t="shared" si="14"/>
        <v>0</v>
      </c>
      <c r="M34" s="32">
        <f t="shared" si="14"/>
        <v>0</v>
      </c>
      <c r="N34" s="32">
        <f>N35+M36</f>
        <v>0</v>
      </c>
      <c r="O34" s="32">
        <f t="shared" si="14"/>
        <v>0</v>
      </c>
      <c r="P34" s="32">
        <f t="shared" si="14"/>
        <v>0</v>
      </c>
      <c r="Q34" s="32">
        <f t="shared" si="14"/>
        <v>0</v>
      </c>
      <c r="R34" s="32">
        <f t="shared" si="14"/>
        <v>0</v>
      </c>
      <c r="S34" s="32">
        <f t="shared" si="14"/>
        <v>0</v>
      </c>
      <c r="T34" s="32">
        <f t="shared" si="14"/>
        <v>0</v>
      </c>
      <c r="U34" s="32">
        <f t="shared" si="14"/>
        <v>0</v>
      </c>
      <c r="V34" s="32">
        <f t="shared" si="14"/>
        <v>0</v>
      </c>
      <c r="W34" s="32">
        <f t="shared" si="14"/>
        <v>0</v>
      </c>
      <c r="X34" s="32">
        <f t="shared" si="14"/>
        <v>0</v>
      </c>
      <c r="Y34" s="32">
        <f t="shared" si="14"/>
        <v>0</v>
      </c>
      <c r="Z34" s="32">
        <f t="shared" si="14"/>
        <v>0</v>
      </c>
      <c r="AA34" s="32">
        <f t="shared" si="14"/>
        <v>0</v>
      </c>
      <c r="AB34" s="32">
        <f t="shared" si="14"/>
        <v>0</v>
      </c>
      <c r="AC34" s="32">
        <f t="shared" si="14"/>
        <v>0</v>
      </c>
      <c r="AD34" s="32">
        <f t="shared" si="14"/>
        <v>0</v>
      </c>
      <c r="AE34" s="32">
        <f t="shared" si="14"/>
        <v>0</v>
      </c>
      <c r="AF34" s="117">
        <f t="shared" si="14"/>
        <v>0</v>
      </c>
    </row>
    <row r="35" spans="1:32" ht="29" x14ac:dyDescent="0.35">
      <c r="A35" s="73" t="s">
        <v>195</v>
      </c>
      <c r="B35" s="12">
        <v>0</v>
      </c>
      <c r="C35" s="32">
        <f t="shared" ref="C35:AF35" si="15">(EXP(-$C$49))*B34</f>
        <v>0</v>
      </c>
      <c r="D35" s="32">
        <f t="shared" si="15"/>
        <v>0</v>
      </c>
      <c r="E35" s="32">
        <f t="shared" si="15"/>
        <v>0</v>
      </c>
      <c r="F35" s="32">
        <f t="shared" si="15"/>
        <v>0</v>
      </c>
      <c r="G35" s="32">
        <f t="shared" si="15"/>
        <v>0</v>
      </c>
      <c r="H35" s="32">
        <f t="shared" si="15"/>
        <v>0</v>
      </c>
      <c r="I35" s="32">
        <f t="shared" si="15"/>
        <v>0</v>
      </c>
      <c r="J35" s="32">
        <f t="shared" si="15"/>
        <v>0</v>
      </c>
      <c r="K35" s="32">
        <f t="shared" si="15"/>
        <v>0</v>
      </c>
      <c r="L35" s="32">
        <f t="shared" si="15"/>
        <v>0</v>
      </c>
      <c r="M35" s="32">
        <f t="shared" si="15"/>
        <v>0</v>
      </c>
      <c r="N35" s="32">
        <f t="shared" si="15"/>
        <v>0</v>
      </c>
      <c r="O35" s="32">
        <f t="shared" si="15"/>
        <v>0</v>
      </c>
      <c r="P35" s="32">
        <f t="shared" si="15"/>
        <v>0</v>
      </c>
      <c r="Q35" s="32">
        <f t="shared" si="15"/>
        <v>0</v>
      </c>
      <c r="R35" s="32">
        <f t="shared" si="15"/>
        <v>0</v>
      </c>
      <c r="S35" s="32">
        <f t="shared" si="15"/>
        <v>0</v>
      </c>
      <c r="T35" s="32">
        <f t="shared" si="15"/>
        <v>0</v>
      </c>
      <c r="U35" s="32">
        <f t="shared" si="15"/>
        <v>0</v>
      </c>
      <c r="V35" s="32">
        <f t="shared" si="15"/>
        <v>0</v>
      </c>
      <c r="W35" s="32">
        <f t="shared" si="15"/>
        <v>0</v>
      </c>
      <c r="X35" s="32">
        <f t="shared" si="15"/>
        <v>0</v>
      </c>
      <c r="Y35" s="32">
        <f t="shared" si="15"/>
        <v>0</v>
      </c>
      <c r="Z35" s="32">
        <f t="shared" si="15"/>
        <v>0</v>
      </c>
      <c r="AA35" s="32">
        <f t="shared" si="15"/>
        <v>0</v>
      </c>
      <c r="AB35" s="32">
        <f t="shared" si="15"/>
        <v>0</v>
      </c>
      <c r="AC35" s="32">
        <f t="shared" si="15"/>
        <v>0</v>
      </c>
      <c r="AD35" s="32">
        <f t="shared" si="15"/>
        <v>0</v>
      </c>
      <c r="AE35" s="32">
        <f t="shared" si="15"/>
        <v>0</v>
      </c>
      <c r="AF35" s="117">
        <f t="shared" si="15"/>
        <v>0</v>
      </c>
    </row>
    <row r="36" spans="1:32" ht="43.5" x14ac:dyDescent="0.35">
      <c r="A36" s="73" t="s">
        <v>196</v>
      </c>
      <c r="B36" s="12">
        <f t="shared" ref="B36:AF36" si="16">((1-EXP(-$C$49))/$C$49)*(B38*$E$42*$B$41)</f>
        <v>0</v>
      </c>
      <c r="C36" s="12">
        <f t="shared" si="16"/>
        <v>0</v>
      </c>
      <c r="D36" s="12">
        <f t="shared" si="16"/>
        <v>0</v>
      </c>
      <c r="E36" s="12">
        <f t="shared" si="16"/>
        <v>0</v>
      </c>
      <c r="F36" s="12">
        <f t="shared" si="16"/>
        <v>0</v>
      </c>
      <c r="G36" s="12">
        <f t="shared" si="16"/>
        <v>0</v>
      </c>
      <c r="H36" s="12">
        <f t="shared" si="16"/>
        <v>0</v>
      </c>
      <c r="I36" s="12">
        <f t="shared" si="16"/>
        <v>0</v>
      </c>
      <c r="J36" s="12">
        <f t="shared" si="16"/>
        <v>0</v>
      </c>
      <c r="K36" s="12">
        <f t="shared" si="16"/>
        <v>0</v>
      </c>
      <c r="L36" s="12">
        <f t="shared" si="16"/>
        <v>0</v>
      </c>
      <c r="M36" s="12">
        <f t="shared" si="16"/>
        <v>0</v>
      </c>
      <c r="N36" s="12">
        <f t="shared" si="16"/>
        <v>0</v>
      </c>
      <c r="O36" s="12">
        <f t="shared" si="16"/>
        <v>0</v>
      </c>
      <c r="P36" s="12">
        <f t="shared" si="16"/>
        <v>0</v>
      </c>
      <c r="Q36" s="12">
        <f t="shared" si="16"/>
        <v>0</v>
      </c>
      <c r="R36" s="12">
        <f t="shared" si="16"/>
        <v>0</v>
      </c>
      <c r="S36" s="12">
        <f t="shared" si="16"/>
        <v>0</v>
      </c>
      <c r="T36" s="12">
        <f t="shared" si="16"/>
        <v>0</v>
      </c>
      <c r="U36" s="12">
        <f t="shared" si="16"/>
        <v>0</v>
      </c>
      <c r="V36" s="12">
        <f t="shared" si="16"/>
        <v>0</v>
      </c>
      <c r="W36" s="12">
        <f t="shared" si="16"/>
        <v>0</v>
      </c>
      <c r="X36" s="12">
        <f t="shared" si="16"/>
        <v>0</v>
      </c>
      <c r="Y36" s="12">
        <f t="shared" si="16"/>
        <v>0</v>
      </c>
      <c r="Z36" s="12">
        <f t="shared" si="16"/>
        <v>0</v>
      </c>
      <c r="AA36" s="12">
        <f t="shared" si="16"/>
        <v>0</v>
      </c>
      <c r="AB36" s="12">
        <f t="shared" si="16"/>
        <v>0</v>
      </c>
      <c r="AC36" s="12">
        <f t="shared" si="16"/>
        <v>0</v>
      </c>
      <c r="AD36" s="12">
        <f t="shared" si="16"/>
        <v>0</v>
      </c>
      <c r="AE36" s="12">
        <f t="shared" si="16"/>
        <v>0</v>
      </c>
      <c r="AF36" s="28">
        <f t="shared" si="16"/>
        <v>0</v>
      </c>
    </row>
    <row r="37" spans="1:32" ht="34.5" customHeight="1" x14ac:dyDescent="0.35">
      <c r="A37" s="18" t="s">
        <v>215</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v>29</v>
      </c>
      <c r="AF37" s="118"/>
    </row>
    <row r="38" spans="1:32" x14ac:dyDescent="0.35">
      <c r="A38" s="18" t="s">
        <v>216</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18"/>
    </row>
    <row r="39" spans="1:32" ht="15" thickBot="1" x14ac:dyDescent="0.4">
      <c r="A39" s="33" t="s">
        <v>199</v>
      </c>
      <c r="B39" s="12">
        <f t="shared" ref="B39:AF39" si="17">B16-B30</f>
        <v>0</v>
      </c>
      <c r="C39" s="34">
        <f t="shared" si="17"/>
        <v>0</v>
      </c>
      <c r="D39" s="24">
        <f t="shared" si="17"/>
        <v>0</v>
      </c>
      <c r="E39" s="3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4">
        <f t="shared" si="17"/>
        <v>0</v>
      </c>
      <c r="Q39" s="24">
        <f t="shared" si="17"/>
        <v>0</v>
      </c>
      <c r="R39" s="24">
        <f t="shared" si="17"/>
        <v>0</v>
      </c>
      <c r="S39" s="24">
        <f t="shared" si="17"/>
        <v>0</v>
      </c>
      <c r="T39" s="24">
        <f t="shared" si="17"/>
        <v>0</v>
      </c>
      <c r="U39" s="24">
        <f t="shared" si="17"/>
        <v>0</v>
      </c>
      <c r="V39" s="24">
        <f t="shared" si="17"/>
        <v>2.0713675232202364</v>
      </c>
      <c r="W39" s="24">
        <f t="shared" si="17"/>
        <v>1.4646780219986126</v>
      </c>
      <c r="X39" s="24">
        <f t="shared" si="17"/>
        <v>1.0356837616101182</v>
      </c>
      <c r="Y39" s="24">
        <f t="shared" si="17"/>
        <v>0.73233901099930632</v>
      </c>
      <c r="Z39" s="24">
        <f t="shared" si="17"/>
        <v>0.51784188080505911</v>
      </c>
      <c r="AA39" s="122">
        <f t="shared" si="17"/>
        <v>0.36616950549965316</v>
      </c>
      <c r="AB39" s="122">
        <f t="shared" si="17"/>
        <v>0.25892094040252955</v>
      </c>
      <c r="AC39" s="122">
        <f t="shared" si="17"/>
        <v>0.18308475274982658</v>
      </c>
      <c r="AD39" s="122">
        <f t="shared" si="17"/>
        <v>4.6670106329238799</v>
      </c>
      <c r="AE39" s="122">
        <f t="shared" si="17"/>
        <v>3.7145933787669838</v>
      </c>
      <c r="AF39" s="148">
        <f t="shared" si="17"/>
        <v>-1.9937383159526321</v>
      </c>
    </row>
    <row r="40" spans="1:32" x14ac:dyDescent="0.35">
      <c r="A40" s="163" t="s">
        <v>11</v>
      </c>
      <c r="B40" s="178"/>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row>
    <row r="41" spans="1:32" ht="29.5" thickBot="1" x14ac:dyDescent="0.4">
      <c r="A41" s="3" t="s">
        <v>4</v>
      </c>
      <c r="B41" s="28">
        <v>0.47499999999999998</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row>
    <row r="42" spans="1:32" ht="29.5" thickBot="1" x14ac:dyDescent="0.4">
      <c r="A42" s="3" t="s">
        <v>6</v>
      </c>
      <c r="B42" s="23" t="s">
        <v>40</v>
      </c>
      <c r="C42" s="25">
        <f>IF(B42="Alisier torminal",0.62,IF(B42="Arbousier",0.64,IF(B42="Aulne vert",0.42,IF(B42="Grands aulnes",0.42,IF(B42="Bouleaux",0.52,IF(B42="Cèdre de l’Atlas",0.36,IF(B42="Charme",0.61,IF(B42="Charme-houblon",0.66,IF(B42="Châtaignier",0.47,IF(B42="Chêne chevelu",0.67,IF(B42="Chêne-liège",0.7,IF(B42="Chêne pédonculé",0.54,IF(B42="Chêne pubescent",0.65,IF(B42="Chêne rouge d’Amérique",0.56,IF(B42="Chêne rouvre (sessile)",0.58,IF(B42="Chêne tauzin",0.64,IF(B42="Chêne vert",0.73,IF(B42="Chênes indifférenciés",0.56,IF(B42="Cornouiller mâle",0.74,IF(B42="Cyprès",0.4,IF(B42="Cytise aubour",0.6,IF(B42="Douglas",0.43,IF(B42="Epicéa commun",0.37,IF(B42="Epicéa de Sitka",0.36,IF(B42="Grands érables",0.51,IF(B42="Petits érables",0.56,IF(B42="Eucalyptus",0.56,IF(B42="Genévrier thurifère",0.48,IF(B42="Hêtre",0.55,IF(B42="Frênes",0.56,IF(B42="Fruitiers",0.58,IF(B42="If",0.58,IF(B42="Mélèze d’Europe",0.48,IF(B42="Mélèze du Japon",0.42,IF(B42="Merisier",0.5,IF(B42="Micocoulier",0.55,IF(B42="Mûrier",0.53,IF(B42="Noisetier",0.52,IF(B42="Noyer",0.52,IF(B42="Olivier",0.75,IF(B42="Ormes",0.52,IF(B42="Peupliers cultivés",0.35,IF(B42="Peupliers non cultivés",0.37,IF(B42="Pin d'Alep",0.45,IF(B42="Pin cembro",0.39,IF(B42="Pin à crochets",0.44,IF(B42="Pin laricio",0.46,IF(B42="Pin maritime",0.46,IF(B42="Pin mugho",0.44,IF(B42="Pin noir d'Autriche",0.46,IF(B42="Pin pignon",0.48,IF(B42="Pin sylvestre",0.44,IF(B42="Pin Weymouth",0.34,IF(B42="Platanes",0.5,IF(B42="Robinier faux acacia",0.58,IF(B42="Sapin méditerranéen",0.37,IF(B42="Sapin de Nordmann",0.37,IF(B42="Sapin pectiné",0.38,IF(B42="Sapin de Vancouver",0.36,IF(B42="Saules",0.37,IF(B42="Tamaris",0.53,IF(B42="Tilleuls",0.43,IF(B42="Tremble",0.38,IF(B42="Conifères (moyenne)",0.42,IF(B42="Feuillus (moyenne)",0.57,0)))))))))))))))))))))))))))))))))))))))))))))))))))))))))))))))))</f>
        <v>0.43</v>
      </c>
      <c r="D42" s="26" t="s">
        <v>41</v>
      </c>
      <c r="E42" s="27">
        <f>IF(D42="Alisier torminal",0.62,IF(D42="Arbousier",0.64,IF(D42="Aulne vert",0.42,IF(D42="Grands aulnes",0.42,IF(D42="Bouleaux",0.52,IF(D42="Cèdre de l’Atlas",0.36,IF(D42="Charme",0.61,IF(D42="Charme-houblon",0.66,IF(D42="Châtaignier",0.47,IF(D42="Chêne chevelu",0.67,IF(D42="Chêne-liège",0.7,IF(D42="Chêne pédonculé",0.54,IF(D42="Chêne pubescent",0.65,IF(D42="Chêne rouge d’Amérique",0.56,IF(D42="Chêne rouvre (sessile)",0.58,IF(D42="Chêne tauzin",0.64,IF(D42="Chêne vert",0.73,IF(D42="Chênes indifférenciés",0.56,IF(D42="Cornouiller mâle",0.74,IF(D42="Cyprès",0.4,IF(D42="Cytise aubour",0.6,IF(D42="Douglas",0.43,IF(D42="Epicéa commun",0.37,IF(D42="Epicéa de Sitka",0.36,IF(D42="Grands érables",0.51,IF(D42="Petits érables",0.56,IF(D42="Eucalyptus",0.56,IF(D42="Genévrier thurifère",0.48,IF(D42="Hêtre",0.55,IF(D42="Frênes",0.56,IF(D42="Fruitiers",0.58,IF(D42="If",0.58,IF(D42="Mélèze d’Europe",0.48,IF(D42="Mélèze du Japon",0.42,IF(D42="Merisier",0.5,IF(D42="Micocoulier",0.55,IF(D42="Mûrier",0.53,IF(D42="Noisetier",0.52,IF(D42="Noyer",0.52,IF(D42="Olivier",0.75,IF(D42="Ormes",0.52,IF(D42="Peupliers cultivés",0.35,IF(D42="Peupliers non cultivés",0.37,IF(D42="Pin d'Alep",0.45,IF(D42="Pin cembro",0.39,IF(D42="Pin à crochets",0.44,IF(D42="Pin laricio",0.46,IF(D42="Pin maritime",0.46,IF(D42="Pin mugho",0.44,IF(D42="Pin noir d'Autriche",0.46,IF(D42="Pin pignon",0.48,IF(D42="Pin sylvestre",0.44,IF(D42="Pin Weymouth",0.34,IF(D42="Platanes",0.5,IF(D42="Robinier faux acacia",0.58,IF(D42="Sapin méditerranéen",0.37,IF(D42="Sapin de Nordmann",0.37,IF(D42="Sapin pectiné",0.38,IF(D42="Sapin de Vancouver",0.36,IF(D42="Saules",0.37,IF(D42="Tamaris",0.53,IF(D42="Tilleuls",0.43,IF(D42="Tremble",0.38,IF(D42="Conifères (moyenne)",0.42,IF(D42="Feuillus (moyenne)",0.57,0)))))))))))))))))))))))))))))))))))))))))))))))))))))))))))))))))</f>
        <v>0.37</v>
      </c>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14.5" customHeight="1" x14ac:dyDescent="0.35">
      <c r="A43" s="165" t="s">
        <v>91</v>
      </c>
      <c r="B43" s="12" t="s">
        <v>94</v>
      </c>
      <c r="C43" s="28">
        <v>35</v>
      </c>
      <c r="D43" s="15"/>
      <c r="E43" s="15"/>
      <c r="F43" s="7"/>
      <c r="G43" s="7"/>
      <c r="H43" s="7"/>
      <c r="I43" s="7"/>
      <c r="J43" s="7"/>
      <c r="K43" s="7"/>
      <c r="L43" s="7"/>
      <c r="M43" s="7"/>
      <c r="N43" s="7"/>
      <c r="O43" s="7"/>
      <c r="P43" s="7"/>
      <c r="Q43" s="7"/>
      <c r="R43" s="7"/>
      <c r="S43" s="7"/>
      <c r="T43" s="7"/>
      <c r="U43" s="7"/>
      <c r="V43" s="7"/>
      <c r="W43" s="7"/>
      <c r="X43" s="7"/>
      <c r="Y43" s="7"/>
      <c r="Z43" s="7"/>
      <c r="AA43" s="7"/>
      <c r="AB43" s="7"/>
      <c r="AC43" s="7"/>
      <c r="AD43" s="7"/>
      <c r="AE43" s="7"/>
      <c r="AF43" s="7"/>
    </row>
    <row r="44" spans="1:32" x14ac:dyDescent="0.35">
      <c r="A44" s="166"/>
      <c r="B44" s="12" t="s">
        <v>95</v>
      </c>
      <c r="C44" s="28">
        <v>25</v>
      </c>
      <c r="D44" s="15"/>
      <c r="E44" s="15"/>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x14ac:dyDescent="0.35">
      <c r="A45" s="166"/>
      <c r="B45" s="12" t="s">
        <v>96</v>
      </c>
      <c r="C45" s="28">
        <v>2</v>
      </c>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row>
    <row r="46" spans="1:32" x14ac:dyDescent="0.35">
      <c r="A46" s="168"/>
      <c r="B46" s="29" t="s">
        <v>150</v>
      </c>
      <c r="C46" s="63">
        <v>5</v>
      </c>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29" customHeight="1" x14ac:dyDescent="0.35">
      <c r="A47" s="165" t="s">
        <v>97</v>
      </c>
      <c r="B47" s="29" t="s">
        <v>94</v>
      </c>
      <c r="C47" s="30">
        <f>LN(2)/C43</f>
        <v>1.980420515885558E-2</v>
      </c>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row>
    <row r="48" spans="1:32" x14ac:dyDescent="0.35">
      <c r="A48" s="166"/>
      <c r="B48" s="12" t="s">
        <v>95</v>
      </c>
      <c r="C48" s="30">
        <f>LN(2)/C44</f>
        <v>2.7725887222397813E-2</v>
      </c>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row>
    <row r="49" spans="1:32" x14ac:dyDescent="0.35">
      <c r="A49" s="166"/>
      <c r="B49" s="64" t="s">
        <v>96</v>
      </c>
      <c r="C49" s="65">
        <f>LN(2)/C45</f>
        <v>0.34657359027997264</v>
      </c>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row>
    <row r="50" spans="1:32" ht="15" thickBot="1" x14ac:dyDescent="0.4">
      <c r="A50" s="167"/>
      <c r="B50" s="24" t="s">
        <v>150</v>
      </c>
      <c r="C50" s="31">
        <f>LN(2)/C46</f>
        <v>0.13862943611198905</v>
      </c>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row>
    <row r="51" spans="1:32" x14ac:dyDescent="0.35">
      <c r="A51" s="8"/>
      <c r="B51" s="119"/>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row>
    <row r="52" spans="1:32" x14ac:dyDescent="0.35">
      <c r="A52" s="8"/>
      <c r="B52" s="119"/>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row>
  </sheetData>
  <mergeCells count="7">
    <mergeCell ref="A47:A50"/>
    <mergeCell ref="A43:A46"/>
    <mergeCell ref="A9:B9"/>
    <mergeCell ref="A13:AF13"/>
    <mergeCell ref="A15:AF15"/>
    <mergeCell ref="A29:AF29"/>
    <mergeCell ref="A40:B40"/>
  </mergeCells>
  <conditionalFormatting sqref="B30:AF38 B16:AF28">
    <cfRule type="cellIs" dxfId="0" priority="2" operator="greaterThan">
      <formula>0</formula>
    </cfRule>
  </conditionalFormatting>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Choisir l'essence pour avoir la di pour le scénario de référence">
          <x14:formula1>
            <xm:f>'Listes choix'!$C$2:$C$66</xm:f>
          </x14:formula1>
          <xm:sqref>D42:D44</xm:sqref>
        </x14:dataValidation>
        <x14:dataValidation type="list" showInputMessage="1" showErrorMessage="1" prompt="Choisir l'essence pour avoir la di pour le scénario de projet">
          <x14:formula1>
            <xm:f>'Listes choix'!$C$2:$C$66</xm:f>
          </x14:formula1>
          <xm:sqref>B42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FU34"/>
  <sheetViews>
    <sheetView zoomScale="85" workbookViewId="0">
      <selection activeCell="B10" sqref="B10"/>
    </sheetView>
  </sheetViews>
  <sheetFormatPr baseColWidth="10" defaultRowHeight="14.5" x14ac:dyDescent="0.35"/>
  <cols>
    <col min="1" max="1" width="38.08984375" style="1" customWidth="1"/>
    <col min="2" max="2" width="27.08984375" customWidth="1"/>
    <col min="4" max="4" width="13.1796875" customWidth="1"/>
  </cols>
  <sheetData>
    <row r="4" spans="1:32" ht="16" thickBot="1" x14ac:dyDescent="0.4">
      <c r="A4" s="19"/>
      <c r="B4" s="7"/>
    </row>
    <row r="5" spans="1:32" ht="16" thickBot="1" x14ac:dyDescent="0.4">
      <c r="A5" s="20" t="s">
        <v>181</v>
      </c>
      <c r="B5" s="114">
        <f>SUM(B25:AE25)</f>
        <v>26.230000000000004</v>
      </c>
    </row>
    <row r="6" spans="1:32" ht="16" thickBot="1" x14ac:dyDescent="0.4">
      <c r="A6" s="20" t="s">
        <v>98</v>
      </c>
      <c r="B6" s="114">
        <f>B5*B10</f>
        <v>110.16600000000003</v>
      </c>
    </row>
    <row r="8" spans="1:32" ht="15" thickBot="1" x14ac:dyDescent="0.4"/>
    <row r="9" spans="1:32" ht="15" thickBot="1" x14ac:dyDescent="0.4">
      <c r="A9" s="161" t="s">
        <v>14</v>
      </c>
      <c r="B9" s="162"/>
    </row>
    <row r="10" spans="1:32" x14ac:dyDescent="0.35">
      <c r="A10" s="2" t="s">
        <v>7</v>
      </c>
      <c r="B10" s="102">
        <v>4.2</v>
      </c>
    </row>
    <row r="11" spans="1:32" x14ac:dyDescent="0.35">
      <c r="A11" s="106" t="s">
        <v>17</v>
      </c>
      <c r="B11" s="111">
        <v>30</v>
      </c>
    </row>
    <row r="12" spans="1:32" x14ac:dyDescent="0.35">
      <c r="A12" s="3" t="s">
        <v>110</v>
      </c>
      <c r="B12" s="40" t="s">
        <v>109</v>
      </c>
    </row>
    <row r="13" spans="1:32" ht="29" x14ac:dyDescent="0.35">
      <c r="A13" s="3" t="s">
        <v>221</v>
      </c>
      <c r="B13" s="40" t="s">
        <v>115</v>
      </c>
    </row>
    <row r="14" spans="1:32" ht="36" customHeight="1" x14ac:dyDescent="0.35">
      <c r="A14" s="3" t="s">
        <v>162</v>
      </c>
      <c r="B14" s="28">
        <f>IF(B12="Feuillus",C31,IF(B12="Peuplier",C32,IF(B12="Résineux",C34,IF(B12="Pin maritime en gestion dynamique (3 éclaircies durant les 30 1ères années)",C33,0))))</f>
        <v>0.43</v>
      </c>
    </row>
    <row r="15" spans="1:32" ht="29.5" thickBot="1" x14ac:dyDescent="0.4">
      <c r="A15" s="4" t="s">
        <v>113</v>
      </c>
      <c r="B15" s="44">
        <f>IF(B13="Feuillus",0,IF(B13="Résineux pionniers (PM, PA, PS…)",0.43,0))</f>
        <v>0.43</v>
      </c>
    </row>
    <row r="16" spans="1:32" ht="15" thickBot="1" x14ac:dyDescent="0.4">
      <c r="AF16" s="7"/>
    </row>
    <row r="17" spans="1:177" s="5" customFormat="1" ht="15.5" x14ac:dyDescent="0.35">
      <c r="A17" s="169" t="s">
        <v>99</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1"/>
      <c r="AF17" s="19"/>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row>
    <row r="18" spans="1:177" x14ac:dyDescent="0.35">
      <c r="A18" s="3" t="s">
        <v>18</v>
      </c>
      <c r="B18" s="12">
        <v>1</v>
      </c>
      <c r="C18" s="12">
        <v>2</v>
      </c>
      <c r="D18" s="12">
        <v>3</v>
      </c>
      <c r="E18" s="12">
        <v>4</v>
      </c>
      <c r="F18" s="12">
        <v>5</v>
      </c>
      <c r="G18" s="12">
        <v>6</v>
      </c>
      <c r="H18" s="12">
        <v>7</v>
      </c>
      <c r="I18" s="12">
        <v>8</v>
      </c>
      <c r="J18" s="12">
        <v>9</v>
      </c>
      <c r="K18" s="12">
        <v>10</v>
      </c>
      <c r="L18" s="12">
        <v>11</v>
      </c>
      <c r="M18" s="12">
        <v>12</v>
      </c>
      <c r="N18" s="12">
        <v>13</v>
      </c>
      <c r="O18" s="12">
        <v>14</v>
      </c>
      <c r="P18" s="12">
        <v>15</v>
      </c>
      <c r="Q18" s="12">
        <v>16</v>
      </c>
      <c r="R18" s="12">
        <v>17</v>
      </c>
      <c r="S18" s="12">
        <v>18</v>
      </c>
      <c r="T18" s="137">
        <v>19</v>
      </c>
      <c r="U18" s="12">
        <v>20</v>
      </c>
      <c r="V18" s="12">
        <v>21</v>
      </c>
      <c r="W18" s="12">
        <v>22</v>
      </c>
      <c r="X18" s="12">
        <v>23</v>
      </c>
      <c r="Y18" s="12">
        <v>24</v>
      </c>
      <c r="Z18" s="12">
        <v>25</v>
      </c>
      <c r="AA18" s="12">
        <v>26</v>
      </c>
      <c r="AB18" s="137">
        <v>27</v>
      </c>
      <c r="AC18" s="12">
        <v>28</v>
      </c>
      <c r="AD18" s="12">
        <v>29</v>
      </c>
      <c r="AE18" s="28">
        <v>30</v>
      </c>
      <c r="AF18" s="15"/>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row>
    <row r="19" spans="1:177" s="5" customFormat="1" x14ac:dyDescent="0.35">
      <c r="A19" s="175" t="s">
        <v>3</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7"/>
      <c r="AF19" s="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row>
    <row r="20" spans="1:177" s="5" customFormat="1" x14ac:dyDescent="0.35">
      <c r="A20" s="75" t="s">
        <v>200</v>
      </c>
      <c r="B20" s="74">
        <f>$B$14*B21</f>
        <v>0</v>
      </c>
      <c r="C20" s="74">
        <f>$B$14*C21</f>
        <v>0</v>
      </c>
      <c r="D20" s="74">
        <f>$B$14*D21</f>
        <v>0</v>
      </c>
      <c r="E20" s="74">
        <f>$B$14*E21</f>
        <v>0</v>
      </c>
      <c r="F20" s="74">
        <f t="shared" ref="F20:AD20" si="0">$B$14*F21</f>
        <v>0</v>
      </c>
      <c r="G20" s="74">
        <f t="shared" si="0"/>
        <v>0</v>
      </c>
      <c r="H20" s="74">
        <f t="shared" si="0"/>
        <v>0</v>
      </c>
      <c r="I20" s="74">
        <f t="shared" si="0"/>
        <v>0</v>
      </c>
      <c r="J20" s="74">
        <f t="shared" si="0"/>
        <v>0</v>
      </c>
      <c r="K20" s="74">
        <f t="shared" si="0"/>
        <v>0</v>
      </c>
      <c r="L20" s="74">
        <f t="shared" si="0"/>
        <v>0</v>
      </c>
      <c r="M20" s="74">
        <f t="shared" si="0"/>
        <v>0</v>
      </c>
      <c r="N20" s="74">
        <f t="shared" si="0"/>
        <v>0</v>
      </c>
      <c r="O20" s="74">
        <f t="shared" si="0"/>
        <v>0</v>
      </c>
      <c r="P20" s="74">
        <f t="shared" si="0"/>
        <v>0</v>
      </c>
      <c r="Q20" s="74">
        <f t="shared" si="0"/>
        <v>0</v>
      </c>
      <c r="R20" s="74">
        <f t="shared" si="0"/>
        <v>0</v>
      </c>
      <c r="S20" s="74">
        <f t="shared" si="0"/>
        <v>0</v>
      </c>
      <c r="T20" s="74">
        <f t="shared" si="0"/>
        <v>17.2</v>
      </c>
      <c r="U20" s="74">
        <f t="shared" si="0"/>
        <v>0</v>
      </c>
      <c r="V20" s="74">
        <f t="shared" si="0"/>
        <v>0</v>
      </c>
      <c r="W20" s="74">
        <f t="shared" si="0"/>
        <v>0</v>
      </c>
      <c r="X20" s="74">
        <f t="shared" si="0"/>
        <v>0</v>
      </c>
      <c r="Y20" s="74">
        <f t="shared" si="0"/>
        <v>0</v>
      </c>
      <c r="Z20" s="74">
        <f t="shared" si="0"/>
        <v>0</v>
      </c>
      <c r="AA20" s="74">
        <f t="shared" si="0"/>
        <v>0</v>
      </c>
      <c r="AB20" s="74">
        <f t="shared" si="0"/>
        <v>21.5</v>
      </c>
      <c r="AC20" s="74">
        <f t="shared" si="0"/>
        <v>0</v>
      </c>
      <c r="AD20" s="74">
        <f t="shared" si="0"/>
        <v>0</v>
      </c>
      <c r="AE20" s="76">
        <f>$B$14*AE21</f>
        <v>0</v>
      </c>
      <c r="AF20" s="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row>
    <row r="21" spans="1:177" x14ac:dyDescent="0.35">
      <c r="A21" s="3" t="s">
        <v>201</v>
      </c>
      <c r="B21" s="17"/>
      <c r="C21" s="17"/>
      <c r="D21" s="39"/>
      <c r="E21" s="39"/>
      <c r="F21" s="39"/>
      <c r="G21" s="39"/>
      <c r="H21" s="39"/>
      <c r="I21" s="39"/>
      <c r="J21" s="39"/>
      <c r="K21" s="39"/>
      <c r="L21" s="39"/>
      <c r="M21" s="39"/>
      <c r="N21" s="39"/>
      <c r="O21" s="39"/>
      <c r="P21" s="39"/>
      <c r="Q21" s="39"/>
      <c r="R21" s="39"/>
      <c r="S21" s="39"/>
      <c r="T21" s="39">
        <v>40</v>
      </c>
      <c r="U21" s="39"/>
      <c r="V21" s="39"/>
      <c r="W21" s="39"/>
      <c r="X21" s="39"/>
      <c r="Y21" s="39"/>
      <c r="Z21" s="39"/>
      <c r="AA21" s="39"/>
      <c r="AB21" s="39">
        <v>50</v>
      </c>
      <c r="AC21" s="39"/>
      <c r="AD21" s="39"/>
      <c r="AE21" s="62"/>
      <c r="AF21" s="4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row>
    <row r="22" spans="1:177" x14ac:dyDescent="0.35">
      <c r="A22" s="175" t="s">
        <v>2</v>
      </c>
      <c r="B22" s="176"/>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7"/>
      <c r="AF22" s="6"/>
    </row>
    <row r="23" spans="1:177" x14ac:dyDescent="0.35">
      <c r="A23" s="75" t="s">
        <v>203</v>
      </c>
      <c r="B23" s="74">
        <f>$B$15*B24</f>
        <v>0</v>
      </c>
      <c r="C23" s="74">
        <f>$B$15*C24</f>
        <v>0</v>
      </c>
      <c r="D23" s="74">
        <f t="shared" ref="D23:AD23" si="1">$B$15*D24</f>
        <v>0</v>
      </c>
      <c r="E23" s="74">
        <f t="shared" si="1"/>
        <v>0</v>
      </c>
      <c r="F23" s="74">
        <f t="shared" si="1"/>
        <v>0</v>
      </c>
      <c r="G23" s="74">
        <f t="shared" si="1"/>
        <v>0</v>
      </c>
      <c r="H23" s="74">
        <f t="shared" si="1"/>
        <v>0</v>
      </c>
      <c r="I23" s="74">
        <f t="shared" si="1"/>
        <v>0</v>
      </c>
      <c r="J23" s="74">
        <f t="shared" si="1"/>
        <v>0</v>
      </c>
      <c r="K23" s="74">
        <f t="shared" si="1"/>
        <v>0</v>
      </c>
      <c r="L23" s="74">
        <f t="shared" si="1"/>
        <v>0</v>
      </c>
      <c r="M23" s="74">
        <f t="shared" si="1"/>
        <v>0</v>
      </c>
      <c r="N23" s="74">
        <f t="shared" si="1"/>
        <v>0</v>
      </c>
      <c r="O23" s="74">
        <f t="shared" si="1"/>
        <v>0</v>
      </c>
      <c r="P23" s="74">
        <f t="shared" si="1"/>
        <v>0</v>
      </c>
      <c r="Q23" s="74">
        <f t="shared" si="1"/>
        <v>0</v>
      </c>
      <c r="R23" s="74">
        <f t="shared" si="1"/>
        <v>0</v>
      </c>
      <c r="S23" s="74">
        <f t="shared" si="1"/>
        <v>0</v>
      </c>
      <c r="T23" s="74">
        <f t="shared" si="1"/>
        <v>0</v>
      </c>
      <c r="U23" s="74">
        <f t="shared" si="1"/>
        <v>0</v>
      </c>
      <c r="V23" s="74">
        <f t="shared" si="1"/>
        <v>0</v>
      </c>
      <c r="W23" s="74">
        <f t="shared" si="1"/>
        <v>0</v>
      </c>
      <c r="X23" s="74">
        <f t="shared" si="1"/>
        <v>0</v>
      </c>
      <c r="Y23" s="74">
        <f t="shared" si="1"/>
        <v>0</v>
      </c>
      <c r="Z23" s="74">
        <f t="shared" si="1"/>
        <v>0</v>
      </c>
      <c r="AA23" s="74">
        <f t="shared" si="1"/>
        <v>0</v>
      </c>
      <c r="AB23" s="74">
        <f t="shared" si="1"/>
        <v>0</v>
      </c>
      <c r="AC23" s="74">
        <f t="shared" si="1"/>
        <v>0</v>
      </c>
      <c r="AD23" s="74">
        <f t="shared" si="1"/>
        <v>12.47</v>
      </c>
      <c r="AE23" s="76">
        <f>$B$15*AE24</f>
        <v>0</v>
      </c>
      <c r="AF23" s="6"/>
    </row>
    <row r="24" spans="1:177" x14ac:dyDescent="0.35">
      <c r="A24" s="3" t="s">
        <v>202</v>
      </c>
      <c r="B24" s="17"/>
      <c r="C24" s="17"/>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v>29</v>
      </c>
      <c r="AE24" s="62"/>
      <c r="AF24" s="43"/>
    </row>
    <row r="25" spans="1:177" ht="29.5" thickBot="1" x14ac:dyDescent="0.4">
      <c r="A25" s="45" t="s">
        <v>204</v>
      </c>
      <c r="B25" s="12">
        <f>B20-B23</f>
        <v>0</v>
      </c>
      <c r="C25" s="24">
        <f>C20-C23</f>
        <v>0</v>
      </c>
      <c r="D25" s="24">
        <f t="shared" ref="D25:AD25" si="2">D20-D23</f>
        <v>0</v>
      </c>
      <c r="E25" s="24">
        <f t="shared" si="2"/>
        <v>0</v>
      </c>
      <c r="F25" s="24">
        <f t="shared" si="2"/>
        <v>0</v>
      </c>
      <c r="G25" s="24">
        <f t="shared" si="2"/>
        <v>0</v>
      </c>
      <c r="H25" s="24">
        <f t="shared" si="2"/>
        <v>0</v>
      </c>
      <c r="I25" s="24">
        <f t="shared" si="2"/>
        <v>0</v>
      </c>
      <c r="J25" s="24">
        <f t="shared" si="2"/>
        <v>0</v>
      </c>
      <c r="K25" s="24">
        <f t="shared" si="2"/>
        <v>0</v>
      </c>
      <c r="L25" s="24">
        <f t="shared" si="2"/>
        <v>0</v>
      </c>
      <c r="M25" s="24">
        <f t="shared" si="2"/>
        <v>0</v>
      </c>
      <c r="N25" s="24">
        <f t="shared" si="2"/>
        <v>0</v>
      </c>
      <c r="O25" s="24">
        <f t="shared" si="2"/>
        <v>0</v>
      </c>
      <c r="P25" s="24">
        <f t="shared" si="2"/>
        <v>0</v>
      </c>
      <c r="Q25" s="24">
        <f t="shared" si="2"/>
        <v>0</v>
      </c>
      <c r="R25" s="24">
        <f t="shared" si="2"/>
        <v>0</v>
      </c>
      <c r="S25" s="24">
        <f t="shared" si="2"/>
        <v>0</v>
      </c>
      <c r="T25" s="24">
        <f t="shared" si="2"/>
        <v>17.2</v>
      </c>
      <c r="U25" s="24">
        <f t="shared" si="2"/>
        <v>0</v>
      </c>
      <c r="V25" s="24">
        <f t="shared" si="2"/>
        <v>0</v>
      </c>
      <c r="W25" s="24">
        <f t="shared" si="2"/>
        <v>0</v>
      </c>
      <c r="X25" s="24">
        <f t="shared" si="2"/>
        <v>0</v>
      </c>
      <c r="Y25" s="24">
        <f t="shared" si="2"/>
        <v>0</v>
      </c>
      <c r="Z25" s="24">
        <f t="shared" si="2"/>
        <v>0</v>
      </c>
      <c r="AA25" s="24">
        <f t="shared" si="2"/>
        <v>0</v>
      </c>
      <c r="AB25" s="24">
        <f t="shared" si="2"/>
        <v>21.5</v>
      </c>
      <c r="AC25" s="24">
        <f t="shared" si="2"/>
        <v>0</v>
      </c>
      <c r="AD25" s="24">
        <f t="shared" si="2"/>
        <v>-12.47</v>
      </c>
      <c r="AE25" s="44">
        <f>AE20-AE23</f>
        <v>0</v>
      </c>
      <c r="AF25" s="15"/>
    </row>
    <row r="26" spans="1:177" ht="15" thickBot="1" x14ac:dyDescent="0.4">
      <c r="A26" s="163" t="s">
        <v>11</v>
      </c>
      <c r="B26" s="178"/>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177" x14ac:dyDescent="0.35">
      <c r="A27" s="165" t="s">
        <v>100</v>
      </c>
      <c r="B27" s="12" t="s">
        <v>101</v>
      </c>
      <c r="C27" s="37">
        <v>1.52</v>
      </c>
      <c r="D27" s="15"/>
      <c r="E27" s="15"/>
      <c r="F27" s="7"/>
      <c r="G27" s="7"/>
      <c r="H27" s="7"/>
      <c r="I27" s="7"/>
      <c r="J27" s="7"/>
      <c r="K27" s="7"/>
      <c r="L27" s="7"/>
      <c r="M27" s="7"/>
      <c r="N27" s="7"/>
      <c r="O27" s="7"/>
      <c r="P27" s="7"/>
      <c r="Q27" s="7"/>
      <c r="R27" s="7"/>
      <c r="S27" s="7"/>
      <c r="T27" s="7"/>
      <c r="U27" s="7"/>
      <c r="V27" s="7"/>
      <c r="W27" s="7"/>
      <c r="X27" s="7"/>
      <c r="Y27" s="7"/>
      <c r="Z27" s="7"/>
      <c r="AA27" s="7"/>
      <c r="AB27" s="7"/>
      <c r="AC27" s="7"/>
      <c r="AD27" s="7"/>
      <c r="AE27" s="7"/>
      <c r="AF27" s="7"/>
    </row>
    <row r="28" spans="1:177" x14ac:dyDescent="0.35">
      <c r="A28" s="166"/>
      <c r="B28" s="12" t="s">
        <v>103</v>
      </c>
      <c r="C28" s="28">
        <v>0</v>
      </c>
      <c r="D28" s="15"/>
      <c r="E28" s="15"/>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177" x14ac:dyDescent="0.35">
      <c r="A29" s="166"/>
      <c r="B29" s="12" t="s">
        <v>104</v>
      </c>
      <c r="C29" s="28">
        <v>0.77</v>
      </c>
      <c r="D29" s="15"/>
      <c r="E29" s="15"/>
      <c r="F29" s="7"/>
      <c r="G29" s="7"/>
      <c r="H29" s="7"/>
      <c r="I29" s="7"/>
      <c r="J29" s="7"/>
      <c r="K29" s="7"/>
      <c r="L29" s="7"/>
      <c r="M29" s="7"/>
      <c r="N29" s="7"/>
      <c r="O29" s="7"/>
      <c r="P29" s="7"/>
      <c r="Q29" s="7"/>
      <c r="R29" s="7"/>
      <c r="S29" s="7"/>
      <c r="T29" s="7"/>
      <c r="U29" s="7"/>
      <c r="V29" s="7"/>
      <c r="W29" s="7"/>
      <c r="X29" s="7"/>
      <c r="Y29" s="7"/>
      <c r="Z29" s="7"/>
      <c r="AA29" s="7"/>
      <c r="AB29" s="7"/>
      <c r="AC29" s="7"/>
      <c r="AD29" s="7"/>
      <c r="AE29" s="7"/>
      <c r="AF29" s="7"/>
    </row>
    <row r="30" spans="1:177" x14ac:dyDescent="0.35">
      <c r="A30" s="166"/>
      <c r="B30" s="12" t="s">
        <v>102</v>
      </c>
      <c r="C30" s="28">
        <v>0.25</v>
      </c>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row>
    <row r="31" spans="1:177" x14ac:dyDescent="0.35">
      <c r="A31" s="179" t="s">
        <v>105</v>
      </c>
      <c r="B31" s="29" t="s">
        <v>106</v>
      </c>
      <c r="C31" s="41">
        <v>0.25</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row>
    <row r="32" spans="1:177" x14ac:dyDescent="0.35">
      <c r="A32" s="179"/>
      <c r="B32" s="29" t="s">
        <v>107</v>
      </c>
      <c r="C32" s="41">
        <v>1.03</v>
      </c>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0"/>
      <c r="AE32" s="110"/>
    </row>
    <row r="33" spans="1:31" ht="29" x14ac:dyDescent="0.35">
      <c r="A33" s="179"/>
      <c r="B33" s="38" t="s">
        <v>108</v>
      </c>
      <c r="C33" s="41">
        <v>0.59</v>
      </c>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0"/>
      <c r="AD33" s="110"/>
      <c r="AE33" s="110"/>
    </row>
    <row r="34" spans="1:31" ht="15" thickBot="1" x14ac:dyDescent="0.4">
      <c r="A34" s="180"/>
      <c r="B34" s="24" t="s">
        <v>109</v>
      </c>
      <c r="C34" s="42">
        <v>0.43</v>
      </c>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row>
  </sheetData>
  <mergeCells count="7">
    <mergeCell ref="A31:A34"/>
    <mergeCell ref="A9:B9"/>
    <mergeCell ref="A26:B26"/>
    <mergeCell ref="A27:A30"/>
    <mergeCell ref="A17:AE17"/>
    <mergeCell ref="A19:AE19"/>
    <mergeCell ref="A22:AE22"/>
  </mergeCell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Choisir l'essence pour avoir la di pour le scénario de référence">
          <x14:formula1>
            <xm:f>'Listes choix'!$C$2:$C$66</xm:f>
          </x14:formula1>
          <xm:sqref>D27:D29</xm:sqref>
        </x14:dataValidation>
        <x14:dataValidation type="list" showInputMessage="1" showErrorMessage="1" prompt="Choisir un type de reboisement pour le calcul du CS projet">
          <x14:formula1>
            <xm:f>'Listes choix'!$G$2:$G$5</xm:f>
          </x14:formula1>
          <xm:sqref>B12</xm:sqref>
        </x14:dataValidation>
        <x14:dataValidation type="list" showInputMessage="1" showErrorMessage="1" prompt="Choisir un type de friche pour le calcul du CS référence">
          <x14:formula1>
            <xm:f>'Listes choix'!$H$2:$H$3</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workbookViewId="0">
      <selection activeCell="N26" sqref="N26"/>
    </sheetView>
  </sheetViews>
  <sheetFormatPr baseColWidth="10" defaultRowHeight="14.5" x14ac:dyDescent="0.35"/>
  <cols>
    <col min="1" max="1" width="55.90625" customWidth="1"/>
    <col min="2" max="2" width="29.7265625" customWidth="1"/>
    <col min="3" max="3" width="22.54296875" customWidth="1"/>
    <col min="4" max="4" width="12.54296875" bestFit="1" customWidth="1"/>
  </cols>
  <sheetData>
    <row r="1" spans="1:4" ht="15" thickBot="1" x14ac:dyDescent="0.4"/>
    <row r="2" spans="1:4" ht="16" thickBot="1" x14ac:dyDescent="0.4">
      <c r="A2" s="46" t="s">
        <v>117</v>
      </c>
      <c r="B2" s="140" t="s">
        <v>116</v>
      </c>
      <c r="C2" s="142"/>
      <c r="D2" s="141"/>
    </row>
    <row r="3" spans="1:4" ht="15.5" x14ac:dyDescent="0.35">
      <c r="A3" s="35" t="s">
        <v>118</v>
      </c>
      <c r="B3" s="143">
        <f>SUM(B4,B6)</f>
        <v>1061.3183395317483</v>
      </c>
      <c r="C3" s="142"/>
      <c r="D3" s="141"/>
    </row>
    <row r="4" spans="1:4" ht="15.5" x14ac:dyDescent="0.35">
      <c r="A4" s="47" t="s">
        <v>119</v>
      </c>
      <c r="B4" s="144">
        <f>REAforêtMReboisement!B6</f>
        <v>1054.6357913039963</v>
      </c>
      <c r="C4" s="142"/>
      <c r="D4" s="141"/>
    </row>
    <row r="5" spans="1:4" ht="15.5" x14ac:dyDescent="0.35">
      <c r="A5" s="115" t="s">
        <v>123</v>
      </c>
      <c r="B5" s="144">
        <f>B4*(1-C15)*(1-C16)*(1-C17)*(1-C18)</f>
        <v>759.33776973887745</v>
      </c>
      <c r="C5" s="142"/>
      <c r="D5" s="141"/>
    </row>
    <row r="6" spans="1:4" ht="15.5" x14ac:dyDescent="0.35">
      <c r="A6" s="47" t="s">
        <v>120</v>
      </c>
      <c r="B6" s="144">
        <f>REAproduitsMReboisement!B6</f>
        <v>6.6825482277521013</v>
      </c>
      <c r="C6" s="142"/>
      <c r="D6" s="141"/>
    </row>
    <row r="7" spans="1:4" ht="15.5" x14ac:dyDescent="0.35">
      <c r="A7" s="115" t="s">
        <v>124</v>
      </c>
      <c r="B7" s="144">
        <f>B6*(1-C15)*(1-C16)*(1-C17)*(1-C18)</f>
        <v>4.8114347239815132</v>
      </c>
      <c r="C7" s="142"/>
      <c r="D7" s="141"/>
    </row>
    <row r="8" spans="1:4" ht="15.5" x14ac:dyDescent="0.35">
      <c r="A8" s="47" t="s">
        <v>121</v>
      </c>
      <c r="B8" s="144">
        <f>REEsubsMReboisement!B6</f>
        <v>110.16600000000003</v>
      </c>
      <c r="C8" s="142"/>
      <c r="D8" s="141"/>
    </row>
    <row r="9" spans="1:4" ht="16" thickBot="1" x14ac:dyDescent="0.4">
      <c r="A9" s="116" t="s">
        <v>125</v>
      </c>
      <c r="B9" s="145">
        <f>B8*(1-C15)*(1-C16)*(1-C17)*(1-C18)</f>
        <v>79.319520000000026</v>
      </c>
      <c r="C9" s="142"/>
      <c r="D9" s="141"/>
    </row>
    <row r="10" spans="1:4" ht="15.5" x14ac:dyDescent="0.35">
      <c r="A10" s="48" t="s">
        <v>122</v>
      </c>
      <c r="B10" s="146">
        <f>SUM(B3,B8)</f>
        <v>1171.4843395317482</v>
      </c>
      <c r="C10" s="61"/>
      <c r="D10" s="15"/>
    </row>
    <row r="11" spans="1:4" ht="16" thickBot="1" x14ac:dyDescent="0.4">
      <c r="A11" s="49" t="s">
        <v>126</v>
      </c>
      <c r="B11" s="147">
        <f>SUM(B5,B7,B9)</f>
        <v>843.46872446285897</v>
      </c>
      <c r="C11" s="61"/>
      <c r="D11" s="15"/>
    </row>
    <row r="13" spans="1:4" ht="15" thickBot="1" x14ac:dyDescent="0.4"/>
    <row r="14" spans="1:4" ht="16" thickBot="1" x14ac:dyDescent="0.4">
      <c r="A14" s="51" t="s">
        <v>127</v>
      </c>
      <c r="B14" s="77" t="s">
        <v>128</v>
      </c>
      <c r="C14" s="101" t="s">
        <v>135</v>
      </c>
    </row>
    <row r="15" spans="1:4" x14ac:dyDescent="0.35">
      <c r="A15" s="125" t="s">
        <v>222</v>
      </c>
      <c r="B15" s="54" t="s">
        <v>178</v>
      </c>
      <c r="C15" s="56">
        <f>IF(B15="Réalisée",0,IF(B15="Pas réalisée",0.2,""))</f>
        <v>0.2</v>
      </c>
    </row>
    <row r="16" spans="1:4" x14ac:dyDescent="0.35">
      <c r="A16" s="22" t="s">
        <v>223</v>
      </c>
      <c r="B16" s="53" t="s">
        <v>132</v>
      </c>
      <c r="C16" s="57">
        <v>0.1</v>
      </c>
      <c r="D16" s="50"/>
    </row>
    <row r="17" spans="1:5" ht="29" x14ac:dyDescent="0.35">
      <c r="A17" s="128" t="s">
        <v>154</v>
      </c>
      <c r="B17" s="55" t="s">
        <v>143</v>
      </c>
      <c r="C17" s="57">
        <f>IF(B17="Départements sans risque ou risque négligeable",0,IF(B17="Départements avec risque très faible ou faible",0.05,IF(B17="Départements avec risque moyen",0.1,IF(B17="Départements avec risque fort ou très fort", 0.15,""))))</f>
        <v>0</v>
      </c>
      <c r="D17" s="50"/>
    </row>
    <row r="18" spans="1:5" ht="15" thickBot="1" x14ac:dyDescent="0.4">
      <c r="A18" s="68" t="s">
        <v>134</v>
      </c>
      <c r="B18" s="66" t="s">
        <v>141</v>
      </c>
      <c r="C18" s="67">
        <f>IF(B18="Démontrée",0,IF(B18="Non démontrée",0.1,""))</f>
        <v>0</v>
      </c>
    </row>
    <row r="19" spans="1:5" x14ac:dyDescent="0.35">
      <c r="A19" s="156"/>
      <c r="B19" s="157"/>
      <c r="C19" s="157"/>
      <c r="D19" s="58"/>
      <c r="E19" s="99"/>
    </row>
    <row r="20" spans="1:5" x14ac:dyDescent="0.35">
      <c r="A20" s="58"/>
      <c r="B20" s="15"/>
      <c r="C20" s="15"/>
      <c r="D20" s="58"/>
      <c r="E20" s="99"/>
    </row>
    <row r="21" spans="1:5" x14ac:dyDescent="0.35">
      <c r="A21" s="58"/>
      <c r="B21" s="15"/>
      <c r="C21" s="15"/>
      <c r="D21" s="58"/>
      <c r="E21" s="99"/>
    </row>
    <row r="22" spans="1:5" x14ac:dyDescent="0.35">
      <c r="A22" s="58"/>
      <c r="B22" s="15"/>
      <c r="C22" s="59"/>
      <c r="D22" s="58"/>
    </row>
    <row r="23" spans="1:5" x14ac:dyDescent="0.35">
      <c r="A23" s="58"/>
      <c r="B23" s="58"/>
      <c r="C23" s="58"/>
      <c r="D23" s="58"/>
    </row>
    <row r="24" spans="1:5" x14ac:dyDescent="0.35">
      <c r="A24" s="58"/>
      <c r="B24" s="58"/>
      <c r="C24" s="58"/>
      <c r="D24" s="58"/>
    </row>
    <row r="25" spans="1:5" x14ac:dyDescent="0.35">
      <c r="A25" s="58"/>
      <c r="B25" s="58"/>
      <c r="C25" s="58"/>
      <c r="D25" s="58"/>
    </row>
    <row r="26" spans="1:5" x14ac:dyDescent="0.35">
      <c r="A26" s="58"/>
      <c r="B26" s="58"/>
      <c r="C26" s="58"/>
      <c r="D26" s="58"/>
    </row>
  </sheetData>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3">
        <x14:dataValidation type="list" showInputMessage="1" showErrorMessage="1" prompt="Choisir une des deux options (Méthode Reboisement et Boisement)">
          <x14:formula1>
            <xm:f>'Listes choix'!$J$2:$K$2</xm:f>
          </x14:formula1>
          <xm:sqref>B15</xm:sqref>
        </x14:dataValidation>
        <x14:dataValidation type="list" showInputMessage="1" showErrorMessage="1" prompt="Choisir une des deux options">
          <x14:formula1>
            <xm:f>'Listes choix'!$J$9:$K$9</xm:f>
          </x14:formula1>
          <xm:sqref>B18</xm:sqref>
        </x14:dataValidation>
        <x14:dataValidation type="list" showInputMessage="1" showErrorMessage="1" prompt="Choisir une des quatre options (Méthodes Reboisement et Boisement)">
          <x14:formula1>
            <xm:f>'Listes choix'!$K$5:$K$8</xm:f>
          </x14:formula1>
          <xm:sqref>B17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60"/>
  <sheetViews>
    <sheetView topLeftCell="H1" zoomScale="66" workbookViewId="0">
      <selection activeCell="W2" sqref="W2"/>
    </sheetView>
  </sheetViews>
  <sheetFormatPr baseColWidth="10" defaultRowHeight="14.5" x14ac:dyDescent="0.35"/>
  <cols>
    <col min="1" max="1" width="23.1796875" style="50" customWidth="1"/>
    <col min="2" max="2" width="10.90625" style="50"/>
    <col min="3" max="3" width="22.08984375" style="50" customWidth="1"/>
    <col min="4" max="6" width="10.90625" style="50"/>
    <col min="7" max="7" width="14.90625" style="50" customWidth="1"/>
    <col min="8" max="8" width="16.7265625" style="50" customWidth="1"/>
    <col min="9" max="9" width="22.26953125" style="50" customWidth="1"/>
    <col min="10" max="10" width="25" style="50" customWidth="1"/>
    <col min="11" max="11" width="26.90625" style="50" customWidth="1"/>
    <col min="12" max="15" width="10.90625" style="50"/>
    <col min="16" max="16" width="13.6328125" style="50" customWidth="1"/>
    <col min="17" max="16384" width="10.90625" style="50"/>
  </cols>
  <sheetData>
    <row r="1" spans="1:20" ht="44" thickBot="1" x14ac:dyDescent="0.4">
      <c r="A1" s="81" t="s">
        <v>9</v>
      </c>
      <c r="B1" s="81" t="s">
        <v>19</v>
      </c>
      <c r="C1" s="85" t="s">
        <v>57</v>
      </c>
      <c r="D1" s="86" t="s">
        <v>22</v>
      </c>
      <c r="E1" s="85" t="s">
        <v>92</v>
      </c>
      <c r="F1" s="85" t="s">
        <v>93</v>
      </c>
      <c r="G1" s="85" t="s">
        <v>111</v>
      </c>
      <c r="H1" s="85" t="s">
        <v>114</v>
      </c>
      <c r="I1" s="94" t="s">
        <v>127</v>
      </c>
      <c r="J1" s="181" t="s">
        <v>128</v>
      </c>
      <c r="K1" s="182"/>
      <c r="L1" s="10"/>
      <c r="M1" s="10"/>
      <c r="N1" s="85" t="s">
        <v>57</v>
      </c>
      <c r="O1" s="85" t="s">
        <v>151</v>
      </c>
      <c r="P1" s="86" t="s">
        <v>154</v>
      </c>
      <c r="Q1" s="183" t="s">
        <v>164</v>
      </c>
      <c r="R1" s="184"/>
      <c r="S1" s="185"/>
      <c r="T1" s="85" t="s">
        <v>218</v>
      </c>
    </row>
    <row r="2" spans="1:20" ht="87.5" thickBot="1" x14ac:dyDescent="0.4">
      <c r="A2" s="78" t="s">
        <v>157</v>
      </c>
      <c r="B2" s="83" t="s">
        <v>21</v>
      </c>
      <c r="C2" s="87" t="s">
        <v>23</v>
      </c>
      <c r="D2" s="90">
        <v>0.62</v>
      </c>
      <c r="E2" s="87" t="s">
        <v>94</v>
      </c>
      <c r="F2" s="90">
        <v>35</v>
      </c>
      <c r="G2" s="83" t="s">
        <v>20</v>
      </c>
      <c r="H2" s="83" t="s">
        <v>20</v>
      </c>
      <c r="I2" s="87" t="s">
        <v>129</v>
      </c>
      <c r="J2" s="95" t="s">
        <v>136</v>
      </c>
      <c r="K2" s="95" t="s">
        <v>178</v>
      </c>
      <c r="L2" s="98" t="s">
        <v>136</v>
      </c>
      <c r="M2" s="97" t="s">
        <v>178</v>
      </c>
      <c r="N2" s="83" t="s">
        <v>23</v>
      </c>
      <c r="O2" s="83" t="s">
        <v>152</v>
      </c>
      <c r="P2" s="82" t="s">
        <v>155</v>
      </c>
      <c r="Q2" s="85" t="s">
        <v>163</v>
      </c>
      <c r="R2" s="85" t="s">
        <v>165</v>
      </c>
      <c r="S2" s="124" t="s">
        <v>166</v>
      </c>
      <c r="T2" s="52" t="s">
        <v>219</v>
      </c>
    </row>
    <row r="3" spans="1:20" ht="102" thickBot="1" x14ac:dyDescent="0.4">
      <c r="A3" s="79" t="s">
        <v>158</v>
      </c>
      <c r="B3" s="84" t="s">
        <v>20</v>
      </c>
      <c r="C3" s="69" t="s">
        <v>79</v>
      </c>
      <c r="D3" s="91">
        <v>0.64</v>
      </c>
      <c r="E3" s="69" t="s">
        <v>95</v>
      </c>
      <c r="F3" s="91">
        <v>25</v>
      </c>
      <c r="G3" s="93" t="s">
        <v>107</v>
      </c>
      <c r="H3" s="84" t="s">
        <v>115</v>
      </c>
      <c r="I3" s="69" t="s">
        <v>130</v>
      </c>
      <c r="J3" s="52" t="s">
        <v>142</v>
      </c>
      <c r="K3" s="88" t="s">
        <v>144</v>
      </c>
      <c r="L3" s="10"/>
      <c r="M3" s="10"/>
      <c r="N3" s="93" t="s">
        <v>24</v>
      </c>
      <c r="O3" s="93" t="s">
        <v>28</v>
      </c>
      <c r="P3" s="84" t="s">
        <v>139</v>
      </c>
      <c r="Q3" s="83" t="s">
        <v>167</v>
      </c>
      <c r="R3" s="83" t="s">
        <v>176</v>
      </c>
      <c r="S3" s="83" t="s">
        <v>170</v>
      </c>
      <c r="T3" s="52" t="s">
        <v>220</v>
      </c>
    </row>
    <row r="4" spans="1:20" ht="87.5" thickBot="1" x14ac:dyDescent="0.4">
      <c r="A4" s="79" t="s">
        <v>159</v>
      </c>
      <c r="B4" s="10"/>
      <c r="C4" s="69" t="s">
        <v>24</v>
      </c>
      <c r="D4" s="91">
        <v>0.42</v>
      </c>
      <c r="E4" s="70" t="s">
        <v>96</v>
      </c>
      <c r="F4" s="92">
        <v>2</v>
      </c>
      <c r="G4" s="79" t="s">
        <v>109</v>
      </c>
      <c r="H4" s="10"/>
      <c r="I4" s="69" t="s">
        <v>131</v>
      </c>
      <c r="J4" s="52" t="s">
        <v>132</v>
      </c>
      <c r="K4" s="88" t="s">
        <v>132</v>
      </c>
      <c r="L4" s="10"/>
      <c r="M4" s="10"/>
      <c r="N4" s="93" t="s">
        <v>80</v>
      </c>
      <c r="O4" s="80" t="s">
        <v>153</v>
      </c>
      <c r="P4" s="10"/>
      <c r="Q4" s="93" t="s">
        <v>168</v>
      </c>
      <c r="R4" s="84" t="s">
        <v>169</v>
      </c>
      <c r="S4" s="79" t="s">
        <v>171</v>
      </c>
    </row>
    <row r="5" spans="1:20" ht="87.5" thickBot="1" x14ac:dyDescent="0.4">
      <c r="A5" s="80" t="s">
        <v>160</v>
      </c>
      <c r="B5" s="10"/>
      <c r="C5" s="69" t="s">
        <v>80</v>
      </c>
      <c r="D5" s="88">
        <v>0.42</v>
      </c>
      <c r="E5" s="10"/>
      <c r="F5" s="10"/>
      <c r="G5" s="80" t="s">
        <v>112</v>
      </c>
      <c r="H5" s="10"/>
      <c r="I5" s="165" t="s">
        <v>133</v>
      </c>
      <c r="J5" s="52"/>
      <c r="K5" s="88" t="s">
        <v>143</v>
      </c>
      <c r="L5" s="10"/>
      <c r="M5" s="10"/>
      <c r="N5" s="79" t="s">
        <v>26</v>
      </c>
      <c r="O5" s="10"/>
      <c r="P5" s="10"/>
      <c r="Q5" s="80" t="s">
        <v>175</v>
      </c>
      <c r="S5" s="79" t="s">
        <v>172</v>
      </c>
    </row>
    <row r="6" spans="1:20" ht="72.5" x14ac:dyDescent="0.35">
      <c r="A6" s="10"/>
      <c r="B6" s="10"/>
      <c r="C6" s="69" t="s">
        <v>81</v>
      </c>
      <c r="D6" s="88">
        <v>0.52</v>
      </c>
      <c r="E6" s="10"/>
      <c r="F6" s="10"/>
      <c r="G6" s="10"/>
      <c r="H6" s="10"/>
      <c r="I6" s="166"/>
      <c r="J6" s="52"/>
      <c r="K6" s="88" t="s">
        <v>137</v>
      </c>
      <c r="L6" s="10"/>
      <c r="M6" s="10"/>
      <c r="N6" s="79" t="s">
        <v>27</v>
      </c>
      <c r="O6" s="10"/>
      <c r="P6" s="10"/>
      <c r="S6" s="79" t="s">
        <v>173</v>
      </c>
    </row>
    <row r="7" spans="1:20" ht="101.5" x14ac:dyDescent="0.35">
      <c r="A7" s="10"/>
      <c r="B7" s="10"/>
      <c r="C7" s="69" t="s">
        <v>25</v>
      </c>
      <c r="D7" s="88">
        <v>0.36</v>
      </c>
      <c r="E7" s="10"/>
      <c r="F7" s="10"/>
      <c r="G7" s="10"/>
      <c r="H7" s="10"/>
      <c r="I7" s="166"/>
      <c r="J7" s="52"/>
      <c r="K7" s="88" t="s">
        <v>138</v>
      </c>
      <c r="L7" s="10"/>
      <c r="M7" s="10"/>
      <c r="N7" s="79" t="s">
        <v>28</v>
      </c>
      <c r="O7" s="10"/>
      <c r="P7" s="10"/>
      <c r="S7" s="100" t="s">
        <v>174</v>
      </c>
    </row>
    <row r="8" spans="1:20" ht="29.5" thickBot="1" x14ac:dyDescent="0.4">
      <c r="A8" s="10"/>
      <c r="B8" s="10"/>
      <c r="C8" s="69" t="s">
        <v>26</v>
      </c>
      <c r="D8" s="88">
        <v>0.61</v>
      </c>
      <c r="E8" s="10"/>
      <c r="F8" s="10"/>
      <c r="G8" s="10"/>
      <c r="H8" s="10"/>
      <c r="I8" s="168"/>
      <c r="J8" s="52"/>
      <c r="K8" s="88" t="s">
        <v>139</v>
      </c>
      <c r="L8" s="10"/>
      <c r="M8" s="10"/>
      <c r="N8" s="79" t="s">
        <v>29</v>
      </c>
      <c r="O8" s="10"/>
      <c r="P8" s="10"/>
      <c r="S8" s="80" t="s">
        <v>177</v>
      </c>
    </row>
    <row r="9" spans="1:20" ht="29.5" thickBot="1" x14ac:dyDescent="0.4">
      <c r="A9" s="10"/>
      <c r="B9" s="10"/>
      <c r="C9" s="69" t="s">
        <v>27</v>
      </c>
      <c r="D9" s="88">
        <v>0.66</v>
      </c>
      <c r="E9" s="10"/>
      <c r="F9" s="10"/>
      <c r="G9" s="10"/>
      <c r="H9" s="10"/>
      <c r="I9" s="70" t="s">
        <v>134</v>
      </c>
      <c r="J9" s="96" t="s">
        <v>141</v>
      </c>
      <c r="K9" s="89" t="s">
        <v>140</v>
      </c>
      <c r="L9" s="10"/>
      <c r="M9" s="10"/>
      <c r="N9" s="79" t="s">
        <v>30</v>
      </c>
      <c r="O9" s="10"/>
      <c r="P9" s="10"/>
    </row>
    <row r="10" spans="1:20" ht="29" x14ac:dyDescent="0.35">
      <c r="A10" s="10"/>
      <c r="B10" s="10"/>
      <c r="C10" s="69" t="s">
        <v>28</v>
      </c>
      <c r="D10" s="88">
        <v>0.47</v>
      </c>
      <c r="E10" s="10"/>
      <c r="F10" s="10"/>
      <c r="G10" s="10"/>
      <c r="H10" s="10"/>
      <c r="I10" s="10"/>
      <c r="J10" s="10"/>
      <c r="K10" s="10"/>
      <c r="L10" s="10"/>
      <c r="M10" s="10"/>
      <c r="N10" s="79" t="s">
        <v>31</v>
      </c>
      <c r="O10" s="10"/>
      <c r="P10" s="10"/>
    </row>
    <row r="11" spans="1:20" ht="29" x14ac:dyDescent="0.35">
      <c r="A11" s="10"/>
      <c r="B11" s="10"/>
      <c r="C11" s="69" t="s">
        <v>29</v>
      </c>
      <c r="D11" s="88">
        <v>0.67</v>
      </c>
      <c r="E11" s="10"/>
      <c r="F11" s="10"/>
      <c r="G11" s="10"/>
      <c r="H11" s="10"/>
      <c r="I11" s="10"/>
      <c r="J11" s="10"/>
      <c r="K11" s="10"/>
      <c r="L11" s="10"/>
      <c r="M11" s="10"/>
      <c r="N11" s="79" t="s">
        <v>32</v>
      </c>
      <c r="O11" s="10"/>
      <c r="P11" s="10"/>
    </row>
    <row r="12" spans="1:20" ht="43.5" x14ac:dyDescent="0.35">
      <c r="A12" s="10"/>
      <c r="B12" s="10"/>
      <c r="C12" s="69" t="s">
        <v>30</v>
      </c>
      <c r="D12" s="88">
        <v>0.7</v>
      </c>
      <c r="E12" s="10"/>
      <c r="F12" s="10"/>
      <c r="G12" s="10"/>
      <c r="H12" s="10"/>
      <c r="I12" s="10"/>
      <c r="J12" s="10"/>
      <c r="K12" s="10"/>
      <c r="L12" s="10"/>
      <c r="M12" s="10"/>
      <c r="N12" s="79" t="s">
        <v>33</v>
      </c>
      <c r="O12" s="10"/>
      <c r="P12" s="10"/>
    </row>
    <row r="13" spans="1:20" ht="29" x14ac:dyDescent="0.35">
      <c r="A13" s="10"/>
      <c r="B13" s="10"/>
      <c r="C13" s="69" t="s">
        <v>31</v>
      </c>
      <c r="D13" s="88">
        <v>0.54</v>
      </c>
      <c r="E13" s="10"/>
      <c r="F13" s="10"/>
      <c r="G13" s="10"/>
      <c r="H13" s="10"/>
      <c r="I13" s="10"/>
      <c r="J13" s="10"/>
      <c r="K13" s="10"/>
      <c r="L13" s="10"/>
      <c r="M13" s="10"/>
      <c r="N13" s="79" t="s">
        <v>34</v>
      </c>
      <c r="O13" s="10"/>
      <c r="P13" s="10"/>
    </row>
    <row r="14" spans="1:20" x14ac:dyDescent="0.35">
      <c r="A14" s="10"/>
      <c r="B14" s="10"/>
      <c r="C14" s="69" t="s">
        <v>32</v>
      </c>
      <c r="D14" s="88">
        <v>0.65</v>
      </c>
      <c r="E14" s="10"/>
      <c r="F14" s="10"/>
      <c r="G14" s="10"/>
      <c r="H14" s="10"/>
      <c r="I14" s="10"/>
      <c r="J14" s="10"/>
      <c r="K14" s="10"/>
      <c r="L14" s="10"/>
      <c r="M14" s="10"/>
      <c r="N14" s="79" t="s">
        <v>35</v>
      </c>
      <c r="O14" s="10"/>
      <c r="P14" s="10"/>
    </row>
    <row r="15" spans="1:20" ht="43.5" x14ac:dyDescent="0.35">
      <c r="A15" s="10"/>
      <c r="B15" s="10"/>
      <c r="C15" s="69" t="s">
        <v>82</v>
      </c>
      <c r="D15" s="88">
        <v>0.56000000000000005</v>
      </c>
      <c r="E15" s="10"/>
      <c r="F15" s="10"/>
      <c r="G15" s="10"/>
      <c r="H15" s="10"/>
      <c r="I15" s="10"/>
      <c r="J15" s="10"/>
      <c r="K15" s="10"/>
      <c r="L15" s="10"/>
      <c r="M15" s="10"/>
      <c r="N15" s="79" t="s">
        <v>36</v>
      </c>
      <c r="O15" s="10"/>
      <c r="P15" s="10"/>
    </row>
    <row r="16" spans="1:20" ht="29" x14ac:dyDescent="0.35">
      <c r="A16" s="10"/>
      <c r="B16" s="10"/>
      <c r="C16" s="69" t="s">
        <v>33</v>
      </c>
      <c r="D16" s="88">
        <v>0.57999999999999996</v>
      </c>
      <c r="E16" s="10"/>
      <c r="F16" s="10"/>
      <c r="G16" s="10"/>
      <c r="H16" s="10"/>
      <c r="I16" s="10"/>
      <c r="J16" s="10"/>
      <c r="K16" s="10"/>
      <c r="L16" s="10"/>
      <c r="M16" s="10"/>
      <c r="N16" s="79" t="s">
        <v>43</v>
      </c>
      <c r="O16" s="10"/>
      <c r="P16" s="10"/>
    </row>
    <row r="17" spans="1:16" ht="29" x14ac:dyDescent="0.35">
      <c r="A17" s="10"/>
      <c r="B17" s="10"/>
      <c r="C17" s="69" t="s">
        <v>34</v>
      </c>
      <c r="D17" s="88">
        <v>0.64</v>
      </c>
      <c r="E17" s="10"/>
      <c r="F17" s="10"/>
      <c r="G17" s="10"/>
      <c r="H17" s="10"/>
      <c r="I17" s="10"/>
      <c r="J17" s="10"/>
      <c r="K17" s="10"/>
      <c r="L17" s="10"/>
      <c r="M17" s="10"/>
      <c r="N17" s="79" t="s">
        <v>44</v>
      </c>
      <c r="O17" s="10"/>
      <c r="P17" s="10"/>
    </row>
    <row r="18" spans="1:16" x14ac:dyDescent="0.35">
      <c r="A18" s="10"/>
      <c r="B18" s="10"/>
      <c r="C18" s="69" t="s">
        <v>35</v>
      </c>
      <c r="D18" s="88">
        <v>0.73</v>
      </c>
      <c r="E18" s="10"/>
      <c r="F18" s="10"/>
      <c r="G18" s="10"/>
      <c r="H18" s="10"/>
      <c r="I18" s="10"/>
      <c r="J18" s="10"/>
      <c r="K18" s="10"/>
      <c r="L18" s="10"/>
      <c r="M18" s="10"/>
      <c r="N18" s="79" t="s">
        <v>46</v>
      </c>
      <c r="O18" s="10"/>
      <c r="P18" s="10"/>
    </row>
    <row r="19" spans="1:16" x14ac:dyDescent="0.35">
      <c r="A19" s="10"/>
      <c r="B19" s="10"/>
      <c r="C19" s="69" t="s">
        <v>36</v>
      </c>
      <c r="D19" s="88">
        <v>0.56000000000000005</v>
      </c>
      <c r="E19" s="10"/>
      <c r="F19" s="10"/>
      <c r="G19" s="10"/>
      <c r="H19" s="10"/>
      <c r="I19" s="10"/>
      <c r="J19" s="10"/>
      <c r="K19" s="10"/>
      <c r="L19" s="10"/>
      <c r="M19" s="10"/>
      <c r="N19" s="79" t="s">
        <v>84</v>
      </c>
      <c r="O19" s="10"/>
      <c r="P19" s="10"/>
    </row>
    <row r="20" spans="1:16" x14ac:dyDescent="0.35">
      <c r="A20" s="10"/>
      <c r="B20" s="10"/>
      <c r="C20" s="69" t="s">
        <v>37</v>
      </c>
      <c r="D20" s="88">
        <v>0.74</v>
      </c>
      <c r="E20" s="10"/>
      <c r="F20" s="10"/>
      <c r="G20" s="10"/>
      <c r="H20" s="10"/>
      <c r="I20" s="10"/>
      <c r="J20" s="10"/>
      <c r="K20" s="10"/>
      <c r="L20" s="10"/>
      <c r="M20" s="10"/>
      <c r="N20" s="79" t="s">
        <v>87</v>
      </c>
      <c r="O20" s="10"/>
      <c r="P20" s="10"/>
    </row>
    <row r="21" spans="1:16" x14ac:dyDescent="0.35">
      <c r="A21" s="10"/>
      <c r="B21" s="10"/>
      <c r="C21" s="69" t="s">
        <v>38</v>
      </c>
      <c r="D21" s="88">
        <v>0.4</v>
      </c>
      <c r="E21" s="10"/>
      <c r="F21" s="10"/>
      <c r="G21" s="10"/>
      <c r="H21" s="10"/>
      <c r="I21" s="10"/>
      <c r="J21" s="10"/>
      <c r="K21" s="10"/>
      <c r="L21" s="10"/>
      <c r="M21" s="10"/>
      <c r="N21" s="79" t="s">
        <v>54</v>
      </c>
      <c r="O21" s="10"/>
      <c r="P21" s="10"/>
    </row>
    <row r="22" spans="1:16" x14ac:dyDescent="0.35">
      <c r="A22" s="10"/>
      <c r="B22" s="10"/>
      <c r="C22" s="69" t="s">
        <v>39</v>
      </c>
      <c r="D22" s="88">
        <v>0.6</v>
      </c>
      <c r="E22" s="10"/>
      <c r="F22" s="10"/>
      <c r="G22" s="10"/>
      <c r="H22" s="10"/>
      <c r="I22" s="10"/>
      <c r="J22" s="10"/>
      <c r="K22" s="10"/>
      <c r="L22" s="10"/>
      <c r="M22" s="10"/>
      <c r="N22" s="79" t="s">
        <v>67</v>
      </c>
      <c r="O22" s="10"/>
      <c r="P22" s="10"/>
    </row>
    <row r="23" spans="1:16" ht="29" x14ac:dyDescent="0.35">
      <c r="A23" s="10"/>
      <c r="B23" s="10"/>
      <c r="C23" s="69" t="s">
        <v>40</v>
      </c>
      <c r="D23" s="88">
        <v>0.43</v>
      </c>
      <c r="E23" s="10"/>
      <c r="F23" s="10"/>
      <c r="G23" s="10"/>
      <c r="H23" s="10"/>
      <c r="I23" s="10"/>
      <c r="J23" s="10"/>
      <c r="K23" s="10"/>
      <c r="L23" s="10"/>
      <c r="M23" s="10"/>
      <c r="N23" s="79" t="s">
        <v>88</v>
      </c>
      <c r="O23" s="10"/>
      <c r="P23" s="10"/>
    </row>
    <row r="24" spans="1:16" x14ac:dyDescent="0.35">
      <c r="A24" s="10"/>
      <c r="B24" s="10"/>
      <c r="C24" s="69" t="s">
        <v>41</v>
      </c>
      <c r="D24" s="88">
        <v>0.37</v>
      </c>
      <c r="E24" s="10"/>
      <c r="F24" s="10"/>
      <c r="G24" s="10"/>
      <c r="H24" s="10"/>
      <c r="I24" s="10"/>
      <c r="J24" s="10"/>
      <c r="K24" s="10"/>
      <c r="L24" s="10"/>
      <c r="M24" s="10"/>
      <c r="N24" s="79" t="s">
        <v>74</v>
      </c>
      <c r="O24" s="10"/>
      <c r="P24" s="10"/>
    </row>
    <row r="25" spans="1:16" ht="29.5" thickBot="1" x14ac:dyDescent="0.4">
      <c r="A25" s="10"/>
      <c r="B25" s="10"/>
      <c r="C25" s="69" t="s">
        <v>42</v>
      </c>
      <c r="D25" s="88">
        <v>0.36</v>
      </c>
      <c r="E25" s="10"/>
      <c r="F25" s="10"/>
      <c r="G25" s="10"/>
      <c r="H25" s="10"/>
      <c r="I25" s="10"/>
      <c r="J25" s="10"/>
      <c r="K25" s="10"/>
      <c r="L25" s="10"/>
      <c r="M25" s="10"/>
      <c r="N25" s="80" t="s">
        <v>77</v>
      </c>
      <c r="O25" s="10"/>
      <c r="P25" s="10"/>
    </row>
    <row r="26" spans="1:16" x14ac:dyDescent="0.35">
      <c r="A26" s="10"/>
      <c r="B26" s="10"/>
      <c r="C26" s="69" t="s">
        <v>43</v>
      </c>
      <c r="D26" s="88">
        <v>0.51</v>
      </c>
      <c r="E26" s="10"/>
      <c r="F26" s="10"/>
      <c r="G26" s="10"/>
      <c r="H26" s="10"/>
      <c r="I26" s="10"/>
      <c r="J26" s="10"/>
      <c r="K26" s="10"/>
      <c r="L26" s="10"/>
      <c r="M26" s="10"/>
      <c r="N26" s="10"/>
      <c r="O26" s="10"/>
      <c r="P26" s="10"/>
    </row>
    <row r="27" spans="1:16" x14ac:dyDescent="0.35">
      <c r="A27" s="10"/>
      <c r="B27" s="10"/>
      <c r="C27" s="69" t="s">
        <v>44</v>
      </c>
      <c r="D27" s="88">
        <v>0.56000000000000005</v>
      </c>
      <c r="E27" s="10"/>
      <c r="F27" s="10"/>
      <c r="G27" s="10"/>
      <c r="H27" s="10"/>
      <c r="I27" s="10"/>
      <c r="J27" s="10"/>
      <c r="K27" s="10"/>
      <c r="L27" s="10"/>
      <c r="M27" s="10"/>
      <c r="N27" s="10"/>
      <c r="O27" s="10"/>
      <c r="P27" s="10"/>
    </row>
    <row r="28" spans="1:16" x14ac:dyDescent="0.35">
      <c r="A28" s="10"/>
      <c r="B28" s="10"/>
      <c r="C28" s="69" t="s">
        <v>45</v>
      </c>
      <c r="D28" s="88">
        <v>0.56000000000000005</v>
      </c>
      <c r="E28" s="10"/>
      <c r="F28" s="10"/>
      <c r="G28" s="10"/>
      <c r="H28" s="10"/>
      <c r="I28" s="10"/>
      <c r="J28" s="10"/>
      <c r="K28" s="10"/>
      <c r="L28" s="10"/>
      <c r="M28" s="10"/>
      <c r="N28" s="10"/>
      <c r="O28" s="10"/>
      <c r="P28" s="10"/>
    </row>
    <row r="29" spans="1:16" x14ac:dyDescent="0.35">
      <c r="A29" s="10"/>
      <c r="B29" s="10"/>
      <c r="C29" s="69" t="s">
        <v>83</v>
      </c>
      <c r="D29" s="88">
        <v>0.48</v>
      </c>
      <c r="E29" s="10"/>
      <c r="F29" s="10"/>
      <c r="G29" s="10"/>
      <c r="H29" s="10"/>
      <c r="I29" s="10"/>
      <c r="J29" s="10"/>
      <c r="K29" s="10"/>
      <c r="L29" s="10"/>
      <c r="M29" s="10"/>
      <c r="N29" s="10"/>
      <c r="O29" s="10"/>
      <c r="P29" s="10"/>
    </row>
    <row r="30" spans="1:16" x14ac:dyDescent="0.35">
      <c r="A30" s="10"/>
      <c r="B30" s="10"/>
      <c r="C30" s="69" t="s">
        <v>46</v>
      </c>
      <c r="D30" s="88">
        <v>0.55000000000000004</v>
      </c>
      <c r="E30" s="10"/>
      <c r="F30" s="10"/>
      <c r="G30" s="10"/>
      <c r="H30" s="10"/>
      <c r="I30" s="10"/>
      <c r="J30" s="10"/>
      <c r="K30" s="10"/>
      <c r="L30" s="10"/>
      <c r="M30" s="10"/>
      <c r="N30" s="10"/>
      <c r="O30" s="10"/>
      <c r="P30" s="10"/>
    </row>
    <row r="31" spans="1:16" x14ac:dyDescent="0.35">
      <c r="A31" s="10"/>
      <c r="B31" s="10"/>
      <c r="C31" s="69" t="s">
        <v>84</v>
      </c>
      <c r="D31" s="88">
        <v>0.56000000000000005</v>
      </c>
      <c r="E31" s="10"/>
      <c r="F31" s="10"/>
      <c r="G31" s="10"/>
      <c r="H31" s="10"/>
      <c r="I31" s="10"/>
      <c r="J31" s="10"/>
      <c r="K31" s="10"/>
      <c r="L31" s="10"/>
      <c r="M31" s="10"/>
      <c r="N31" s="10"/>
      <c r="O31" s="10"/>
      <c r="P31" s="10"/>
    </row>
    <row r="32" spans="1:16" x14ac:dyDescent="0.35">
      <c r="A32" s="10"/>
      <c r="B32" s="10"/>
      <c r="C32" s="69" t="s">
        <v>47</v>
      </c>
      <c r="D32" s="88">
        <v>0.57999999999999996</v>
      </c>
      <c r="E32" s="10"/>
      <c r="F32" s="10"/>
      <c r="G32" s="10"/>
      <c r="H32" s="10"/>
      <c r="I32" s="10"/>
      <c r="J32" s="10"/>
      <c r="K32" s="10"/>
      <c r="L32" s="10"/>
      <c r="M32" s="10"/>
      <c r="N32" s="10"/>
      <c r="O32" s="10"/>
      <c r="P32" s="10"/>
    </row>
    <row r="33" spans="1:16" x14ac:dyDescent="0.35">
      <c r="A33" s="10"/>
      <c r="B33" s="10"/>
      <c r="C33" s="69" t="s">
        <v>48</v>
      </c>
      <c r="D33" s="88">
        <v>0.57999999999999996</v>
      </c>
      <c r="E33" s="10"/>
      <c r="F33" s="10"/>
      <c r="G33" s="10"/>
      <c r="H33" s="10"/>
      <c r="I33" s="10"/>
      <c r="J33" s="10"/>
      <c r="K33" s="10"/>
      <c r="L33" s="10"/>
      <c r="M33" s="10"/>
      <c r="N33" s="10"/>
      <c r="O33" s="10"/>
      <c r="P33" s="10"/>
    </row>
    <row r="34" spans="1:16" x14ac:dyDescent="0.35">
      <c r="A34" s="10"/>
      <c r="B34" s="10"/>
      <c r="C34" s="69" t="s">
        <v>49</v>
      </c>
      <c r="D34" s="88">
        <v>0.48</v>
      </c>
      <c r="E34" s="10"/>
      <c r="F34" s="10"/>
      <c r="G34" s="10"/>
      <c r="H34" s="10"/>
      <c r="I34" s="10"/>
      <c r="J34" s="10"/>
      <c r="K34" s="10"/>
      <c r="L34" s="10"/>
      <c r="M34" s="10"/>
      <c r="N34" s="10"/>
      <c r="O34" s="10"/>
      <c r="P34" s="10"/>
    </row>
    <row r="35" spans="1:16" x14ac:dyDescent="0.35">
      <c r="A35" s="10"/>
      <c r="B35" s="10"/>
      <c r="C35" s="69" t="s">
        <v>50</v>
      </c>
      <c r="D35" s="88">
        <v>0.42</v>
      </c>
      <c r="E35" s="10"/>
      <c r="F35" s="10"/>
      <c r="G35" s="10"/>
      <c r="H35" s="10"/>
      <c r="I35" s="10"/>
      <c r="J35" s="10"/>
      <c r="K35" s="10"/>
      <c r="L35" s="10"/>
      <c r="M35" s="10"/>
      <c r="N35" s="10"/>
      <c r="O35" s="10"/>
      <c r="P35" s="10"/>
    </row>
    <row r="36" spans="1:16" x14ac:dyDescent="0.35">
      <c r="A36" s="10"/>
      <c r="B36" s="10"/>
      <c r="C36" s="69" t="s">
        <v>85</v>
      </c>
      <c r="D36" s="88">
        <v>0.5</v>
      </c>
      <c r="E36" s="10"/>
      <c r="F36" s="10"/>
      <c r="G36" s="10"/>
      <c r="H36" s="10"/>
      <c r="I36" s="10"/>
      <c r="J36" s="10"/>
      <c r="K36" s="10"/>
      <c r="L36" s="10"/>
      <c r="M36" s="10"/>
      <c r="N36" s="10"/>
      <c r="O36" s="10"/>
      <c r="P36" s="10"/>
    </row>
    <row r="37" spans="1:16" x14ac:dyDescent="0.35">
      <c r="A37" s="10"/>
      <c r="B37" s="10"/>
      <c r="C37" s="69" t="s">
        <v>51</v>
      </c>
      <c r="D37" s="88">
        <v>0.55000000000000004</v>
      </c>
      <c r="E37" s="10"/>
      <c r="F37" s="10"/>
      <c r="G37" s="10"/>
      <c r="H37" s="10"/>
      <c r="I37" s="10"/>
      <c r="J37" s="10"/>
      <c r="K37" s="10"/>
      <c r="L37" s="10"/>
      <c r="M37" s="10"/>
      <c r="N37" s="10"/>
      <c r="O37" s="10"/>
      <c r="P37" s="10"/>
    </row>
    <row r="38" spans="1:16" x14ac:dyDescent="0.35">
      <c r="A38" s="10"/>
      <c r="B38" s="10"/>
      <c r="C38" s="69" t="s">
        <v>86</v>
      </c>
      <c r="D38" s="88">
        <v>0.53</v>
      </c>
      <c r="E38" s="10"/>
      <c r="F38" s="10"/>
      <c r="G38" s="10"/>
      <c r="H38" s="10"/>
      <c r="I38" s="10"/>
      <c r="J38" s="10"/>
      <c r="K38" s="10"/>
      <c r="L38" s="10"/>
      <c r="M38" s="10"/>
      <c r="N38" s="10"/>
      <c r="O38" s="10"/>
      <c r="P38" s="10"/>
    </row>
    <row r="39" spans="1:16" x14ac:dyDescent="0.35">
      <c r="A39" s="10"/>
      <c r="B39" s="10"/>
      <c r="C39" s="69" t="s">
        <v>87</v>
      </c>
      <c r="D39" s="88">
        <v>0.52</v>
      </c>
      <c r="E39" s="10"/>
      <c r="F39" s="10"/>
      <c r="G39" s="10"/>
      <c r="H39" s="10"/>
      <c r="I39" s="10"/>
      <c r="J39" s="10"/>
      <c r="K39" s="10"/>
      <c r="L39" s="10"/>
      <c r="M39" s="10"/>
      <c r="N39" s="10"/>
      <c r="O39" s="10"/>
      <c r="P39" s="10"/>
    </row>
    <row r="40" spans="1:16" x14ac:dyDescent="0.35">
      <c r="A40" s="10"/>
      <c r="B40" s="10"/>
      <c r="C40" s="69" t="s">
        <v>52</v>
      </c>
      <c r="D40" s="88">
        <v>0.52</v>
      </c>
      <c r="E40" s="10"/>
      <c r="F40" s="10"/>
      <c r="G40" s="10"/>
      <c r="H40" s="10"/>
      <c r="I40" s="10"/>
      <c r="J40" s="10"/>
      <c r="K40" s="10"/>
      <c r="L40" s="10"/>
      <c r="M40" s="10"/>
      <c r="N40" s="10"/>
      <c r="O40" s="10"/>
      <c r="P40" s="10"/>
    </row>
    <row r="41" spans="1:16" x14ac:dyDescent="0.35">
      <c r="A41" s="10"/>
      <c r="B41" s="10"/>
      <c r="C41" s="69" t="s">
        <v>53</v>
      </c>
      <c r="D41" s="88">
        <v>0.75</v>
      </c>
      <c r="E41" s="10"/>
      <c r="F41" s="10"/>
      <c r="G41" s="10"/>
      <c r="H41" s="10"/>
      <c r="I41" s="10"/>
      <c r="J41" s="10"/>
      <c r="K41" s="10"/>
      <c r="L41" s="10"/>
      <c r="M41" s="10"/>
      <c r="N41" s="10"/>
      <c r="O41" s="10"/>
      <c r="P41" s="10"/>
    </row>
    <row r="42" spans="1:16" x14ac:dyDescent="0.35">
      <c r="A42" s="10"/>
      <c r="B42" s="10"/>
      <c r="C42" s="69" t="s">
        <v>54</v>
      </c>
      <c r="D42" s="88">
        <v>0.52</v>
      </c>
      <c r="E42" s="10"/>
      <c r="F42" s="10"/>
      <c r="G42" s="10"/>
      <c r="H42" s="10"/>
      <c r="I42" s="10"/>
      <c r="J42" s="10"/>
      <c r="K42" s="10"/>
      <c r="L42" s="10"/>
      <c r="M42" s="10"/>
      <c r="N42" s="10"/>
      <c r="O42" s="10"/>
      <c r="P42" s="10"/>
    </row>
    <row r="43" spans="1:16" x14ac:dyDescent="0.35">
      <c r="A43" s="10"/>
      <c r="B43" s="10"/>
      <c r="C43" s="69" t="s">
        <v>55</v>
      </c>
      <c r="D43" s="88">
        <v>0.35</v>
      </c>
      <c r="E43" s="10"/>
      <c r="F43" s="10"/>
      <c r="G43" s="10"/>
      <c r="H43" s="10"/>
      <c r="I43" s="10"/>
      <c r="J43" s="10"/>
      <c r="K43" s="10"/>
      <c r="L43" s="10"/>
      <c r="M43" s="10"/>
      <c r="N43" s="10"/>
      <c r="O43" s="10"/>
      <c r="P43" s="10"/>
    </row>
    <row r="44" spans="1:16" x14ac:dyDescent="0.35">
      <c r="A44" s="10"/>
      <c r="B44" s="10"/>
      <c r="C44" s="69" t="s">
        <v>56</v>
      </c>
      <c r="D44" s="88">
        <v>0.37</v>
      </c>
      <c r="E44" s="10"/>
      <c r="F44" s="10"/>
      <c r="G44" s="10"/>
      <c r="H44" s="10"/>
      <c r="I44" s="10"/>
      <c r="J44" s="10"/>
      <c r="K44" s="10"/>
      <c r="L44" s="10"/>
      <c r="M44" s="10"/>
      <c r="N44" s="10"/>
      <c r="O44" s="10"/>
      <c r="P44" s="10"/>
    </row>
    <row r="45" spans="1:16" x14ac:dyDescent="0.35">
      <c r="A45" s="10"/>
      <c r="B45" s="10"/>
      <c r="C45" s="69" t="s">
        <v>58</v>
      </c>
      <c r="D45" s="88">
        <v>0.45</v>
      </c>
      <c r="E45" s="10"/>
      <c r="F45" s="10"/>
      <c r="G45" s="10"/>
      <c r="H45" s="10"/>
      <c r="I45" s="10"/>
      <c r="J45" s="10"/>
      <c r="K45" s="10"/>
      <c r="L45" s="10"/>
      <c r="M45" s="10"/>
      <c r="N45" s="10"/>
      <c r="O45" s="10"/>
      <c r="P45" s="10"/>
    </row>
    <row r="46" spans="1:16" x14ac:dyDescent="0.35">
      <c r="A46" s="10"/>
      <c r="B46" s="10"/>
      <c r="C46" s="69" t="s">
        <v>59</v>
      </c>
      <c r="D46" s="88">
        <v>0.39</v>
      </c>
      <c r="E46" s="10"/>
      <c r="F46" s="10"/>
      <c r="G46" s="10"/>
      <c r="H46" s="10"/>
      <c r="I46" s="10"/>
      <c r="J46" s="10"/>
      <c r="K46" s="10"/>
      <c r="L46" s="10"/>
      <c r="M46" s="10"/>
      <c r="N46" s="10"/>
      <c r="O46" s="10"/>
      <c r="P46" s="10"/>
    </row>
    <row r="47" spans="1:16" x14ac:dyDescent="0.35">
      <c r="A47" s="10"/>
      <c r="B47" s="10"/>
      <c r="C47" s="69" t="s">
        <v>60</v>
      </c>
      <c r="D47" s="88">
        <v>0.44</v>
      </c>
      <c r="E47" s="10"/>
      <c r="F47" s="10"/>
      <c r="G47" s="10"/>
      <c r="H47" s="10"/>
      <c r="I47" s="10"/>
      <c r="J47" s="10"/>
      <c r="K47" s="10"/>
      <c r="L47" s="10"/>
      <c r="M47" s="10"/>
      <c r="N47" s="10"/>
      <c r="O47" s="10"/>
      <c r="P47" s="10"/>
    </row>
    <row r="48" spans="1:16" x14ac:dyDescent="0.35">
      <c r="A48" s="10"/>
      <c r="B48" s="10"/>
      <c r="C48" s="69" t="s">
        <v>61</v>
      </c>
      <c r="D48" s="88">
        <v>0.46</v>
      </c>
      <c r="E48" s="10"/>
      <c r="F48" s="10"/>
      <c r="G48" s="10"/>
      <c r="H48" s="10"/>
      <c r="I48" s="10"/>
      <c r="J48" s="10"/>
      <c r="K48" s="10"/>
      <c r="L48" s="10"/>
      <c r="M48" s="10"/>
      <c r="N48" s="10"/>
      <c r="O48" s="10"/>
      <c r="P48" s="10"/>
    </row>
    <row r="49" spans="1:16" x14ac:dyDescent="0.35">
      <c r="A49" s="10"/>
      <c r="B49" s="10"/>
      <c r="C49" s="69" t="s">
        <v>62</v>
      </c>
      <c r="D49" s="88">
        <v>0.46</v>
      </c>
      <c r="E49" s="10"/>
      <c r="F49" s="10"/>
      <c r="G49" s="10"/>
      <c r="H49" s="10"/>
      <c r="I49" s="10"/>
      <c r="J49" s="10"/>
      <c r="K49" s="10"/>
      <c r="L49" s="10"/>
      <c r="M49" s="10"/>
      <c r="N49" s="10"/>
      <c r="O49" s="10"/>
      <c r="P49" s="10"/>
    </row>
    <row r="50" spans="1:16" x14ac:dyDescent="0.35">
      <c r="A50" s="10"/>
      <c r="B50" s="10"/>
      <c r="C50" s="69" t="s">
        <v>63</v>
      </c>
      <c r="D50" s="88">
        <v>0.44</v>
      </c>
      <c r="E50" s="10"/>
      <c r="F50" s="10"/>
      <c r="G50" s="10"/>
      <c r="H50" s="10"/>
      <c r="I50" s="10"/>
      <c r="J50" s="10"/>
      <c r="K50" s="10"/>
      <c r="L50" s="10"/>
      <c r="M50" s="10"/>
      <c r="N50" s="10"/>
      <c r="O50" s="10"/>
      <c r="P50" s="10"/>
    </row>
    <row r="51" spans="1:16" x14ac:dyDescent="0.35">
      <c r="A51" s="10"/>
      <c r="B51" s="10"/>
      <c r="C51" s="69" t="s">
        <v>64</v>
      </c>
      <c r="D51" s="88">
        <v>0.46</v>
      </c>
      <c r="E51" s="10"/>
      <c r="F51" s="10"/>
      <c r="G51" s="10"/>
      <c r="H51" s="10"/>
      <c r="I51" s="10"/>
      <c r="J51" s="10"/>
      <c r="K51" s="10"/>
      <c r="L51" s="10"/>
      <c r="M51" s="10"/>
      <c r="N51" s="10"/>
      <c r="O51" s="10"/>
      <c r="P51" s="10"/>
    </row>
    <row r="52" spans="1:16" x14ac:dyDescent="0.35">
      <c r="A52" s="10"/>
      <c r="B52" s="10"/>
      <c r="C52" s="69" t="s">
        <v>78</v>
      </c>
      <c r="D52" s="88">
        <v>0.48</v>
      </c>
      <c r="E52" s="10"/>
      <c r="F52" s="10"/>
      <c r="G52" s="10"/>
      <c r="H52" s="10"/>
      <c r="I52" s="10"/>
      <c r="J52" s="10"/>
      <c r="K52" s="10"/>
      <c r="L52" s="10"/>
      <c r="M52" s="10"/>
      <c r="N52" s="10"/>
      <c r="O52" s="10"/>
      <c r="P52" s="10"/>
    </row>
    <row r="53" spans="1:16" x14ac:dyDescent="0.35">
      <c r="A53" s="10"/>
      <c r="B53" s="10"/>
      <c r="C53" s="69" t="s">
        <v>65</v>
      </c>
      <c r="D53" s="88">
        <v>0.44</v>
      </c>
      <c r="E53" s="10"/>
      <c r="F53" s="10"/>
      <c r="G53" s="10"/>
      <c r="H53" s="10"/>
      <c r="I53" s="10"/>
      <c r="J53" s="10"/>
      <c r="K53" s="10"/>
      <c r="L53" s="10"/>
      <c r="M53" s="10"/>
      <c r="N53" s="10"/>
      <c r="O53" s="10"/>
      <c r="P53" s="10"/>
    </row>
    <row r="54" spans="1:16" x14ac:dyDescent="0.35">
      <c r="A54" s="10"/>
      <c r="B54" s="10"/>
      <c r="C54" s="69" t="s">
        <v>66</v>
      </c>
      <c r="D54" s="88">
        <v>0.34</v>
      </c>
      <c r="E54" s="10"/>
      <c r="F54" s="10"/>
      <c r="G54" s="10"/>
      <c r="H54" s="10"/>
      <c r="I54" s="10"/>
      <c r="J54" s="10"/>
      <c r="K54" s="10"/>
      <c r="L54" s="10"/>
      <c r="M54" s="10"/>
      <c r="N54" s="10"/>
      <c r="O54" s="10"/>
      <c r="P54" s="10"/>
    </row>
    <row r="55" spans="1:16" x14ac:dyDescent="0.35">
      <c r="A55" s="10"/>
      <c r="B55" s="10"/>
      <c r="C55" s="69" t="s">
        <v>67</v>
      </c>
      <c r="D55" s="88">
        <v>0.5</v>
      </c>
      <c r="E55" s="10"/>
      <c r="F55" s="10"/>
      <c r="G55" s="10"/>
      <c r="H55" s="10"/>
      <c r="I55" s="10"/>
      <c r="J55" s="10"/>
      <c r="K55" s="10"/>
      <c r="L55" s="10"/>
      <c r="M55" s="10"/>
      <c r="N55" s="10"/>
      <c r="O55" s="10"/>
      <c r="P55" s="10"/>
    </row>
    <row r="56" spans="1:16" x14ac:dyDescent="0.35">
      <c r="A56" s="10"/>
      <c r="B56" s="10"/>
      <c r="C56" s="69" t="s">
        <v>88</v>
      </c>
      <c r="D56" s="88">
        <v>0.57999999999999996</v>
      </c>
      <c r="E56" s="10"/>
      <c r="F56" s="10"/>
      <c r="G56" s="10"/>
      <c r="H56" s="10"/>
      <c r="I56" s="10"/>
      <c r="J56" s="10"/>
      <c r="K56" s="10"/>
      <c r="L56" s="10"/>
      <c r="M56" s="10"/>
      <c r="N56" s="10"/>
      <c r="O56" s="10"/>
      <c r="P56" s="10"/>
    </row>
    <row r="57" spans="1:16" x14ac:dyDescent="0.35">
      <c r="A57" s="10"/>
      <c r="B57" s="10"/>
      <c r="C57" s="69" t="s">
        <v>68</v>
      </c>
      <c r="D57" s="88">
        <v>0.37</v>
      </c>
      <c r="E57" s="10"/>
      <c r="F57" s="10"/>
      <c r="G57" s="10"/>
      <c r="H57" s="10"/>
      <c r="I57" s="10"/>
      <c r="J57" s="10"/>
      <c r="K57" s="10"/>
      <c r="L57" s="10"/>
      <c r="M57" s="10"/>
      <c r="N57" s="10"/>
      <c r="O57" s="10"/>
      <c r="P57" s="10"/>
    </row>
    <row r="58" spans="1:16" x14ac:dyDescent="0.35">
      <c r="A58" s="10"/>
      <c r="B58" s="10"/>
      <c r="C58" s="69" t="s">
        <v>69</v>
      </c>
      <c r="D58" s="88">
        <v>0.37</v>
      </c>
      <c r="E58" s="10"/>
      <c r="F58" s="10"/>
      <c r="G58" s="10"/>
      <c r="H58" s="10"/>
      <c r="I58" s="10"/>
      <c r="J58" s="10"/>
      <c r="K58" s="10"/>
      <c r="L58" s="10"/>
      <c r="M58" s="10"/>
      <c r="N58" s="10"/>
      <c r="O58" s="10"/>
      <c r="P58" s="10"/>
    </row>
    <row r="59" spans="1:16" x14ac:dyDescent="0.35">
      <c r="A59" s="10"/>
      <c r="B59" s="10"/>
      <c r="C59" s="69" t="s">
        <v>70</v>
      </c>
      <c r="D59" s="88">
        <v>0.38</v>
      </c>
      <c r="E59" s="10"/>
      <c r="F59" s="10"/>
      <c r="G59" s="10"/>
      <c r="H59" s="10"/>
      <c r="I59" s="10"/>
      <c r="J59" s="10"/>
      <c r="K59" s="10"/>
      <c r="L59" s="10"/>
      <c r="M59" s="10"/>
      <c r="N59" s="10"/>
      <c r="O59" s="10"/>
      <c r="P59" s="10"/>
    </row>
    <row r="60" spans="1:16" x14ac:dyDescent="0.35">
      <c r="A60" s="10"/>
      <c r="B60" s="10"/>
      <c r="C60" s="69" t="s">
        <v>71</v>
      </c>
      <c r="D60" s="88">
        <v>0.36</v>
      </c>
      <c r="E60" s="10"/>
      <c r="F60" s="10"/>
      <c r="G60" s="10"/>
      <c r="H60" s="10"/>
      <c r="I60" s="10"/>
      <c r="J60" s="10"/>
      <c r="K60" s="10"/>
      <c r="L60" s="10"/>
      <c r="M60" s="10"/>
      <c r="N60" s="10"/>
      <c r="O60" s="10"/>
      <c r="P60" s="10"/>
    </row>
    <row r="61" spans="1:16" x14ac:dyDescent="0.35">
      <c r="A61" s="10"/>
      <c r="B61" s="10"/>
      <c r="C61" s="69" t="s">
        <v>72</v>
      </c>
      <c r="D61" s="88">
        <v>0.37</v>
      </c>
      <c r="E61" s="10"/>
      <c r="F61" s="10"/>
      <c r="G61" s="10"/>
      <c r="H61" s="10"/>
      <c r="I61" s="10"/>
      <c r="J61" s="10"/>
      <c r="K61" s="10"/>
      <c r="L61" s="10"/>
      <c r="M61" s="10"/>
      <c r="N61" s="10"/>
      <c r="O61" s="10"/>
      <c r="P61" s="10"/>
    </row>
    <row r="62" spans="1:16" x14ac:dyDescent="0.35">
      <c r="A62" s="10"/>
      <c r="B62" s="10"/>
      <c r="C62" s="69" t="s">
        <v>73</v>
      </c>
      <c r="D62" s="88">
        <v>0.53</v>
      </c>
      <c r="E62" s="10"/>
      <c r="F62" s="10"/>
      <c r="G62" s="10"/>
      <c r="H62" s="10"/>
      <c r="I62" s="10"/>
      <c r="J62" s="10"/>
      <c r="K62" s="10"/>
      <c r="L62" s="10"/>
      <c r="M62" s="10"/>
      <c r="N62" s="10"/>
      <c r="O62" s="10"/>
      <c r="P62" s="10"/>
    </row>
    <row r="63" spans="1:16" x14ac:dyDescent="0.35">
      <c r="A63" s="10"/>
      <c r="B63" s="10"/>
      <c r="C63" s="69" t="s">
        <v>74</v>
      </c>
      <c r="D63" s="88">
        <v>0.43</v>
      </c>
      <c r="E63" s="10"/>
      <c r="F63" s="10"/>
      <c r="G63" s="10"/>
      <c r="H63" s="10"/>
      <c r="I63" s="10"/>
      <c r="J63" s="10"/>
      <c r="K63" s="10"/>
      <c r="L63" s="10"/>
      <c r="M63" s="10"/>
      <c r="N63" s="10"/>
      <c r="O63" s="10"/>
      <c r="P63" s="10"/>
    </row>
    <row r="64" spans="1:16" x14ac:dyDescent="0.35">
      <c r="A64" s="10"/>
      <c r="B64" s="10"/>
      <c r="C64" s="69" t="s">
        <v>75</v>
      </c>
      <c r="D64" s="88">
        <v>0.38</v>
      </c>
      <c r="E64" s="10"/>
      <c r="F64" s="10"/>
      <c r="G64" s="10"/>
      <c r="H64" s="10"/>
      <c r="I64" s="10"/>
      <c r="J64" s="10"/>
      <c r="K64" s="10"/>
      <c r="L64" s="10"/>
      <c r="M64" s="10"/>
      <c r="N64" s="10"/>
      <c r="O64" s="10"/>
      <c r="P64" s="10"/>
    </row>
    <row r="65" spans="1:16" x14ac:dyDescent="0.35">
      <c r="A65" s="10"/>
      <c r="B65" s="10"/>
      <c r="C65" s="69" t="s">
        <v>76</v>
      </c>
      <c r="D65" s="88">
        <v>0.42</v>
      </c>
      <c r="E65" s="10"/>
      <c r="F65" s="10"/>
      <c r="G65" s="10"/>
      <c r="H65" s="10"/>
      <c r="I65" s="10"/>
      <c r="J65" s="10"/>
      <c r="K65" s="10"/>
      <c r="L65" s="10"/>
      <c r="M65" s="10"/>
      <c r="N65" s="10"/>
      <c r="O65" s="10"/>
      <c r="P65" s="10"/>
    </row>
    <row r="66" spans="1:16" ht="15" thickBot="1" x14ac:dyDescent="0.4">
      <c r="A66" s="10"/>
      <c r="B66" s="10"/>
      <c r="C66" s="70" t="s">
        <v>77</v>
      </c>
      <c r="D66" s="89">
        <v>0.56999999999999995</v>
      </c>
      <c r="E66" s="10"/>
      <c r="F66" s="10"/>
      <c r="G66" s="10"/>
      <c r="H66" s="10"/>
      <c r="I66" s="10"/>
      <c r="J66" s="10"/>
      <c r="K66" s="10"/>
      <c r="L66" s="10"/>
      <c r="M66" s="10"/>
      <c r="N66" s="10"/>
      <c r="O66" s="10"/>
      <c r="P66" s="10"/>
    </row>
    <row r="67" spans="1:16" ht="15" thickBot="1" x14ac:dyDescent="0.4">
      <c r="A67" s="10"/>
      <c r="B67" s="10"/>
      <c r="C67" s="120" t="s">
        <v>213</v>
      </c>
      <c r="D67" s="89">
        <v>0.54</v>
      </c>
      <c r="E67" s="10"/>
      <c r="F67" s="10"/>
      <c r="G67" s="10"/>
      <c r="H67" s="10"/>
      <c r="I67" s="10"/>
      <c r="J67" s="10"/>
      <c r="K67" s="10"/>
      <c r="L67" s="10"/>
      <c r="M67" s="10"/>
      <c r="N67" s="10"/>
      <c r="O67" s="10"/>
      <c r="P67" s="10"/>
    </row>
    <row r="68" spans="1:16" x14ac:dyDescent="0.35">
      <c r="A68" s="10"/>
      <c r="B68" s="10"/>
      <c r="C68" s="10"/>
      <c r="D68" s="10"/>
      <c r="E68" s="10"/>
      <c r="F68" s="10"/>
      <c r="G68" s="10"/>
      <c r="H68" s="10"/>
      <c r="I68" s="10"/>
      <c r="J68" s="10"/>
      <c r="K68" s="10"/>
      <c r="L68" s="10"/>
      <c r="M68" s="10"/>
      <c r="N68" s="10"/>
      <c r="O68" s="10"/>
      <c r="P68" s="10"/>
    </row>
    <row r="69" spans="1:16" ht="15" thickBot="1" x14ac:dyDescent="0.4">
      <c r="A69" s="10"/>
      <c r="B69" s="10"/>
      <c r="C69" s="10"/>
      <c r="D69" s="10"/>
      <c r="E69" s="10"/>
      <c r="F69" s="10"/>
      <c r="G69" s="10"/>
      <c r="H69" s="10"/>
      <c r="I69" s="10"/>
      <c r="J69" s="10"/>
      <c r="K69" s="10"/>
      <c r="L69" s="10"/>
      <c r="M69" s="10"/>
      <c r="N69" s="10"/>
      <c r="O69" s="10"/>
      <c r="P69" s="10"/>
    </row>
    <row r="70" spans="1:16" ht="15" thickBot="1" x14ac:dyDescent="0.4">
      <c r="A70" s="85" t="s">
        <v>145</v>
      </c>
      <c r="B70" s="10"/>
      <c r="C70" s="10"/>
      <c r="D70" s="10"/>
      <c r="E70" s="10"/>
      <c r="F70" s="10"/>
      <c r="G70" s="10"/>
      <c r="H70" s="10"/>
      <c r="I70" s="10"/>
      <c r="J70" s="10"/>
      <c r="K70" s="10"/>
      <c r="L70" s="10"/>
      <c r="M70" s="10"/>
      <c r="N70" s="10"/>
      <c r="O70" s="10"/>
      <c r="P70" s="10"/>
    </row>
    <row r="71" spans="1:16" x14ac:dyDescent="0.35">
      <c r="A71" s="82" t="s">
        <v>146</v>
      </c>
      <c r="B71" s="10"/>
      <c r="C71" s="10"/>
      <c r="D71" s="10"/>
      <c r="E71" s="10"/>
      <c r="F71" s="10"/>
      <c r="G71" s="10"/>
      <c r="H71" s="10"/>
      <c r="I71" s="10"/>
      <c r="J71" s="10"/>
      <c r="K71" s="10"/>
      <c r="L71" s="10"/>
      <c r="M71" s="10"/>
      <c r="N71" s="10"/>
      <c r="O71" s="10"/>
      <c r="P71" s="10"/>
    </row>
    <row r="72" spans="1:16" x14ac:dyDescent="0.35">
      <c r="A72" s="79" t="s">
        <v>147</v>
      </c>
      <c r="B72" s="10"/>
      <c r="C72" s="10"/>
      <c r="D72" s="10"/>
      <c r="E72" s="10"/>
      <c r="F72" s="10"/>
      <c r="G72" s="10"/>
      <c r="H72" s="10"/>
      <c r="I72" s="10"/>
      <c r="J72" s="10"/>
      <c r="K72" s="10"/>
      <c r="L72" s="10"/>
      <c r="M72" s="10"/>
      <c r="N72" s="10"/>
      <c r="O72" s="10"/>
      <c r="P72" s="10"/>
    </row>
    <row r="73" spans="1:16" ht="29.5" thickBot="1" x14ac:dyDescent="0.4">
      <c r="A73" s="80" t="s">
        <v>148</v>
      </c>
      <c r="B73" s="10"/>
      <c r="C73" s="10"/>
      <c r="D73" s="10"/>
      <c r="E73" s="10"/>
      <c r="F73" s="10"/>
      <c r="G73" s="10"/>
      <c r="H73" s="10"/>
      <c r="I73" s="10"/>
      <c r="J73" s="10"/>
      <c r="K73" s="10"/>
      <c r="L73" s="10"/>
      <c r="M73" s="10"/>
      <c r="N73" s="10"/>
      <c r="O73" s="10"/>
      <c r="P73" s="10"/>
    </row>
    <row r="74" spans="1:16" x14ac:dyDescent="0.35">
      <c r="A74" s="10"/>
      <c r="B74" s="10"/>
      <c r="C74" s="10"/>
      <c r="D74" s="10"/>
      <c r="E74" s="10"/>
      <c r="F74" s="10"/>
      <c r="G74" s="10"/>
      <c r="H74" s="10"/>
      <c r="I74" s="10"/>
      <c r="J74" s="10"/>
      <c r="K74" s="10"/>
      <c r="L74" s="10"/>
      <c r="M74" s="10"/>
      <c r="N74" s="10"/>
      <c r="O74" s="10"/>
      <c r="P74" s="10"/>
    </row>
    <row r="75" spans="1:16" x14ac:dyDescent="0.35">
      <c r="A75" s="10"/>
      <c r="B75" s="10"/>
      <c r="C75" s="10"/>
      <c r="D75" s="10"/>
      <c r="E75" s="10"/>
      <c r="F75" s="10"/>
      <c r="G75" s="10"/>
      <c r="H75" s="10"/>
      <c r="I75" s="10"/>
      <c r="J75" s="10"/>
      <c r="K75" s="10"/>
      <c r="L75" s="10"/>
      <c r="M75" s="10"/>
      <c r="N75" s="10"/>
      <c r="O75" s="10"/>
      <c r="P75" s="10"/>
    </row>
    <row r="76" spans="1:16" x14ac:dyDescent="0.35">
      <c r="A76" s="10"/>
      <c r="B76" s="10"/>
      <c r="C76" s="10"/>
      <c r="D76" s="10"/>
      <c r="E76" s="10"/>
      <c r="F76" s="10"/>
      <c r="G76" s="10"/>
      <c r="H76" s="10"/>
      <c r="I76" s="10"/>
      <c r="J76" s="10"/>
      <c r="K76" s="10"/>
      <c r="L76" s="10"/>
      <c r="M76" s="10"/>
      <c r="N76" s="10"/>
      <c r="O76" s="10"/>
      <c r="P76" s="10"/>
    </row>
    <row r="77" spans="1:16" x14ac:dyDescent="0.35">
      <c r="A77" s="10"/>
      <c r="B77" s="10"/>
      <c r="C77" s="10"/>
      <c r="D77" s="10"/>
      <c r="E77" s="10"/>
      <c r="F77" s="10"/>
      <c r="G77" s="10"/>
      <c r="H77" s="10"/>
      <c r="I77" s="10"/>
      <c r="J77" s="10"/>
      <c r="K77" s="10"/>
      <c r="L77" s="10"/>
      <c r="M77" s="10"/>
      <c r="N77" s="10"/>
      <c r="O77" s="10"/>
      <c r="P77" s="10"/>
    </row>
    <row r="78" spans="1:16" x14ac:dyDescent="0.35">
      <c r="A78" s="10"/>
      <c r="B78" s="10"/>
      <c r="C78" s="10"/>
      <c r="D78" s="10"/>
      <c r="E78" s="10"/>
      <c r="F78" s="10"/>
      <c r="G78" s="10"/>
      <c r="H78" s="10"/>
      <c r="I78" s="10"/>
      <c r="J78" s="10"/>
      <c r="K78" s="10"/>
      <c r="L78" s="10"/>
      <c r="M78" s="10"/>
      <c r="N78" s="10"/>
      <c r="O78" s="10"/>
      <c r="P78" s="10"/>
    </row>
    <row r="79" spans="1:16" x14ac:dyDescent="0.35">
      <c r="A79" s="10"/>
      <c r="B79" s="10"/>
      <c r="C79" s="10"/>
      <c r="D79" s="10"/>
      <c r="E79" s="10"/>
      <c r="F79" s="10"/>
      <c r="G79" s="10"/>
      <c r="H79" s="10"/>
      <c r="I79" s="10"/>
      <c r="J79" s="10"/>
      <c r="K79" s="10"/>
      <c r="L79" s="10"/>
      <c r="M79" s="10"/>
      <c r="N79" s="10"/>
      <c r="O79" s="10"/>
      <c r="P79" s="10"/>
    </row>
    <row r="80" spans="1:16" x14ac:dyDescent="0.35">
      <c r="A80" s="10"/>
      <c r="B80" s="10"/>
      <c r="C80" s="10"/>
      <c r="D80" s="10"/>
      <c r="E80" s="10"/>
      <c r="F80" s="10"/>
      <c r="G80" s="10"/>
      <c r="H80" s="10"/>
      <c r="I80" s="10"/>
      <c r="J80" s="10"/>
      <c r="K80" s="10"/>
      <c r="L80" s="10"/>
      <c r="M80" s="10"/>
      <c r="N80" s="10"/>
      <c r="O80" s="10"/>
      <c r="P80" s="10"/>
    </row>
    <row r="81" spans="1:16" x14ac:dyDescent="0.35">
      <c r="A81" s="10"/>
      <c r="B81" s="10"/>
      <c r="C81" s="10"/>
      <c r="D81" s="10"/>
      <c r="E81" s="10"/>
      <c r="F81" s="10"/>
      <c r="G81" s="10"/>
      <c r="H81" s="10"/>
      <c r="I81" s="10"/>
      <c r="J81" s="10"/>
      <c r="K81" s="10"/>
      <c r="L81" s="10"/>
      <c r="M81" s="10"/>
      <c r="N81" s="10"/>
      <c r="O81" s="10"/>
      <c r="P81" s="10"/>
    </row>
    <row r="82" spans="1:16" x14ac:dyDescent="0.35">
      <c r="A82" s="10"/>
      <c r="B82" s="10"/>
      <c r="C82" s="10"/>
      <c r="D82" s="10"/>
      <c r="E82" s="10"/>
      <c r="F82" s="10"/>
      <c r="G82" s="10"/>
      <c r="H82" s="10"/>
      <c r="I82" s="10"/>
      <c r="J82" s="10"/>
      <c r="K82" s="10"/>
      <c r="L82" s="10"/>
      <c r="M82" s="10"/>
      <c r="N82" s="10"/>
      <c r="O82" s="10"/>
      <c r="P82" s="10"/>
    </row>
    <row r="83" spans="1:16" x14ac:dyDescent="0.35">
      <c r="A83" s="10"/>
      <c r="B83" s="10"/>
      <c r="C83" s="10"/>
      <c r="D83" s="10"/>
      <c r="E83" s="10"/>
      <c r="F83" s="10"/>
      <c r="G83" s="10"/>
      <c r="H83" s="10"/>
      <c r="I83" s="10"/>
      <c r="J83" s="10"/>
      <c r="K83" s="10"/>
      <c r="L83" s="10"/>
      <c r="M83" s="10"/>
      <c r="N83" s="10"/>
      <c r="O83" s="10"/>
      <c r="P83" s="10"/>
    </row>
    <row r="84" spans="1:16" x14ac:dyDescent="0.35">
      <c r="A84" s="10"/>
      <c r="B84" s="10"/>
      <c r="C84" s="10"/>
      <c r="D84" s="10"/>
      <c r="E84" s="10"/>
      <c r="F84" s="10"/>
      <c r="G84" s="10"/>
      <c r="H84" s="10"/>
      <c r="I84" s="10"/>
      <c r="J84" s="10"/>
      <c r="K84" s="10"/>
      <c r="L84" s="10"/>
      <c r="M84" s="10"/>
      <c r="N84" s="10"/>
      <c r="O84" s="10"/>
      <c r="P84" s="10"/>
    </row>
    <row r="85" spans="1:16" x14ac:dyDescent="0.35">
      <c r="A85" s="10"/>
      <c r="B85" s="10"/>
      <c r="C85" s="10"/>
      <c r="D85" s="10"/>
      <c r="E85" s="10"/>
      <c r="F85" s="10"/>
      <c r="G85" s="10"/>
      <c r="H85" s="10"/>
      <c r="I85" s="10"/>
      <c r="J85" s="10"/>
      <c r="K85" s="10"/>
      <c r="L85" s="10"/>
      <c r="M85" s="10"/>
      <c r="N85" s="10"/>
      <c r="O85" s="10"/>
      <c r="P85" s="10"/>
    </row>
    <row r="86" spans="1:16" x14ac:dyDescent="0.35">
      <c r="A86" s="10"/>
      <c r="B86" s="10"/>
      <c r="C86" s="10"/>
      <c r="D86" s="10"/>
      <c r="E86" s="10"/>
      <c r="F86" s="10"/>
      <c r="G86" s="10"/>
      <c r="H86" s="10"/>
      <c r="I86" s="10"/>
      <c r="J86" s="10"/>
      <c r="K86" s="10"/>
      <c r="L86" s="10"/>
      <c r="M86" s="10"/>
      <c r="N86" s="10"/>
      <c r="O86" s="10"/>
      <c r="P86" s="10"/>
    </row>
    <row r="87" spans="1:16" x14ac:dyDescent="0.35">
      <c r="A87" s="10"/>
      <c r="B87" s="10"/>
      <c r="C87" s="10"/>
      <c r="D87" s="10"/>
      <c r="E87" s="10"/>
      <c r="F87" s="10"/>
      <c r="G87" s="10"/>
      <c r="H87" s="10"/>
      <c r="I87" s="10"/>
      <c r="J87" s="10"/>
      <c r="K87" s="10"/>
      <c r="L87" s="10"/>
      <c r="M87" s="10"/>
      <c r="N87" s="10"/>
      <c r="O87" s="10"/>
      <c r="P87" s="10"/>
    </row>
    <row r="88" spans="1:16" x14ac:dyDescent="0.35">
      <c r="A88" s="10"/>
      <c r="B88" s="10"/>
      <c r="C88" s="10"/>
      <c r="D88" s="10"/>
      <c r="E88" s="10"/>
      <c r="F88" s="10"/>
      <c r="G88" s="10"/>
      <c r="H88" s="10"/>
      <c r="I88" s="10"/>
      <c r="J88" s="10"/>
      <c r="K88" s="10"/>
      <c r="L88" s="10"/>
      <c r="M88" s="10"/>
      <c r="N88" s="10"/>
      <c r="O88" s="10"/>
      <c r="P88" s="10"/>
    </row>
    <row r="89" spans="1:16" x14ac:dyDescent="0.35">
      <c r="A89" s="10"/>
      <c r="B89" s="10"/>
      <c r="C89" s="10"/>
      <c r="D89" s="10"/>
      <c r="E89" s="10"/>
      <c r="F89" s="10"/>
      <c r="G89" s="10"/>
      <c r="H89" s="10"/>
      <c r="I89" s="10"/>
      <c r="J89" s="10"/>
      <c r="K89" s="10"/>
      <c r="L89" s="10"/>
      <c r="M89" s="10"/>
      <c r="N89" s="10"/>
      <c r="O89" s="10"/>
      <c r="P89" s="10"/>
    </row>
    <row r="90" spans="1:16" x14ac:dyDescent="0.35">
      <c r="A90" s="10"/>
      <c r="B90" s="10"/>
      <c r="C90" s="10"/>
      <c r="D90" s="10"/>
      <c r="E90" s="10"/>
      <c r="F90" s="10"/>
      <c r="G90" s="10"/>
      <c r="H90" s="10"/>
      <c r="I90" s="10"/>
      <c r="J90" s="10"/>
      <c r="K90" s="10"/>
      <c r="L90" s="10"/>
      <c r="M90" s="10"/>
      <c r="N90" s="10"/>
      <c r="O90" s="10"/>
      <c r="P90" s="10"/>
    </row>
    <row r="91" spans="1:16" x14ac:dyDescent="0.35">
      <c r="A91" s="10"/>
      <c r="B91" s="10"/>
      <c r="C91" s="10"/>
      <c r="D91" s="10"/>
      <c r="E91" s="10"/>
      <c r="F91" s="10"/>
      <c r="G91" s="10"/>
      <c r="H91" s="10"/>
      <c r="I91" s="10"/>
      <c r="J91" s="10"/>
      <c r="K91" s="10"/>
      <c r="L91" s="10"/>
      <c r="M91" s="10"/>
      <c r="N91" s="10"/>
      <c r="O91" s="10"/>
      <c r="P91" s="10"/>
    </row>
    <row r="92" spans="1:16" x14ac:dyDescent="0.35">
      <c r="A92" s="10"/>
      <c r="B92" s="10"/>
      <c r="C92" s="10"/>
      <c r="D92" s="10"/>
      <c r="E92" s="10"/>
      <c r="F92" s="10"/>
      <c r="G92" s="10"/>
      <c r="H92" s="10"/>
      <c r="I92" s="10"/>
      <c r="J92" s="10"/>
      <c r="K92" s="10"/>
      <c r="L92" s="10"/>
      <c r="M92" s="10"/>
      <c r="N92" s="10"/>
      <c r="O92" s="10"/>
      <c r="P92" s="10"/>
    </row>
    <row r="93" spans="1:16" x14ac:dyDescent="0.35">
      <c r="A93" s="10"/>
      <c r="B93" s="10"/>
      <c r="C93" s="10"/>
      <c r="D93" s="10"/>
      <c r="E93" s="10"/>
      <c r="F93" s="10"/>
      <c r="G93" s="10"/>
      <c r="H93" s="10"/>
      <c r="I93" s="10"/>
      <c r="J93" s="10"/>
      <c r="K93" s="10"/>
      <c r="L93" s="10"/>
      <c r="M93" s="10"/>
      <c r="N93" s="10"/>
      <c r="O93" s="10"/>
      <c r="P93" s="10"/>
    </row>
    <row r="94" spans="1:16" x14ac:dyDescent="0.35">
      <c r="A94" s="10"/>
      <c r="B94" s="10"/>
      <c r="C94" s="10"/>
      <c r="D94" s="10"/>
      <c r="E94" s="10"/>
      <c r="F94" s="10"/>
      <c r="G94" s="10"/>
      <c r="H94" s="10"/>
      <c r="I94" s="10"/>
      <c r="J94" s="10"/>
      <c r="K94" s="10"/>
      <c r="L94" s="10"/>
      <c r="M94" s="10"/>
      <c r="N94" s="10"/>
      <c r="O94" s="10"/>
      <c r="P94" s="10"/>
    </row>
    <row r="95" spans="1:16" x14ac:dyDescent="0.35">
      <c r="A95" s="10"/>
      <c r="B95" s="10"/>
      <c r="C95" s="10"/>
      <c r="D95" s="10"/>
      <c r="E95" s="10"/>
      <c r="F95" s="10"/>
      <c r="G95" s="10"/>
      <c r="H95" s="10"/>
      <c r="I95" s="10"/>
      <c r="J95" s="10"/>
      <c r="K95" s="10"/>
      <c r="L95" s="10"/>
      <c r="M95" s="10"/>
      <c r="N95" s="10"/>
      <c r="O95" s="10"/>
      <c r="P95" s="10"/>
    </row>
    <row r="96" spans="1:16" x14ac:dyDescent="0.35">
      <c r="A96" s="10"/>
      <c r="B96" s="10"/>
      <c r="C96" s="10"/>
      <c r="D96" s="10"/>
      <c r="E96" s="10"/>
      <c r="F96" s="10"/>
      <c r="G96" s="10"/>
      <c r="H96" s="10"/>
      <c r="I96" s="10"/>
      <c r="J96" s="10"/>
      <c r="K96" s="10"/>
      <c r="L96" s="10"/>
      <c r="M96" s="10"/>
      <c r="N96" s="10"/>
      <c r="O96" s="10"/>
      <c r="P96" s="10"/>
    </row>
    <row r="97" spans="1:16" x14ac:dyDescent="0.35">
      <c r="A97" s="10"/>
      <c r="B97" s="10"/>
      <c r="C97" s="10"/>
      <c r="D97" s="10"/>
      <c r="E97" s="10"/>
      <c r="F97" s="10"/>
      <c r="G97" s="10"/>
      <c r="H97" s="10"/>
      <c r="I97" s="10"/>
      <c r="J97" s="10"/>
      <c r="K97" s="10"/>
      <c r="L97" s="10"/>
      <c r="M97" s="10"/>
      <c r="N97" s="10"/>
      <c r="O97" s="10"/>
      <c r="P97" s="10"/>
    </row>
    <row r="98" spans="1:16" x14ac:dyDescent="0.35">
      <c r="A98" s="10"/>
      <c r="B98" s="10"/>
      <c r="C98" s="10"/>
      <c r="D98" s="10"/>
      <c r="E98" s="10"/>
      <c r="F98" s="10"/>
      <c r="G98" s="10"/>
      <c r="H98" s="10"/>
      <c r="I98" s="10"/>
      <c r="J98" s="10"/>
      <c r="K98" s="10"/>
      <c r="L98" s="10"/>
      <c r="M98" s="10"/>
      <c r="N98" s="10"/>
      <c r="O98" s="10"/>
      <c r="P98" s="10"/>
    </row>
    <row r="99" spans="1:16" x14ac:dyDescent="0.35">
      <c r="A99" s="10"/>
      <c r="B99" s="10"/>
      <c r="C99" s="10"/>
      <c r="D99" s="10"/>
      <c r="E99" s="10"/>
      <c r="F99" s="10"/>
      <c r="G99" s="10"/>
      <c r="H99" s="10"/>
      <c r="I99" s="10"/>
      <c r="J99" s="10"/>
      <c r="K99" s="10"/>
      <c r="L99" s="10"/>
      <c r="M99" s="10"/>
      <c r="N99" s="10"/>
      <c r="O99" s="10"/>
      <c r="P99" s="10"/>
    </row>
    <row r="100" spans="1:16" x14ac:dyDescent="0.35">
      <c r="A100" s="10"/>
      <c r="B100" s="10"/>
      <c r="C100" s="10"/>
      <c r="D100" s="10"/>
      <c r="E100" s="10"/>
      <c r="F100" s="10"/>
      <c r="G100" s="10"/>
      <c r="H100" s="10"/>
      <c r="I100" s="10"/>
      <c r="J100" s="10"/>
      <c r="K100" s="10"/>
      <c r="L100" s="10"/>
      <c r="M100" s="10"/>
      <c r="N100" s="10"/>
      <c r="O100" s="10"/>
      <c r="P100" s="10"/>
    </row>
    <row r="101" spans="1:16" x14ac:dyDescent="0.35">
      <c r="A101" s="10"/>
      <c r="B101" s="10"/>
      <c r="C101" s="10"/>
      <c r="D101" s="10"/>
      <c r="E101" s="10"/>
      <c r="F101" s="10"/>
      <c r="G101" s="10"/>
      <c r="H101" s="10"/>
      <c r="I101" s="10"/>
      <c r="J101" s="10"/>
      <c r="K101" s="10"/>
      <c r="L101" s="10"/>
      <c r="M101" s="10"/>
      <c r="N101" s="10"/>
      <c r="O101" s="10"/>
      <c r="P101" s="10"/>
    </row>
    <row r="102" spans="1:16" x14ac:dyDescent="0.35">
      <c r="A102" s="10"/>
      <c r="B102" s="10"/>
      <c r="C102" s="10"/>
      <c r="D102" s="10"/>
      <c r="E102" s="10"/>
      <c r="F102" s="10"/>
      <c r="G102" s="10"/>
      <c r="H102" s="10"/>
      <c r="I102" s="10"/>
      <c r="J102" s="10"/>
      <c r="K102" s="10"/>
      <c r="L102" s="10"/>
      <c r="M102" s="10"/>
      <c r="N102" s="10"/>
      <c r="O102" s="10"/>
      <c r="P102" s="10"/>
    </row>
    <row r="103" spans="1:16" x14ac:dyDescent="0.35">
      <c r="A103" s="10"/>
      <c r="B103" s="10"/>
      <c r="C103" s="10"/>
      <c r="D103" s="10"/>
      <c r="E103" s="10"/>
      <c r="F103" s="10"/>
      <c r="G103" s="10"/>
      <c r="H103" s="10"/>
      <c r="I103" s="10"/>
      <c r="J103" s="10"/>
      <c r="K103" s="10"/>
      <c r="L103" s="10"/>
      <c r="M103" s="10"/>
      <c r="N103" s="10"/>
      <c r="O103" s="10"/>
      <c r="P103" s="10"/>
    </row>
    <row r="104" spans="1:16" x14ac:dyDescent="0.35">
      <c r="A104" s="10"/>
      <c r="B104" s="10"/>
      <c r="C104" s="10"/>
      <c r="D104" s="10"/>
      <c r="E104" s="10"/>
      <c r="F104" s="10"/>
      <c r="G104" s="10"/>
      <c r="H104" s="10"/>
      <c r="I104" s="10"/>
      <c r="J104" s="10"/>
      <c r="K104" s="10"/>
      <c r="L104" s="10"/>
      <c r="M104" s="10"/>
      <c r="N104" s="10"/>
      <c r="O104" s="10"/>
      <c r="P104" s="10"/>
    </row>
    <row r="105" spans="1:16" x14ac:dyDescent="0.35">
      <c r="A105" s="10"/>
      <c r="B105" s="10"/>
      <c r="C105" s="10"/>
      <c r="D105" s="10"/>
      <c r="E105" s="10"/>
      <c r="F105" s="10"/>
      <c r="G105" s="10"/>
      <c r="H105" s="10"/>
      <c r="I105" s="10"/>
      <c r="J105" s="10"/>
      <c r="K105" s="10"/>
      <c r="L105" s="10"/>
      <c r="M105" s="10"/>
      <c r="N105" s="10"/>
      <c r="O105" s="10"/>
      <c r="P105" s="10"/>
    </row>
    <row r="106" spans="1:16" x14ac:dyDescent="0.35">
      <c r="A106" s="10"/>
      <c r="B106" s="10"/>
      <c r="C106" s="10"/>
      <c r="D106" s="10"/>
      <c r="E106" s="10"/>
      <c r="F106" s="10"/>
      <c r="G106" s="10"/>
      <c r="H106" s="10"/>
      <c r="I106" s="10"/>
      <c r="J106" s="10"/>
      <c r="K106" s="10"/>
      <c r="L106" s="10"/>
      <c r="M106" s="10"/>
      <c r="N106" s="10"/>
      <c r="O106" s="10"/>
      <c r="P106" s="10"/>
    </row>
    <row r="107" spans="1:16" x14ac:dyDescent="0.35">
      <c r="A107" s="10"/>
      <c r="B107" s="10"/>
      <c r="C107" s="10"/>
      <c r="D107" s="10"/>
      <c r="E107" s="10"/>
      <c r="F107" s="10"/>
      <c r="G107" s="10"/>
      <c r="H107" s="10"/>
      <c r="I107" s="10"/>
      <c r="J107" s="10"/>
      <c r="K107" s="10"/>
      <c r="L107" s="10"/>
      <c r="M107" s="10"/>
      <c r="N107" s="10"/>
      <c r="O107" s="10"/>
      <c r="P107" s="10"/>
    </row>
    <row r="108" spans="1:16" x14ac:dyDescent="0.35">
      <c r="A108" s="10"/>
      <c r="B108" s="10"/>
      <c r="C108" s="10"/>
      <c r="D108" s="10"/>
      <c r="E108" s="10"/>
      <c r="F108" s="10"/>
      <c r="G108" s="10"/>
      <c r="H108" s="10"/>
      <c r="I108" s="10"/>
      <c r="J108" s="10"/>
      <c r="K108" s="10"/>
      <c r="L108" s="10"/>
      <c r="M108" s="10"/>
      <c r="N108" s="10"/>
      <c r="O108" s="10"/>
      <c r="P108" s="10"/>
    </row>
    <row r="109" spans="1:16" x14ac:dyDescent="0.35">
      <c r="A109" s="10"/>
      <c r="B109" s="10"/>
      <c r="C109" s="10"/>
      <c r="D109" s="10"/>
      <c r="E109" s="10"/>
      <c r="F109" s="10"/>
      <c r="G109" s="10"/>
      <c r="H109" s="10"/>
      <c r="I109" s="10"/>
      <c r="J109" s="10"/>
      <c r="K109" s="10"/>
      <c r="L109" s="10"/>
      <c r="M109" s="10"/>
      <c r="N109" s="10"/>
      <c r="O109" s="10"/>
      <c r="P109" s="10"/>
    </row>
    <row r="110" spans="1:16" x14ac:dyDescent="0.35">
      <c r="A110" s="10"/>
      <c r="B110" s="10"/>
      <c r="C110" s="10"/>
      <c r="D110" s="10"/>
      <c r="E110" s="10"/>
      <c r="F110" s="10"/>
      <c r="G110" s="10"/>
      <c r="H110" s="10"/>
      <c r="I110" s="10"/>
      <c r="J110" s="10"/>
      <c r="K110" s="10"/>
      <c r="L110" s="10"/>
      <c r="M110" s="10"/>
      <c r="N110" s="10"/>
      <c r="O110" s="10"/>
      <c r="P110" s="10"/>
    </row>
    <row r="111" spans="1:16" x14ac:dyDescent="0.35">
      <c r="A111" s="10"/>
      <c r="B111" s="10"/>
      <c r="C111" s="10"/>
      <c r="D111" s="10"/>
      <c r="E111" s="10"/>
      <c r="F111" s="10"/>
      <c r="G111" s="10"/>
      <c r="H111" s="10"/>
      <c r="I111" s="10"/>
      <c r="J111" s="10"/>
      <c r="K111" s="10"/>
      <c r="L111" s="10"/>
      <c r="M111" s="10"/>
      <c r="N111" s="10"/>
      <c r="O111" s="10"/>
      <c r="P111" s="10"/>
    </row>
    <row r="112" spans="1:16" x14ac:dyDescent="0.35">
      <c r="A112" s="10"/>
      <c r="B112" s="10"/>
      <c r="C112" s="10"/>
      <c r="D112" s="10"/>
      <c r="E112" s="10"/>
      <c r="F112" s="10"/>
      <c r="G112" s="10"/>
      <c r="H112" s="10"/>
      <c r="I112" s="10"/>
      <c r="J112" s="10"/>
      <c r="K112" s="10"/>
      <c r="L112" s="10"/>
      <c r="M112" s="10"/>
      <c r="N112" s="10"/>
      <c r="O112" s="10"/>
      <c r="P112" s="10"/>
    </row>
    <row r="113" spans="1:16" x14ac:dyDescent="0.35">
      <c r="A113" s="10"/>
      <c r="B113" s="10"/>
      <c r="C113" s="10"/>
      <c r="D113" s="10"/>
      <c r="E113" s="10"/>
      <c r="F113" s="10"/>
      <c r="G113" s="10"/>
      <c r="H113" s="10"/>
      <c r="I113" s="10"/>
      <c r="J113" s="10"/>
      <c r="K113" s="10"/>
      <c r="L113" s="10"/>
      <c r="M113" s="10"/>
      <c r="N113" s="10"/>
      <c r="O113" s="10"/>
      <c r="P113" s="10"/>
    </row>
    <row r="114" spans="1:16" x14ac:dyDescent="0.35">
      <c r="A114" s="10"/>
      <c r="B114" s="10"/>
      <c r="C114" s="10"/>
      <c r="D114" s="10"/>
      <c r="E114" s="10"/>
      <c r="F114" s="10"/>
      <c r="G114" s="10"/>
      <c r="H114" s="10"/>
      <c r="I114" s="10"/>
      <c r="J114" s="10"/>
      <c r="K114" s="10"/>
      <c r="L114" s="10"/>
      <c r="M114" s="10"/>
      <c r="N114" s="10"/>
      <c r="O114" s="10"/>
      <c r="P114" s="10"/>
    </row>
    <row r="115" spans="1:16" x14ac:dyDescent="0.35">
      <c r="A115" s="10"/>
      <c r="B115" s="10"/>
      <c r="C115" s="10"/>
      <c r="D115" s="10"/>
      <c r="E115" s="10"/>
      <c r="F115" s="10"/>
      <c r="G115" s="10"/>
      <c r="H115" s="10"/>
      <c r="I115" s="10"/>
      <c r="J115" s="10"/>
      <c r="K115" s="10"/>
      <c r="L115" s="10"/>
      <c r="M115" s="10"/>
      <c r="N115" s="10"/>
      <c r="O115" s="10"/>
      <c r="P115" s="10"/>
    </row>
    <row r="116" spans="1:16" x14ac:dyDescent="0.35">
      <c r="A116" s="10"/>
      <c r="B116" s="10"/>
      <c r="C116" s="10"/>
      <c r="D116" s="10"/>
      <c r="E116" s="10"/>
      <c r="F116" s="10"/>
      <c r="G116" s="10"/>
      <c r="H116" s="10"/>
      <c r="I116" s="10"/>
      <c r="J116" s="10"/>
      <c r="K116" s="10"/>
      <c r="L116" s="10"/>
      <c r="M116" s="10"/>
      <c r="N116" s="10"/>
      <c r="O116" s="10"/>
      <c r="P116" s="10"/>
    </row>
    <row r="117" spans="1:16" x14ac:dyDescent="0.35">
      <c r="A117" s="10"/>
      <c r="B117" s="10"/>
      <c r="C117" s="10"/>
      <c r="D117" s="10"/>
      <c r="E117" s="10"/>
      <c r="F117" s="10"/>
      <c r="G117" s="10"/>
      <c r="H117" s="10"/>
      <c r="I117" s="10"/>
      <c r="J117" s="10"/>
      <c r="K117" s="10"/>
      <c r="L117" s="10"/>
      <c r="M117" s="10"/>
      <c r="N117" s="10"/>
      <c r="O117" s="10"/>
      <c r="P117" s="10"/>
    </row>
    <row r="118" spans="1:16" x14ac:dyDescent="0.35">
      <c r="A118" s="10"/>
      <c r="B118" s="10"/>
      <c r="C118" s="10"/>
      <c r="D118" s="10"/>
      <c r="E118" s="10"/>
      <c r="F118" s="10"/>
      <c r="G118" s="10"/>
      <c r="H118" s="10"/>
      <c r="I118" s="10"/>
      <c r="J118" s="10"/>
      <c r="K118" s="10"/>
      <c r="L118" s="10"/>
      <c r="M118" s="10"/>
      <c r="N118" s="10"/>
      <c r="O118" s="10"/>
      <c r="P118" s="10"/>
    </row>
    <row r="119" spans="1:16" x14ac:dyDescent="0.35">
      <c r="A119" s="10"/>
      <c r="B119" s="10"/>
      <c r="C119" s="10"/>
      <c r="D119" s="10"/>
      <c r="E119" s="10"/>
      <c r="F119" s="10"/>
      <c r="G119" s="10"/>
      <c r="H119" s="10"/>
      <c r="I119" s="10"/>
      <c r="J119" s="10"/>
      <c r="K119" s="10"/>
      <c r="L119" s="10"/>
      <c r="M119" s="10"/>
      <c r="N119" s="10"/>
      <c r="O119" s="10"/>
      <c r="P119" s="10"/>
    </row>
    <row r="120" spans="1:16" x14ac:dyDescent="0.35">
      <c r="A120" s="10"/>
      <c r="B120" s="10"/>
      <c r="C120" s="10"/>
      <c r="D120" s="10"/>
      <c r="E120" s="10"/>
      <c r="F120" s="10"/>
      <c r="G120" s="10"/>
      <c r="H120" s="10"/>
      <c r="I120" s="10"/>
      <c r="J120" s="10"/>
      <c r="K120" s="10"/>
      <c r="L120" s="10"/>
      <c r="M120" s="10"/>
      <c r="N120" s="10"/>
      <c r="O120" s="10"/>
      <c r="P120" s="10"/>
    </row>
    <row r="121" spans="1:16" x14ac:dyDescent="0.35">
      <c r="A121" s="10"/>
      <c r="B121" s="10"/>
      <c r="C121" s="10"/>
      <c r="D121" s="10"/>
      <c r="E121" s="10"/>
      <c r="F121" s="10"/>
      <c r="G121" s="10"/>
      <c r="H121" s="10"/>
      <c r="I121" s="10"/>
      <c r="J121" s="10"/>
      <c r="K121" s="10"/>
      <c r="L121" s="10"/>
      <c r="M121" s="10"/>
      <c r="N121" s="10"/>
      <c r="O121" s="10"/>
      <c r="P121" s="10"/>
    </row>
    <row r="122" spans="1:16" x14ac:dyDescent="0.35">
      <c r="A122" s="10"/>
      <c r="B122" s="10"/>
      <c r="C122" s="10"/>
      <c r="D122" s="10"/>
      <c r="E122" s="10"/>
      <c r="F122" s="10"/>
      <c r="G122" s="10"/>
      <c r="H122" s="10"/>
      <c r="I122" s="10"/>
      <c r="J122" s="10"/>
      <c r="K122" s="10"/>
      <c r="L122" s="10"/>
      <c r="M122" s="10"/>
      <c r="N122" s="10"/>
      <c r="O122" s="10"/>
      <c r="P122" s="10"/>
    </row>
    <row r="123" spans="1:16" x14ac:dyDescent="0.35">
      <c r="A123" s="10"/>
      <c r="B123" s="10"/>
      <c r="C123" s="10"/>
      <c r="D123" s="10"/>
      <c r="E123" s="10"/>
      <c r="F123" s="10"/>
      <c r="G123" s="10"/>
      <c r="H123" s="10"/>
      <c r="I123" s="10"/>
      <c r="J123" s="10"/>
      <c r="K123" s="10"/>
      <c r="L123" s="10"/>
      <c r="M123" s="10"/>
      <c r="N123" s="10"/>
      <c r="O123" s="10"/>
      <c r="P123" s="10"/>
    </row>
    <row r="124" spans="1:16" x14ac:dyDescent="0.35">
      <c r="A124" s="10"/>
      <c r="B124" s="10"/>
      <c r="C124" s="10"/>
      <c r="D124" s="10"/>
      <c r="E124" s="10"/>
      <c r="F124" s="10"/>
      <c r="G124" s="10"/>
      <c r="H124" s="10"/>
      <c r="I124" s="10"/>
      <c r="J124" s="10"/>
      <c r="K124" s="10"/>
      <c r="L124" s="10"/>
      <c r="M124" s="10"/>
      <c r="N124" s="10"/>
      <c r="O124" s="10"/>
      <c r="P124" s="10"/>
    </row>
    <row r="125" spans="1:16" x14ac:dyDescent="0.35">
      <c r="A125" s="10"/>
      <c r="B125" s="10"/>
      <c r="C125" s="10"/>
      <c r="D125" s="10"/>
      <c r="E125" s="10"/>
      <c r="F125" s="10"/>
      <c r="G125" s="10"/>
      <c r="H125" s="10"/>
      <c r="I125" s="10"/>
      <c r="J125" s="10"/>
      <c r="K125" s="10"/>
      <c r="L125" s="10"/>
      <c r="M125" s="10"/>
      <c r="N125" s="10"/>
      <c r="O125" s="10"/>
      <c r="P125" s="10"/>
    </row>
    <row r="126" spans="1:16" x14ac:dyDescent="0.35">
      <c r="A126" s="10"/>
      <c r="B126" s="10"/>
      <c r="C126" s="10"/>
      <c r="D126" s="10"/>
      <c r="E126" s="10"/>
      <c r="F126" s="10"/>
      <c r="G126" s="10"/>
      <c r="H126" s="10"/>
      <c r="I126" s="10"/>
      <c r="J126" s="10"/>
      <c r="K126" s="10"/>
      <c r="L126" s="10"/>
      <c r="M126" s="10"/>
      <c r="N126" s="10"/>
      <c r="O126" s="10"/>
      <c r="P126" s="10"/>
    </row>
    <row r="127" spans="1:16" x14ac:dyDescent="0.35">
      <c r="A127" s="10"/>
      <c r="B127" s="10"/>
      <c r="C127" s="10"/>
      <c r="D127" s="10"/>
      <c r="E127" s="10"/>
      <c r="F127" s="10"/>
      <c r="G127" s="10"/>
      <c r="H127" s="10"/>
      <c r="I127" s="10"/>
      <c r="J127" s="10"/>
      <c r="K127" s="10"/>
      <c r="L127" s="10"/>
      <c r="M127" s="10"/>
      <c r="N127" s="10"/>
      <c r="O127" s="10"/>
      <c r="P127" s="10"/>
    </row>
    <row r="128" spans="1:16" x14ac:dyDescent="0.35">
      <c r="A128" s="10"/>
      <c r="B128" s="10"/>
      <c r="C128" s="10"/>
      <c r="D128" s="10"/>
      <c r="E128" s="10"/>
      <c r="F128" s="10"/>
      <c r="G128" s="10"/>
      <c r="H128" s="10"/>
      <c r="I128" s="10"/>
      <c r="J128" s="10"/>
      <c r="K128" s="10"/>
      <c r="L128" s="10"/>
      <c r="M128" s="10"/>
      <c r="N128" s="10"/>
      <c r="O128" s="10"/>
      <c r="P128" s="10"/>
    </row>
    <row r="129" spans="1:16" x14ac:dyDescent="0.35">
      <c r="A129" s="10"/>
      <c r="B129" s="10"/>
      <c r="C129" s="10"/>
      <c r="D129" s="10"/>
      <c r="E129" s="10"/>
      <c r="F129" s="10"/>
      <c r="G129" s="10"/>
      <c r="H129" s="10"/>
      <c r="I129" s="10"/>
      <c r="J129" s="10"/>
      <c r="K129" s="10"/>
      <c r="L129" s="10"/>
      <c r="M129" s="10"/>
      <c r="N129" s="10"/>
      <c r="O129" s="10"/>
      <c r="P129" s="10"/>
    </row>
    <row r="130" spans="1:16" x14ac:dyDescent="0.35">
      <c r="A130" s="10"/>
      <c r="B130" s="10"/>
      <c r="C130" s="10"/>
      <c r="D130" s="10"/>
      <c r="E130" s="10"/>
      <c r="F130" s="10"/>
      <c r="G130" s="10"/>
      <c r="H130" s="10"/>
      <c r="I130" s="10"/>
      <c r="J130" s="10"/>
      <c r="K130" s="10"/>
      <c r="L130" s="10"/>
      <c r="M130" s="10"/>
      <c r="N130" s="10"/>
      <c r="O130" s="10"/>
      <c r="P130" s="10"/>
    </row>
    <row r="131" spans="1:16" x14ac:dyDescent="0.35">
      <c r="A131" s="10"/>
      <c r="B131" s="10"/>
      <c r="C131" s="10"/>
      <c r="D131" s="10"/>
      <c r="E131" s="10"/>
      <c r="F131" s="10"/>
      <c r="G131" s="10"/>
      <c r="H131" s="10"/>
      <c r="I131" s="10"/>
      <c r="J131" s="10"/>
      <c r="K131" s="10"/>
      <c r="L131" s="10"/>
      <c r="M131" s="10"/>
      <c r="N131" s="10"/>
      <c r="O131" s="10"/>
      <c r="P131" s="10"/>
    </row>
    <row r="132" spans="1:16" x14ac:dyDescent="0.35">
      <c r="A132" s="10"/>
      <c r="B132" s="10"/>
      <c r="C132" s="10"/>
      <c r="D132" s="10"/>
      <c r="E132" s="10"/>
      <c r="F132" s="10"/>
      <c r="G132" s="10"/>
      <c r="H132" s="10"/>
      <c r="I132" s="10"/>
      <c r="J132" s="10"/>
      <c r="K132" s="10"/>
      <c r="L132" s="10"/>
      <c r="M132" s="10"/>
      <c r="N132" s="10"/>
      <c r="O132" s="10"/>
      <c r="P132" s="10"/>
    </row>
    <row r="133" spans="1:16" x14ac:dyDescent="0.35">
      <c r="A133" s="10"/>
      <c r="B133" s="10"/>
      <c r="C133" s="10"/>
      <c r="D133" s="10"/>
      <c r="E133" s="10"/>
      <c r="F133" s="10"/>
      <c r="G133" s="10"/>
      <c r="H133" s="10"/>
      <c r="I133" s="10"/>
      <c r="J133" s="10"/>
      <c r="K133" s="10"/>
      <c r="L133" s="10"/>
      <c r="M133" s="10"/>
      <c r="N133" s="10"/>
      <c r="O133" s="10"/>
      <c r="P133" s="10"/>
    </row>
    <row r="134" spans="1:16" x14ac:dyDescent="0.35">
      <c r="A134" s="10"/>
      <c r="B134" s="10"/>
      <c r="C134" s="10"/>
      <c r="D134" s="10"/>
      <c r="E134" s="10"/>
      <c r="F134" s="10"/>
      <c r="G134" s="10"/>
      <c r="H134" s="10"/>
      <c r="I134" s="10"/>
      <c r="J134" s="10"/>
      <c r="K134" s="10"/>
      <c r="L134" s="10"/>
      <c r="M134" s="10"/>
      <c r="N134" s="10"/>
      <c r="O134" s="10"/>
      <c r="P134" s="10"/>
    </row>
    <row r="135" spans="1:16" x14ac:dyDescent="0.35">
      <c r="A135" s="10"/>
      <c r="B135" s="10"/>
      <c r="C135" s="10"/>
      <c r="D135" s="10"/>
      <c r="E135" s="10"/>
      <c r="F135" s="10"/>
      <c r="G135" s="10"/>
      <c r="H135" s="10"/>
      <c r="I135" s="10"/>
      <c r="J135" s="10"/>
      <c r="K135" s="10"/>
      <c r="L135" s="10"/>
      <c r="M135" s="10"/>
      <c r="N135" s="10"/>
      <c r="O135" s="10"/>
      <c r="P135" s="10"/>
    </row>
    <row r="136" spans="1:16" x14ac:dyDescent="0.35">
      <c r="A136" s="10"/>
      <c r="B136" s="10"/>
      <c r="C136" s="10"/>
      <c r="D136" s="10"/>
      <c r="E136" s="10"/>
      <c r="F136" s="10"/>
      <c r="G136" s="10"/>
      <c r="H136" s="10"/>
      <c r="I136" s="10"/>
      <c r="J136" s="10"/>
      <c r="K136" s="10"/>
      <c r="L136" s="10"/>
      <c r="M136" s="10"/>
      <c r="N136" s="10"/>
      <c r="O136" s="10"/>
      <c r="P136" s="10"/>
    </row>
    <row r="137" spans="1:16" x14ac:dyDescent="0.35">
      <c r="A137" s="10"/>
      <c r="B137" s="10"/>
      <c r="C137" s="10"/>
      <c r="D137" s="10"/>
      <c r="E137" s="10"/>
      <c r="F137" s="10"/>
      <c r="G137" s="10"/>
      <c r="H137" s="10"/>
      <c r="I137" s="10"/>
      <c r="J137" s="10"/>
      <c r="K137" s="10"/>
      <c r="L137" s="10"/>
      <c r="M137" s="10"/>
      <c r="N137" s="10"/>
      <c r="O137" s="10"/>
      <c r="P137" s="10"/>
    </row>
    <row r="138" spans="1:16" x14ac:dyDescent="0.35">
      <c r="A138" s="10"/>
      <c r="B138" s="10"/>
      <c r="C138" s="10"/>
      <c r="D138" s="10"/>
      <c r="E138" s="10"/>
      <c r="F138" s="10"/>
      <c r="G138" s="10"/>
      <c r="H138" s="10"/>
      <c r="I138" s="10"/>
      <c r="J138" s="10"/>
      <c r="K138" s="10"/>
      <c r="L138" s="10"/>
      <c r="M138" s="10"/>
      <c r="N138" s="10"/>
      <c r="O138" s="10"/>
      <c r="P138" s="10"/>
    </row>
    <row r="139" spans="1:16" x14ac:dyDescent="0.35">
      <c r="A139" s="10"/>
      <c r="B139" s="10"/>
      <c r="C139" s="10"/>
      <c r="D139" s="10"/>
      <c r="E139" s="10"/>
      <c r="F139" s="10"/>
      <c r="G139" s="10"/>
      <c r="H139" s="10"/>
      <c r="I139" s="10"/>
      <c r="J139" s="10"/>
      <c r="K139" s="10"/>
      <c r="L139" s="10"/>
      <c r="M139" s="10"/>
      <c r="N139" s="10"/>
      <c r="O139" s="10"/>
      <c r="P139" s="10"/>
    </row>
    <row r="140" spans="1:16" x14ac:dyDescent="0.35">
      <c r="A140" s="10"/>
      <c r="B140" s="10"/>
      <c r="C140" s="10"/>
      <c r="D140" s="10"/>
      <c r="E140" s="10"/>
      <c r="F140" s="10"/>
      <c r="G140" s="10"/>
      <c r="H140" s="10"/>
      <c r="I140" s="10"/>
      <c r="J140" s="10"/>
      <c r="K140" s="10"/>
      <c r="L140" s="10"/>
      <c r="M140" s="10"/>
      <c r="N140" s="10"/>
      <c r="O140" s="10"/>
      <c r="P140" s="10"/>
    </row>
    <row r="141" spans="1:16" x14ac:dyDescent="0.35">
      <c r="A141" s="10"/>
      <c r="B141" s="10"/>
      <c r="C141" s="10"/>
      <c r="D141" s="10"/>
      <c r="E141" s="10"/>
      <c r="F141" s="10"/>
      <c r="G141" s="10"/>
      <c r="H141" s="10"/>
      <c r="I141" s="10"/>
      <c r="J141" s="10"/>
      <c r="K141" s="10"/>
      <c r="L141" s="10"/>
      <c r="M141" s="10"/>
      <c r="N141" s="10"/>
      <c r="O141" s="10"/>
      <c r="P141" s="10"/>
    </row>
    <row r="142" spans="1:16" x14ac:dyDescent="0.35">
      <c r="A142" s="10"/>
      <c r="B142" s="10"/>
      <c r="C142" s="10"/>
      <c r="D142" s="10"/>
      <c r="E142" s="10"/>
      <c r="F142" s="10"/>
      <c r="G142" s="10"/>
      <c r="H142" s="10"/>
      <c r="I142" s="10"/>
      <c r="J142" s="10"/>
      <c r="K142" s="10"/>
      <c r="L142" s="10"/>
      <c r="M142" s="10"/>
      <c r="N142" s="10"/>
      <c r="O142" s="10"/>
      <c r="P142" s="10"/>
    </row>
    <row r="143" spans="1:16" x14ac:dyDescent="0.35">
      <c r="A143" s="10"/>
      <c r="B143" s="10"/>
      <c r="C143" s="10"/>
      <c r="D143" s="10"/>
      <c r="E143" s="10"/>
      <c r="F143" s="10"/>
      <c r="G143" s="10"/>
      <c r="H143" s="10"/>
      <c r="I143" s="10"/>
      <c r="J143" s="10"/>
      <c r="K143" s="10"/>
      <c r="L143" s="10"/>
      <c r="M143" s="10"/>
      <c r="N143" s="10"/>
      <c r="O143" s="10"/>
      <c r="P143" s="10"/>
    </row>
    <row r="144" spans="1:16" x14ac:dyDescent="0.35">
      <c r="A144" s="10"/>
      <c r="B144" s="10"/>
      <c r="C144" s="10"/>
      <c r="D144" s="10"/>
      <c r="E144" s="10"/>
      <c r="F144" s="10"/>
      <c r="G144" s="10"/>
      <c r="H144" s="10"/>
      <c r="I144" s="10"/>
      <c r="J144" s="10"/>
      <c r="K144" s="10"/>
      <c r="L144" s="10"/>
      <c r="M144" s="10"/>
      <c r="N144" s="10"/>
      <c r="O144" s="10"/>
      <c r="P144" s="10"/>
    </row>
    <row r="145" spans="1:16" x14ac:dyDescent="0.35">
      <c r="A145" s="10"/>
      <c r="B145" s="10"/>
      <c r="C145" s="10"/>
      <c r="D145" s="10"/>
      <c r="E145" s="10"/>
      <c r="F145" s="10"/>
      <c r="G145" s="10"/>
      <c r="H145" s="10"/>
      <c r="I145" s="10"/>
      <c r="J145" s="10"/>
      <c r="K145" s="10"/>
      <c r="L145" s="10"/>
      <c r="M145" s="10"/>
      <c r="N145" s="10"/>
      <c r="O145" s="10"/>
      <c r="P145" s="10"/>
    </row>
    <row r="146" spans="1:16" x14ac:dyDescent="0.35">
      <c r="A146" s="10"/>
      <c r="B146" s="10"/>
      <c r="C146" s="10"/>
      <c r="D146" s="10"/>
      <c r="E146" s="10"/>
      <c r="F146" s="10"/>
      <c r="G146" s="10"/>
      <c r="H146" s="10"/>
      <c r="I146" s="10"/>
      <c r="J146" s="10"/>
      <c r="K146" s="10"/>
      <c r="L146" s="10"/>
      <c r="M146" s="10"/>
      <c r="N146" s="10"/>
      <c r="O146" s="10"/>
      <c r="P146" s="10"/>
    </row>
    <row r="147" spans="1:16" x14ac:dyDescent="0.35">
      <c r="A147" s="10"/>
      <c r="B147" s="10"/>
      <c r="C147" s="10"/>
      <c r="D147" s="10"/>
      <c r="E147" s="10"/>
      <c r="F147" s="10"/>
      <c r="G147" s="10"/>
      <c r="H147" s="10"/>
      <c r="I147" s="10"/>
      <c r="J147" s="10"/>
      <c r="K147" s="10"/>
      <c r="L147" s="10"/>
      <c r="M147" s="10"/>
      <c r="N147" s="10"/>
      <c r="O147" s="10"/>
      <c r="P147" s="10"/>
    </row>
    <row r="148" spans="1:16" x14ac:dyDescent="0.35">
      <c r="A148" s="10"/>
      <c r="B148" s="10"/>
      <c r="C148" s="10"/>
      <c r="D148" s="10"/>
      <c r="E148" s="10"/>
      <c r="F148" s="10"/>
      <c r="G148" s="10"/>
      <c r="H148" s="10"/>
      <c r="I148" s="10"/>
      <c r="J148" s="10"/>
      <c r="K148" s="10"/>
      <c r="L148" s="10"/>
      <c r="M148" s="10"/>
      <c r="N148" s="10"/>
      <c r="O148" s="10"/>
      <c r="P148" s="10"/>
    </row>
    <row r="149" spans="1:16" x14ac:dyDescent="0.35">
      <c r="A149" s="10"/>
      <c r="B149" s="10"/>
      <c r="C149" s="10"/>
      <c r="D149" s="10"/>
      <c r="E149" s="10"/>
      <c r="F149" s="10"/>
      <c r="G149" s="10"/>
      <c r="H149" s="10"/>
      <c r="I149" s="10"/>
      <c r="J149" s="10"/>
      <c r="K149" s="10"/>
      <c r="L149" s="10"/>
      <c r="M149" s="10"/>
      <c r="N149" s="10"/>
      <c r="O149" s="10"/>
      <c r="P149" s="10"/>
    </row>
    <row r="150" spans="1:16" x14ac:dyDescent="0.35">
      <c r="A150" s="10"/>
      <c r="B150" s="10"/>
      <c r="C150" s="10"/>
      <c r="D150" s="10"/>
      <c r="E150" s="10"/>
      <c r="F150" s="10"/>
      <c r="G150" s="10"/>
      <c r="H150" s="10"/>
      <c r="I150" s="10"/>
      <c r="J150" s="10"/>
      <c r="K150" s="10"/>
      <c r="L150" s="10"/>
      <c r="M150" s="10"/>
      <c r="N150" s="10"/>
      <c r="O150" s="10"/>
      <c r="P150" s="10"/>
    </row>
    <row r="151" spans="1:16" x14ac:dyDescent="0.35">
      <c r="A151" s="10"/>
      <c r="B151" s="10"/>
      <c r="C151" s="10"/>
      <c r="D151" s="10"/>
      <c r="E151" s="10"/>
      <c r="F151" s="10"/>
      <c r="G151" s="10"/>
      <c r="H151" s="10"/>
      <c r="I151" s="10"/>
      <c r="J151" s="10"/>
      <c r="K151" s="10"/>
      <c r="L151" s="10"/>
      <c r="M151" s="10"/>
      <c r="N151" s="10"/>
      <c r="O151" s="10"/>
      <c r="P151" s="10"/>
    </row>
    <row r="152" spans="1:16" x14ac:dyDescent="0.35">
      <c r="A152" s="10"/>
      <c r="B152" s="10"/>
      <c r="C152" s="10"/>
      <c r="D152" s="10"/>
      <c r="E152" s="10"/>
      <c r="F152" s="10"/>
      <c r="G152" s="10"/>
      <c r="H152" s="10"/>
      <c r="I152" s="10"/>
      <c r="J152" s="10"/>
      <c r="K152" s="10"/>
      <c r="L152" s="10"/>
      <c r="M152" s="10"/>
      <c r="N152" s="10"/>
      <c r="O152" s="10"/>
      <c r="P152" s="10"/>
    </row>
    <row r="153" spans="1:16" x14ac:dyDescent="0.35">
      <c r="A153" s="10"/>
      <c r="B153" s="10"/>
      <c r="C153" s="10"/>
      <c r="D153" s="10"/>
      <c r="E153" s="10"/>
      <c r="F153" s="10"/>
      <c r="G153" s="10"/>
      <c r="H153" s="10"/>
      <c r="I153" s="10"/>
      <c r="J153" s="10"/>
      <c r="K153" s="10"/>
      <c r="L153" s="10"/>
      <c r="M153" s="10"/>
      <c r="N153" s="10"/>
      <c r="O153" s="10"/>
      <c r="P153" s="10"/>
    </row>
    <row r="154" spans="1:16" x14ac:dyDescent="0.35">
      <c r="A154" s="10"/>
      <c r="B154" s="10"/>
      <c r="C154" s="10"/>
      <c r="D154" s="10"/>
      <c r="E154" s="10"/>
      <c r="F154" s="10"/>
      <c r="G154" s="10"/>
      <c r="H154" s="10"/>
      <c r="I154" s="10"/>
      <c r="J154" s="10"/>
      <c r="K154" s="10"/>
      <c r="L154" s="10"/>
      <c r="M154" s="10"/>
      <c r="N154" s="10"/>
      <c r="O154" s="10"/>
      <c r="P154" s="10"/>
    </row>
    <row r="155" spans="1:16" x14ac:dyDescent="0.35">
      <c r="A155" s="10"/>
      <c r="B155" s="10"/>
      <c r="C155" s="10"/>
      <c r="D155" s="10"/>
      <c r="E155" s="10"/>
      <c r="F155" s="10"/>
      <c r="G155" s="10"/>
      <c r="H155" s="10"/>
      <c r="I155" s="10"/>
      <c r="J155" s="10"/>
      <c r="K155" s="10"/>
      <c r="L155" s="10"/>
      <c r="M155" s="10"/>
      <c r="N155" s="10"/>
      <c r="O155" s="10"/>
      <c r="P155" s="10"/>
    </row>
    <row r="156" spans="1:16" x14ac:dyDescent="0.35">
      <c r="A156" s="10"/>
      <c r="B156" s="10"/>
      <c r="C156" s="10"/>
      <c r="D156" s="10"/>
      <c r="E156" s="10"/>
      <c r="F156" s="10"/>
      <c r="G156" s="10"/>
      <c r="H156" s="10"/>
      <c r="I156" s="10"/>
      <c r="J156" s="10"/>
      <c r="K156" s="10"/>
      <c r="L156" s="10"/>
      <c r="M156" s="10"/>
      <c r="N156" s="10"/>
      <c r="O156" s="10"/>
      <c r="P156" s="10"/>
    </row>
    <row r="157" spans="1:16" x14ac:dyDescent="0.35">
      <c r="A157" s="10"/>
      <c r="B157" s="10"/>
      <c r="C157" s="10"/>
      <c r="D157" s="10"/>
      <c r="E157" s="10"/>
      <c r="F157" s="10"/>
      <c r="G157" s="10"/>
      <c r="H157" s="10"/>
      <c r="I157" s="10"/>
      <c r="J157" s="10"/>
      <c r="K157" s="10"/>
      <c r="L157" s="10"/>
      <c r="M157" s="10"/>
      <c r="N157" s="10"/>
      <c r="O157" s="10"/>
      <c r="P157" s="10"/>
    </row>
    <row r="158" spans="1:16" x14ac:dyDescent="0.35">
      <c r="A158" s="10"/>
      <c r="B158" s="10"/>
      <c r="C158" s="10"/>
      <c r="D158" s="10"/>
      <c r="E158" s="10"/>
      <c r="F158" s="10"/>
      <c r="G158" s="10"/>
      <c r="H158" s="10"/>
      <c r="I158" s="10"/>
      <c r="J158" s="10"/>
      <c r="K158" s="10"/>
      <c r="L158" s="10"/>
      <c r="M158" s="10"/>
      <c r="N158" s="10"/>
      <c r="O158" s="10"/>
      <c r="P158" s="10"/>
    </row>
    <row r="159" spans="1:16" x14ac:dyDescent="0.35">
      <c r="A159" s="10"/>
      <c r="B159" s="10"/>
      <c r="C159" s="10"/>
      <c r="D159" s="10"/>
      <c r="E159" s="10"/>
      <c r="F159" s="10"/>
      <c r="G159" s="10"/>
      <c r="H159" s="10"/>
      <c r="I159" s="10"/>
      <c r="J159" s="10"/>
      <c r="K159" s="10"/>
      <c r="L159" s="10"/>
      <c r="M159" s="10"/>
      <c r="N159" s="10"/>
      <c r="O159" s="10"/>
      <c r="P159" s="10"/>
    </row>
    <row r="160" spans="1:16" x14ac:dyDescent="0.35">
      <c r="A160" s="10"/>
      <c r="B160" s="10"/>
      <c r="C160" s="10"/>
      <c r="D160" s="10"/>
      <c r="E160" s="10"/>
      <c r="F160" s="10"/>
      <c r="G160" s="10"/>
      <c r="H160" s="10"/>
      <c r="I160" s="10"/>
      <c r="J160" s="10"/>
      <c r="K160" s="10"/>
      <c r="L160" s="10"/>
      <c r="M160" s="10"/>
      <c r="N160" s="10"/>
      <c r="O160" s="10"/>
      <c r="P160" s="10"/>
    </row>
  </sheetData>
  <mergeCells count="3">
    <mergeCell ref="J1:K1"/>
    <mergeCell ref="I5:I8"/>
    <mergeCell ref="Q1:S1"/>
  </mergeCells>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REAforêtMReboisement</vt:lpstr>
      <vt:lpstr>REAproduitsMReboisement</vt:lpstr>
      <vt:lpstr>REEsubsMReboisement</vt:lpstr>
      <vt:lpstr>REG&amp;Rabais</vt:lpstr>
      <vt:lpstr>Listes choix</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HEUSCHMIDT</dc:creator>
  <cp:lastModifiedBy>Florence HEUSCHMIDT</cp:lastModifiedBy>
  <dcterms:created xsi:type="dcterms:W3CDTF">2019-12-30T13:35:15Z</dcterms:created>
  <dcterms:modified xsi:type="dcterms:W3CDTF">2021-03-31T13:30:17Z</dcterms:modified>
</cp:coreProperties>
</file>