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CFBL\Projets_LBC\Projet_Anost_112020\"/>
    </mc:Choice>
  </mc:AlternateContent>
  <bookViews>
    <workbookView xWindow="0" yWindow="0" windowWidth="19200" windowHeight="7310" firstSheet="1" activeTab="3"/>
  </bookViews>
  <sheets>
    <sheet name="REAforêtMReboisement" sheetId="1" r:id="rId1"/>
    <sheet name="REAproduitsMReboisement" sheetId="3" r:id="rId2"/>
    <sheet name="REEsubsMReboisement" sheetId="5" r:id="rId3"/>
    <sheet name="REG&amp;Rabais" sheetId="4" r:id="rId4"/>
    <sheet name="Listes choix" sheetId="2"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5" l="1"/>
  <c r="B6" i="3"/>
  <c r="B5" i="3"/>
  <c r="AF16" i="3"/>
  <c r="C16" i="3"/>
  <c r="D16" i="3"/>
  <c r="E16" i="3"/>
  <c r="F16" i="3"/>
  <c r="G16" i="3"/>
  <c r="H16" i="3"/>
  <c r="I16" i="3"/>
  <c r="J16" i="3"/>
  <c r="K16" i="3"/>
  <c r="L16" i="3"/>
  <c r="M16" i="3"/>
  <c r="N16" i="3"/>
  <c r="O16" i="3"/>
  <c r="P16" i="3"/>
  <c r="Q16" i="3"/>
  <c r="R16" i="3"/>
  <c r="S16" i="3"/>
  <c r="T16" i="3"/>
  <c r="U16" i="3"/>
  <c r="V16" i="3"/>
  <c r="W16" i="3"/>
  <c r="X16" i="3"/>
  <c r="Y16" i="3"/>
  <c r="Z16" i="3"/>
  <c r="AA16" i="3"/>
  <c r="AB16" i="3"/>
  <c r="AC16" i="3"/>
  <c r="AD16" i="3"/>
  <c r="AE16" i="3"/>
  <c r="B16" i="3"/>
  <c r="B30" i="3"/>
  <c r="B21" i="1"/>
  <c r="B28" i="1"/>
  <c r="B45" i="1"/>
  <c r="B47" i="1" s="1"/>
  <c r="B5" i="1" s="1"/>
  <c r="B43" i="1"/>
  <c r="BC23" i="1"/>
  <c r="AV23" i="1"/>
  <c r="AO23" i="1"/>
  <c r="AH23" i="1"/>
  <c r="AA23" i="1"/>
  <c r="AB23" i="1" s="1"/>
  <c r="AC23" i="1" s="1"/>
  <c r="AD23" i="1" s="1"/>
  <c r="AE23" i="1" s="1"/>
  <c r="AF23" i="1" s="1"/>
  <c r="AG23" i="1" s="1"/>
  <c r="W23" i="1"/>
  <c r="X23" i="1" s="1"/>
  <c r="Y23" i="1" s="1"/>
  <c r="Z23" i="1" s="1"/>
  <c r="V23" i="1"/>
  <c r="D23" i="1"/>
  <c r="E23" i="1"/>
  <c r="F23" i="1" s="1"/>
  <c r="G23" i="1" s="1"/>
  <c r="H23" i="1" s="1"/>
  <c r="I23" i="1" s="1"/>
  <c r="J23" i="1" s="1"/>
  <c r="K23" i="1" s="1"/>
  <c r="L23" i="1" s="1"/>
  <c r="M23" i="1" s="1"/>
  <c r="N23" i="1" s="1"/>
  <c r="O23" i="1" s="1"/>
  <c r="P23" i="1" s="1"/>
  <c r="Q23" i="1" s="1"/>
  <c r="R23" i="1" s="1"/>
  <c r="S23" i="1" s="1"/>
  <c r="T23" i="1" s="1"/>
  <c r="U23" i="1" s="1"/>
  <c r="C23" i="1"/>
  <c r="AA26" i="3"/>
  <c r="D28" i="1"/>
  <c r="E31" i="1"/>
  <c r="AI23" i="1" l="1"/>
  <c r="AJ23" i="1" s="1"/>
  <c r="AK23" i="1" s="1"/>
  <c r="AL23" i="1" s="1"/>
  <c r="AM23" i="1" s="1"/>
  <c r="AN23" i="1" s="1"/>
  <c r="AP23" i="1" s="1"/>
  <c r="AQ23" i="1" s="1"/>
  <c r="AR23" i="1" s="1"/>
  <c r="AS23" i="1" s="1"/>
  <c r="AT23" i="1" s="1"/>
  <c r="AU23" i="1" s="1"/>
  <c r="AW23" i="1" s="1"/>
  <c r="AX23" i="1" s="1"/>
  <c r="AY23" i="1" s="1"/>
  <c r="AZ23" i="1" s="1"/>
  <c r="BA23" i="1" s="1"/>
  <c r="BB23" i="1" s="1"/>
  <c r="BD23" i="1" s="1"/>
  <c r="BE23" i="1" s="1"/>
  <c r="BF23" i="1" s="1"/>
  <c r="BG23" i="1" s="1"/>
  <c r="BH23" i="1" s="1"/>
  <c r="BI23" i="1" s="1"/>
  <c r="BJ23" i="1" s="1"/>
  <c r="B15" i="5"/>
  <c r="B14" i="5"/>
  <c r="B20" i="5" s="1"/>
  <c r="C47" i="3"/>
  <c r="C18" i="3" s="1"/>
  <c r="E20" i="5" l="1"/>
  <c r="B39" i="3"/>
  <c r="C30" i="1" l="1"/>
  <c r="D30" i="1" l="1"/>
  <c r="E30" i="1" s="1"/>
  <c r="F30" i="1" s="1"/>
  <c r="G30" i="1" s="1"/>
  <c r="H30" i="1" s="1"/>
  <c r="I30" i="1" s="1"/>
  <c r="J30" i="1" s="1"/>
  <c r="K30" i="1" s="1"/>
  <c r="L30" i="1" s="1"/>
  <c r="M30" i="1" s="1"/>
  <c r="N30" i="1" s="1"/>
  <c r="O30" i="1" s="1"/>
  <c r="P30" i="1" s="1"/>
  <c r="Q30" i="1" s="1"/>
  <c r="R30" i="1" s="1"/>
  <c r="S30" i="1" s="1"/>
  <c r="T30" i="1" s="1"/>
  <c r="U30" i="1" s="1"/>
  <c r="V30" i="1" s="1"/>
  <c r="W30" i="1" s="1"/>
  <c r="X30" i="1" s="1"/>
  <c r="Y30" i="1" s="1"/>
  <c r="Z30" i="1" s="1"/>
  <c r="AA30" i="1" s="1"/>
  <c r="AB30" i="1" s="1"/>
  <c r="AC30" i="1" s="1"/>
  <c r="AD30" i="1" s="1"/>
  <c r="AE30" i="1" s="1"/>
  <c r="AF30" i="1" s="1"/>
  <c r="AG30" i="1" s="1"/>
  <c r="C32" i="1"/>
  <c r="D32" i="1"/>
  <c r="E32" i="1"/>
  <c r="F32" i="1"/>
  <c r="G32" i="1"/>
  <c r="H32" i="1"/>
  <c r="I32" i="1"/>
  <c r="J32" i="1"/>
  <c r="K32" i="1"/>
  <c r="L32" i="1"/>
  <c r="M32" i="1"/>
  <c r="N32" i="1"/>
  <c r="O32" i="1"/>
  <c r="P32" i="1"/>
  <c r="Q32" i="1"/>
  <c r="R32" i="1"/>
  <c r="S32" i="1"/>
  <c r="T32" i="1"/>
  <c r="U32" i="1"/>
  <c r="V32" i="1"/>
  <c r="W32" i="1"/>
  <c r="X32" i="1"/>
  <c r="Y32" i="1"/>
  <c r="Z32" i="1"/>
  <c r="AA32" i="1"/>
  <c r="AB32" i="1"/>
  <c r="AC32" i="1"/>
  <c r="AD32" i="1"/>
  <c r="AE32" i="1"/>
  <c r="AF32" i="1"/>
  <c r="B32" i="1"/>
  <c r="AF25" i="1"/>
  <c r="C25" i="1"/>
  <c r="D25" i="1"/>
  <c r="E25" i="1"/>
  <c r="F25" i="1"/>
  <c r="G25" i="1"/>
  <c r="H25" i="1"/>
  <c r="I25" i="1"/>
  <c r="J25" i="1"/>
  <c r="K25" i="1"/>
  <c r="L25" i="1"/>
  <c r="M25" i="1"/>
  <c r="N25" i="1"/>
  <c r="O25" i="1"/>
  <c r="P25" i="1"/>
  <c r="Q25" i="1"/>
  <c r="R25" i="1"/>
  <c r="S25" i="1"/>
  <c r="T25" i="1"/>
  <c r="U25" i="1"/>
  <c r="V25" i="1"/>
  <c r="W25" i="1"/>
  <c r="X25" i="1"/>
  <c r="Y25" i="1"/>
  <c r="Z25" i="1"/>
  <c r="AA25" i="1"/>
  <c r="AB25" i="1"/>
  <c r="AC25" i="1"/>
  <c r="AD25" i="1"/>
  <c r="AE25" i="1"/>
  <c r="B25" i="1"/>
  <c r="B23" i="5"/>
  <c r="C20" i="5"/>
  <c r="AH30" i="1" l="1"/>
  <c r="C15" i="4"/>
  <c r="AI30" i="1" l="1"/>
  <c r="AJ30" i="1" l="1"/>
  <c r="B25" i="5"/>
  <c r="AK30" i="1" l="1"/>
  <c r="AL30" i="1" l="1"/>
  <c r="AM30" i="1" l="1"/>
  <c r="C48" i="3"/>
  <c r="C32" i="3" s="1"/>
  <c r="AN30" i="1" l="1"/>
  <c r="C21" i="3"/>
  <c r="C17" i="4"/>
  <c r="C50" i="3"/>
  <c r="AO30" i="1" l="1"/>
  <c r="AP30" i="1" l="1"/>
  <c r="C23" i="5"/>
  <c r="C25" i="5" s="1"/>
  <c r="C49" i="3"/>
  <c r="AQ30" i="1" l="1"/>
  <c r="D20" i="5"/>
  <c r="C24" i="3"/>
  <c r="C35" i="3"/>
  <c r="J23" i="5"/>
  <c r="R23" i="5"/>
  <c r="Z23" i="5"/>
  <c r="AE23" i="5"/>
  <c r="K23" i="5"/>
  <c r="S23" i="5"/>
  <c r="AA23" i="5"/>
  <c r="Q23" i="5"/>
  <c r="D23" i="5"/>
  <c r="L23" i="5"/>
  <c r="T23" i="5"/>
  <c r="AB23" i="5"/>
  <c r="V23" i="5"/>
  <c r="Y23" i="5"/>
  <c r="E23" i="5"/>
  <c r="M23" i="5"/>
  <c r="U23" i="5"/>
  <c r="AC23" i="5"/>
  <c r="F23" i="5"/>
  <c r="N23" i="5"/>
  <c r="AD23" i="5"/>
  <c r="I23" i="5"/>
  <c r="G23" i="5"/>
  <c r="O23" i="5"/>
  <c r="W23" i="5"/>
  <c r="H23" i="5"/>
  <c r="P23" i="5"/>
  <c r="X23" i="5"/>
  <c r="M20" i="5"/>
  <c r="U20" i="5"/>
  <c r="AC20" i="5"/>
  <c r="O20" i="5"/>
  <c r="L20" i="5"/>
  <c r="F20" i="5"/>
  <c r="N20" i="5"/>
  <c r="V20" i="5"/>
  <c r="AD20" i="5"/>
  <c r="G20" i="5"/>
  <c r="W20" i="5"/>
  <c r="H20" i="5"/>
  <c r="P20" i="5"/>
  <c r="X20" i="5"/>
  <c r="R20" i="5"/>
  <c r="AE20" i="5"/>
  <c r="AA20" i="5"/>
  <c r="T20" i="5"/>
  <c r="I20" i="5"/>
  <c r="Q20" i="5"/>
  <c r="Y20" i="5"/>
  <c r="J20" i="5"/>
  <c r="Z20" i="5"/>
  <c r="K20" i="5"/>
  <c r="S20" i="5"/>
  <c r="AB20" i="5"/>
  <c r="AB25" i="5" s="1"/>
  <c r="C18" i="4"/>
  <c r="F25" i="5" l="1"/>
  <c r="AR30" i="1"/>
  <c r="L25" i="5"/>
  <c r="AD25" i="5"/>
  <c r="V25" i="5"/>
  <c r="K25" i="5"/>
  <c r="AC25" i="5"/>
  <c r="T25" i="5"/>
  <c r="U25" i="5"/>
  <c r="G25" i="5"/>
  <c r="R25" i="5"/>
  <c r="H25" i="5"/>
  <c r="I25" i="5"/>
  <c r="AA25" i="5"/>
  <c r="E25" i="5"/>
  <c r="S25" i="5"/>
  <c r="Y25" i="5"/>
  <c r="P25" i="5"/>
  <c r="M25" i="5"/>
  <c r="AE25" i="5"/>
  <c r="Z25" i="5"/>
  <c r="N25" i="5"/>
  <c r="D25" i="5"/>
  <c r="J25" i="5"/>
  <c r="X25" i="5"/>
  <c r="Q25" i="5"/>
  <c r="O25" i="5"/>
  <c r="W25" i="5"/>
  <c r="E42" i="3"/>
  <c r="C42" i="3"/>
  <c r="E36" i="1"/>
  <c r="C36" i="1"/>
  <c r="C35" i="1"/>
  <c r="B35" i="1"/>
  <c r="B36" i="3" l="1"/>
  <c r="Y36" i="3"/>
  <c r="C36" i="3"/>
  <c r="J36" i="3"/>
  <c r="R36" i="3"/>
  <c r="Z36" i="3"/>
  <c r="AF33" i="3"/>
  <c r="K33" i="3"/>
  <c r="S33" i="3"/>
  <c r="AA33" i="3"/>
  <c r="L36" i="3"/>
  <c r="AB36" i="3"/>
  <c r="M33" i="3"/>
  <c r="AC33" i="3"/>
  <c r="M36" i="3"/>
  <c r="F33" i="3"/>
  <c r="V33" i="3"/>
  <c r="F36" i="3"/>
  <c r="V36" i="3"/>
  <c r="O33" i="3"/>
  <c r="R33" i="3"/>
  <c r="AF36" i="3"/>
  <c r="K36" i="3"/>
  <c r="S36" i="3"/>
  <c r="AA36" i="3"/>
  <c r="AE33" i="3"/>
  <c r="L33" i="3"/>
  <c r="T33" i="3"/>
  <c r="AB33" i="3"/>
  <c r="D36" i="3"/>
  <c r="T36" i="3"/>
  <c r="E33" i="3"/>
  <c r="U33" i="3"/>
  <c r="E36" i="3"/>
  <c r="AC36" i="3"/>
  <c r="N33" i="3"/>
  <c r="AD33" i="3"/>
  <c r="N36" i="3"/>
  <c r="AD36" i="3"/>
  <c r="W33" i="3"/>
  <c r="U36" i="3"/>
  <c r="G33" i="3"/>
  <c r="D33" i="3"/>
  <c r="G36" i="3"/>
  <c r="O36" i="3"/>
  <c r="W36" i="3"/>
  <c r="AE36" i="3"/>
  <c r="H33" i="3"/>
  <c r="P33" i="3"/>
  <c r="X33" i="3"/>
  <c r="C33" i="3"/>
  <c r="H36" i="3"/>
  <c r="P36" i="3"/>
  <c r="X36" i="3"/>
  <c r="I33" i="3"/>
  <c r="Q33" i="3"/>
  <c r="Y33" i="3"/>
  <c r="I36" i="3"/>
  <c r="Q36" i="3"/>
  <c r="B33" i="3"/>
  <c r="C31" i="3" s="1"/>
  <c r="J33" i="3"/>
  <c r="Z33" i="3"/>
  <c r="C22" i="1"/>
  <c r="C24" i="1" s="1"/>
  <c r="C21" i="1" s="1"/>
  <c r="K22" i="1"/>
  <c r="S22" i="1"/>
  <c r="AA22" i="1"/>
  <c r="AI22" i="1"/>
  <c r="AI24" i="1" s="1"/>
  <c r="AI21" i="1" s="1"/>
  <c r="AQ22" i="1"/>
  <c r="AQ24" i="1" s="1"/>
  <c r="AQ21" i="1" s="1"/>
  <c r="AY22" i="1"/>
  <c r="AY24" i="1" s="1"/>
  <c r="AY21" i="1" s="1"/>
  <c r="BG22" i="1"/>
  <c r="BG24" i="1" s="1"/>
  <c r="BG21" i="1" s="1"/>
  <c r="W22" i="1"/>
  <c r="BC22" i="1"/>
  <c r="AG22" i="1"/>
  <c r="AG24" i="1" s="1"/>
  <c r="AG21" i="1" s="1"/>
  <c r="BJ22" i="1"/>
  <c r="D22" i="1"/>
  <c r="L22" i="1"/>
  <c r="T22" i="1"/>
  <c r="AB22" i="1"/>
  <c r="AJ22" i="1"/>
  <c r="AJ24" i="1" s="1"/>
  <c r="AJ21" i="1" s="1"/>
  <c r="AR22" i="1"/>
  <c r="AR24" i="1" s="1"/>
  <c r="AR21" i="1" s="1"/>
  <c r="AZ22" i="1"/>
  <c r="BH22" i="1"/>
  <c r="AE22" i="1"/>
  <c r="Q22" i="1"/>
  <c r="BE22" i="1"/>
  <c r="Z22" i="1"/>
  <c r="AP22" i="1"/>
  <c r="AP24" i="1" s="1"/>
  <c r="AP21" i="1" s="1"/>
  <c r="E22" i="1"/>
  <c r="M22" i="1"/>
  <c r="U22" i="1"/>
  <c r="AC22" i="1"/>
  <c r="AK22" i="1"/>
  <c r="AS22" i="1"/>
  <c r="BA22" i="1"/>
  <c r="BI22" i="1"/>
  <c r="O22" i="1"/>
  <c r="AM22" i="1"/>
  <c r="AO22" i="1"/>
  <c r="J22" i="1"/>
  <c r="AX22" i="1"/>
  <c r="AX24" i="1" s="1"/>
  <c r="AX21" i="1" s="1"/>
  <c r="F22" i="1"/>
  <c r="N22" i="1"/>
  <c r="V22" i="1"/>
  <c r="AD22" i="1"/>
  <c r="AL22" i="1"/>
  <c r="AT22" i="1"/>
  <c r="BB22" i="1"/>
  <c r="B22" i="1"/>
  <c r="G22" i="1"/>
  <c r="G24" i="1" s="1"/>
  <c r="G21" i="1" s="1"/>
  <c r="AU22" i="1"/>
  <c r="Y22" i="1"/>
  <c r="R22" i="1"/>
  <c r="H22" i="1"/>
  <c r="P22" i="1"/>
  <c r="X22" i="1"/>
  <c r="AF22" i="1"/>
  <c r="AN22" i="1"/>
  <c r="AV22" i="1"/>
  <c r="BD22" i="1"/>
  <c r="I22" i="1"/>
  <c r="AW22" i="1"/>
  <c r="AH22" i="1"/>
  <c r="AH24" i="1" s="1"/>
  <c r="AH21" i="1" s="1"/>
  <c r="BF22" i="1"/>
  <c r="BF24" i="1" s="1"/>
  <c r="BF21" i="1" s="1"/>
  <c r="AG29" i="1"/>
  <c r="AG31" i="1" s="1"/>
  <c r="AG28" i="1" s="1"/>
  <c r="AH29" i="1"/>
  <c r="AH31" i="1" s="1"/>
  <c r="AH28" i="1" s="1"/>
  <c r="AI29" i="1"/>
  <c r="AI31" i="1" s="1"/>
  <c r="AI28" i="1" s="1"/>
  <c r="AJ29" i="1"/>
  <c r="AJ31" i="1" s="1"/>
  <c r="AJ28" i="1" s="1"/>
  <c r="AK29" i="1"/>
  <c r="AK31" i="1" s="1"/>
  <c r="AK28" i="1" s="1"/>
  <c r="AL29" i="1"/>
  <c r="AL31" i="1" s="1"/>
  <c r="AL28" i="1" s="1"/>
  <c r="AM29" i="1"/>
  <c r="AM31" i="1" s="1"/>
  <c r="AM28" i="1" s="1"/>
  <c r="AN29" i="1"/>
  <c r="AN31" i="1" s="1"/>
  <c r="AN28" i="1" s="1"/>
  <c r="AO29" i="1"/>
  <c r="AO31" i="1" s="1"/>
  <c r="AO28" i="1" s="1"/>
  <c r="AP29" i="1"/>
  <c r="AP31" i="1" s="1"/>
  <c r="AP28" i="1" s="1"/>
  <c r="AR29" i="1"/>
  <c r="AR31" i="1" s="1"/>
  <c r="AR28" i="1" s="1"/>
  <c r="AS30" i="1"/>
  <c r="AQ29" i="1"/>
  <c r="AQ31" i="1" s="1"/>
  <c r="AQ28" i="1" s="1"/>
  <c r="B29" i="1"/>
  <c r="D29" i="1"/>
  <c r="C29" i="1"/>
  <c r="C31" i="1" s="1"/>
  <c r="C28" i="1" s="1"/>
  <c r="AF29" i="1"/>
  <c r="E29" i="1"/>
  <c r="M29" i="1"/>
  <c r="U29" i="1"/>
  <c r="AC29" i="1"/>
  <c r="F29" i="1"/>
  <c r="N29" i="1"/>
  <c r="V29" i="1"/>
  <c r="AD29" i="1"/>
  <c r="K29" i="1"/>
  <c r="AB29" i="1"/>
  <c r="L29" i="1"/>
  <c r="G29" i="1"/>
  <c r="O29" i="1"/>
  <c r="W29" i="1"/>
  <c r="AE29" i="1"/>
  <c r="H29" i="1"/>
  <c r="P29" i="1"/>
  <c r="X29" i="1"/>
  <c r="Q29" i="1"/>
  <c r="Y29" i="1"/>
  <c r="J29" i="1"/>
  <c r="R29" i="1"/>
  <c r="S29" i="1"/>
  <c r="AA29" i="1"/>
  <c r="T29" i="1"/>
  <c r="I29" i="1"/>
  <c r="I31" i="1" s="1"/>
  <c r="I28" i="1" s="1"/>
  <c r="Z29" i="1"/>
  <c r="C19" i="3"/>
  <c r="C22" i="3"/>
  <c r="AE19" i="3"/>
  <c r="B6" i="5"/>
  <c r="C25" i="3"/>
  <c r="E19" i="3"/>
  <c r="C34" i="3"/>
  <c r="B19" i="3"/>
  <c r="C17" i="3" s="1"/>
  <c r="AD22" i="3"/>
  <c r="L22" i="3"/>
  <c r="Y22" i="3"/>
  <c r="M22" i="3"/>
  <c r="AE22" i="3"/>
  <c r="J22" i="3"/>
  <c r="U22" i="3"/>
  <c r="I22" i="3"/>
  <c r="Z22" i="3"/>
  <c r="X22" i="3"/>
  <c r="O22" i="3"/>
  <c r="S22" i="3"/>
  <c r="F22" i="3"/>
  <c r="T22" i="3"/>
  <c r="AF22" i="3"/>
  <c r="N22" i="3"/>
  <c r="R22" i="3"/>
  <c r="AC22" i="3"/>
  <c r="Q22" i="3"/>
  <c r="G22" i="3"/>
  <c r="H22" i="3"/>
  <c r="D32" i="3"/>
  <c r="D31" i="3" s="1"/>
  <c r="P22" i="3"/>
  <c r="E22" i="3"/>
  <c r="K22" i="3"/>
  <c r="W22" i="3"/>
  <c r="D22" i="3"/>
  <c r="AA22" i="3"/>
  <c r="B22" i="3"/>
  <c r="V22" i="3"/>
  <c r="AB22" i="3"/>
  <c r="J25" i="3"/>
  <c r="S25" i="3"/>
  <c r="I19" i="3"/>
  <c r="R19" i="3"/>
  <c r="AA19" i="3"/>
  <c r="K25" i="3"/>
  <c r="R25" i="3"/>
  <c r="AA25" i="3"/>
  <c r="F25" i="3"/>
  <c r="H19" i="3"/>
  <c r="Q19" i="3"/>
  <c r="O19" i="3"/>
  <c r="Z19" i="3"/>
  <c r="M19" i="3"/>
  <c r="S19" i="3"/>
  <c r="H25" i="3"/>
  <c r="I25" i="3"/>
  <c r="G25" i="3"/>
  <c r="Z25" i="3"/>
  <c r="E25" i="3"/>
  <c r="N25" i="3"/>
  <c r="G19" i="3"/>
  <c r="P19" i="3"/>
  <c r="Y19" i="3"/>
  <c r="V19" i="3"/>
  <c r="L19" i="3"/>
  <c r="U19" i="3"/>
  <c r="W19" i="3"/>
  <c r="V25" i="3"/>
  <c r="P25" i="3"/>
  <c r="Q25" i="3"/>
  <c r="AE25" i="3"/>
  <c r="AD25" i="3"/>
  <c r="L25" i="3"/>
  <c r="M25" i="3"/>
  <c r="X19" i="3"/>
  <c r="D19" i="3"/>
  <c r="T19" i="3"/>
  <c r="AC19" i="3"/>
  <c r="AD19" i="3"/>
  <c r="B25" i="3"/>
  <c r="X25" i="3"/>
  <c r="Y25" i="3"/>
  <c r="T25" i="3"/>
  <c r="U25" i="3"/>
  <c r="O25" i="3"/>
  <c r="K19" i="3"/>
  <c r="F19" i="3"/>
  <c r="AB19" i="3"/>
  <c r="J19" i="3"/>
  <c r="AF25" i="3"/>
  <c r="D25" i="3"/>
  <c r="W25" i="3"/>
  <c r="AB25" i="3"/>
  <c r="AC25" i="3"/>
  <c r="AF19" i="3"/>
  <c r="N19" i="3"/>
  <c r="U31" i="1"/>
  <c r="U28" i="1" s="1"/>
  <c r="C30" i="3" l="1"/>
  <c r="B8" i="4"/>
  <c r="B9" i="4" s="1"/>
  <c r="AW24" i="1"/>
  <c r="AW21" i="1" s="1"/>
  <c r="AU24" i="1"/>
  <c r="AU21" i="1" s="1"/>
  <c r="AK24" i="1"/>
  <c r="AK21" i="1" s="1"/>
  <c r="BE24" i="1"/>
  <c r="BE21" i="1" s="1"/>
  <c r="BC24" i="1"/>
  <c r="BC21" i="1" s="1"/>
  <c r="BA24" i="1"/>
  <c r="BA21" i="1" s="1"/>
  <c r="AS24" i="1"/>
  <c r="AS21" i="1" s="1"/>
  <c r="AO24" i="1"/>
  <c r="AO21" i="1" s="1"/>
  <c r="AM24" i="1"/>
  <c r="AM21" i="1" s="1"/>
  <c r="BH24" i="1"/>
  <c r="BH21" i="1" s="1"/>
  <c r="AS29" i="1"/>
  <c r="AS31" i="1" s="1"/>
  <c r="AS28" i="1" s="1"/>
  <c r="AT30" i="1"/>
  <c r="BJ24" i="1"/>
  <c r="BJ21" i="1" s="1"/>
  <c r="AZ24" i="1"/>
  <c r="AZ21" i="1" s="1"/>
  <c r="BD24" i="1"/>
  <c r="BD21" i="1" s="1"/>
  <c r="BB24" i="1"/>
  <c r="BB21" i="1" s="1"/>
  <c r="AV24" i="1"/>
  <c r="AV21" i="1" s="1"/>
  <c r="AT24" i="1"/>
  <c r="AT21" i="1" s="1"/>
  <c r="AN24" i="1"/>
  <c r="AN21" i="1" s="1"/>
  <c r="AL24" i="1"/>
  <c r="AL21" i="1" s="1"/>
  <c r="BI24" i="1"/>
  <c r="BI21" i="1" s="1"/>
  <c r="AC24" i="1"/>
  <c r="AC21" i="1" s="1"/>
  <c r="AE24" i="1"/>
  <c r="AE21" i="1" s="1"/>
  <c r="I24" i="1"/>
  <c r="I21" i="1" s="1"/>
  <c r="T24" i="1"/>
  <c r="T21" i="1" s="1"/>
  <c r="P24" i="1"/>
  <c r="P21" i="1" s="1"/>
  <c r="AF24" i="1"/>
  <c r="AF21" i="1" s="1"/>
  <c r="B41" i="1" s="1"/>
  <c r="B42" i="1" s="1"/>
  <c r="Q24" i="1"/>
  <c r="Q21" i="1" s="1"/>
  <c r="S24" i="1"/>
  <c r="S21" i="1" s="1"/>
  <c r="AB24" i="1"/>
  <c r="AB21" i="1" s="1"/>
  <c r="N24" i="1"/>
  <c r="N21" i="1" s="1"/>
  <c r="X24" i="1"/>
  <c r="X21" i="1" s="1"/>
  <c r="E24" i="1"/>
  <c r="E21" i="1" s="1"/>
  <c r="Y24" i="1"/>
  <c r="Y21" i="1" s="1"/>
  <c r="H24" i="1"/>
  <c r="H21" i="1" s="1"/>
  <c r="O24" i="1"/>
  <c r="O21" i="1" s="1"/>
  <c r="W24" i="1"/>
  <c r="W21" i="1" s="1"/>
  <c r="D24" i="1"/>
  <c r="D21" i="1" s="1"/>
  <c r="AD24" i="1"/>
  <c r="AD21" i="1" s="1"/>
  <c r="K24" i="1"/>
  <c r="K21" i="1" s="1"/>
  <c r="F24" i="1"/>
  <c r="F21" i="1" s="1"/>
  <c r="AA24" i="1"/>
  <c r="AA21" i="1" s="1"/>
  <c r="M24" i="1"/>
  <c r="M21" i="1" s="1"/>
  <c r="V24" i="1"/>
  <c r="V21" i="1" s="1"/>
  <c r="U24" i="1"/>
  <c r="U21" i="1" s="1"/>
  <c r="L24" i="1"/>
  <c r="L21" i="1" s="1"/>
  <c r="D35" i="3"/>
  <c r="D34" i="3" s="1"/>
  <c r="E35" i="3" s="1"/>
  <c r="E34" i="3" s="1"/>
  <c r="F35" i="3" s="1"/>
  <c r="E32" i="3"/>
  <c r="E31" i="3" s="1"/>
  <c r="C20" i="3"/>
  <c r="C23" i="3"/>
  <c r="D24" i="3" s="1"/>
  <c r="D23" i="3" s="1"/>
  <c r="E24" i="3" s="1"/>
  <c r="E23" i="3" s="1"/>
  <c r="F24" i="3" s="1"/>
  <c r="F23" i="3" s="1"/>
  <c r="D18" i="3"/>
  <c r="D17" i="3" s="1"/>
  <c r="AC31" i="1"/>
  <c r="AC28" i="1" s="1"/>
  <c r="AF31" i="1"/>
  <c r="AF28" i="1" s="1"/>
  <c r="Y31" i="1"/>
  <c r="Y28" i="1" s="1"/>
  <c r="P31" i="1"/>
  <c r="P28" i="1" s="1"/>
  <c r="F31" i="1"/>
  <c r="F28" i="1" s="1"/>
  <c r="M31" i="1"/>
  <c r="M28" i="1" s="1"/>
  <c r="G31" i="1"/>
  <c r="G28" i="1" s="1"/>
  <c r="E28" i="1"/>
  <c r="X31" i="1"/>
  <c r="X28" i="1" s="1"/>
  <c r="AA31" i="1"/>
  <c r="AA28" i="1" s="1"/>
  <c r="Q31" i="1"/>
  <c r="Q28" i="1" s="1"/>
  <c r="S31" i="1"/>
  <c r="S28" i="1" s="1"/>
  <c r="O31" i="1"/>
  <c r="O28" i="1" s="1"/>
  <c r="H31" i="1"/>
  <c r="H28" i="1" s="1"/>
  <c r="K31" i="1"/>
  <c r="K28" i="1" s="1"/>
  <c r="W31" i="1"/>
  <c r="W28" i="1" s="1"/>
  <c r="AE31" i="1"/>
  <c r="AE28" i="1" s="1"/>
  <c r="D31" i="1"/>
  <c r="T31" i="1"/>
  <c r="T28" i="1" s="1"/>
  <c r="J24" i="1"/>
  <c r="J21" i="1" s="1"/>
  <c r="R31" i="1"/>
  <c r="R28" i="1" s="1"/>
  <c r="AB31" i="1"/>
  <c r="AB28" i="1" s="1"/>
  <c r="R24" i="1"/>
  <c r="R21" i="1" s="1"/>
  <c r="Z31" i="1"/>
  <c r="Z28" i="1" s="1"/>
  <c r="L31" i="1"/>
  <c r="L28" i="1" s="1"/>
  <c r="J31" i="1"/>
  <c r="J28" i="1" s="1"/>
  <c r="N31" i="1"/>
  <c r="N28" i="1" s="1"/>
  <c r="Z24" i="1"/>
  <c r="Z21" i="1" s="1"/>
  <c r="V31" i="1"/>
  <c r="V28" i="1" s="1"/>
  <c r="AD31" i="1"/>
  <c r="AD28" i="1" s="1"/>
  <c r="E30" i="3" l="1"/>
  <c r="D30" i="3"/>
  <c r="AT29" i="1"/>
  <c r="AT31" i="1" s="1"/>
  <c r="AT28" i="1" s="1"/>
  <c r="AU30" i="1"/>
  <c r="B46" i="1"/>
  <c r="F32" i="3"/>
  <c r="F31" i="3" s="1"/>
  <c r="F30" i="3" s="1"/>
  <c r="C39" i="3"/>
  <c r="E18" i="3"/>
  <c r="E17" i="3" s="1"/>
  <c r="F18" i="3" s="1"/>
  <c r="F17" i="3" s="1"/>
  <c r="G18" i="3" s="1"/>
  <c r="G17" i="3" s="1"/>
  <c r="D21" i="3"/>
  <c r="F34" i="3"/>
  <c r="G35" i="3" s="1"/>
  <c r="G34" i="3" s="1"/>
  <c r="H35" i="3" s="1"/>
  <c r="G24" i="3"/>
  <c r="B44" i="1" l="1"/>
  <c r="B48" i="1" s="1"/>
  <c r="B6" i="1"/>
  <c r="B4" i="4" s="1"/>
  <c r="B5" i="4" s="1"/>
  <c r="AV30" i="1"/>
  <c r="AU29" i="1"/>
  <c r="AU31" i="1" s="1"/>
  <c r="AU28" i="1" s="1"/>
  <c r="G32" i="3"/>
  <c r="G31" i="3" s="1"/>
  <c r="G30" i="3" s="1"/>
  <c r="D20" i="3"/>
  <c r="H34" i="3"/>
  <c r="I35" i="3" s="1"/>
  <c r="G23" i="3"/>
  <c r="H24" i="3" s="1"/>
  <c r="H18" i="3"/>
  <c r="H17" i="3" s="1"/>
  <c r="I18" i="3" s="1"/>
  <c r="I17" i="3" s="1"/>
  <c r="AV29" i="1" l="1"/>
  <c r="AV31" i="1" s="1"/>
  <c r="AV28" i="1" s="1"/>
  <c r="AW30" i="1"/>
  <c r="H32" i="3"/>
  <c r="H31" i="3" s="1"/>
  <c r="H30" i="3" s="1"/>
  <c r="E21" i="3"/>
  <c r="E20" i="3" s="1"/>
  <c r="D39" i="3"/>
  <c r="I34" i="3"/>
  <c r="J35" i="3" s="1"/>
  <c r="H23" i="3"/>
  <c r="I24" i="3" s="1"/>
  <c r="J18" i="3"/>
  <c r="J17" i="3" s="1"/>
  <c r="K18" i="3" s="1"/>
  <c r="K17" i="3" s="1"/>
  <c r="AX30" i="1" l="1"/>
  <c r="AW29" i="1"/>
  <c r="AW31" i="1" s="1"/>
  <c r="AW28" i="1" s="1"/>
  <c r="I32" i="3"/>
  <c r="I31" i="3" s="1"/>
  <c r="I30" i="3" s="1"/>
  <c r="E39" i="3"/>
  <c r="F21" i="3"/>
  <c r="F20" i="3" s="1"/>
  <c r="J34" i="3"/>
  <c r="K35" i="3" s="1"/>
  <c r="I23" i="3"/>
  <c r="J24" i="3" s="1"/>
  <c r="L18" i="3"/>
  <c r="L17" i="3" s="1"/>
  <c r="AY30" i="1" l="1"/>
  <c r="AX29" i="1"/>
  <c r="AX31" i="1" s="1"/>
  <c r="AX28" i="1" s="1"/>
  <c r="J32" i="3"/>
  <c r="J31" i="3" s="1"/>
  <c r="J30" i="3" s="1"/>
  <c r="G21" i="3"/>
  <c r="G20" i="3" s="1"/>
  <c r="F39" i="3"/>
  <c r="K34" i="3"/>
  <c r="L35" i="3" s="1"/>
  <c r="J23" i="3"/>
  <c r="K24" i="3" s="1"/>
  <c r="M18" i="3"/>
  <c r="M17" i="3" s="1"/>
  <c r="N18" i="3" s="1"/>
  <c r="N17" i="3" s="1"/>
  <c r="O18" i="3" s="1"/>
  <c r="O17" i="3" s="1"/>
  <c r="AY29" i="1" l="1"/>
  <c r="AZ30" i="1"/>
  <c r="H21" i="3"/>
  <c r="H20" i="3" s="1"/>
  <c r="G39" i="3"/>
  <c r="L34" i="3"/>
  <c r="M35" i="3" s="1"/>
  <c r="K32" i="3"/>
  <c r="K23" i="3"/>
  <c r="L24" i="3" s="1"/>
  <c r="P18" i="3"/>
  <c r="P17" i="3" s="1"/>
  <c r="BA30" i="1" l="1"/>
  <c r="AZ29" i="1"/>
  <c r="AY31" i="1"/>
  <c r="AY28" i="1" s="1"/>
  <c r="I21" i="3"/>
  <c r="I20" i="3" s="1"/>
  <c r="H39" i="3"/>
  <c r="M34" i="3"/>
  <c r="N35" i="3" s="1"/>
  <c r="N34" i="3" s="1"/>
  <c r="K31" i="3"/>
  <c r="K30" i="3" s="1"/>
  <c r="L23" i="3"/>
  <c r="M24" i="3" s="1"/>
  <c r="M23" i="3" s="1"/>
  <c r="Q18" i="3"/>
  <c r="Q17" i="3" s="1"/>
  <c r="R18" i="3" s="1"/>
  <c r="R17" i="3" s="1"/>
  <c r="S18" i="3" s="1"/>
  <c r="S17" i="3" s="1"/>
  <c r="AZ31" i="1" l="1"/>
  <c r="AZ28" i="1" s="1"/>
  <c r="BB30" i="1"/>
  <c r="BA29" i="1"/>
  <c r="BA31" i="1" s="1"/>
  <c r="BA28" i="1" s="1"/>
  <c r="J21" i="3"/>
  <c r="J20" i="3" s="1"/>
  <c r="I39" i="3"/>
  <c r="O35" i="3"/>
  <c r="L32" i="3"/>
  <c r="N24" i="3"/>
  <c r="T18" i="3"/>
  <c r="T17" i="3" s="1"/>
  <c r="BB29" i="1" l="1"/>
  <c r="BB31" i="1" s="1"/>
  <c r="BB28" i="1" s="1"/>
  <c r="BC30" i="1"/>
  <c r="J39" i="3"/>
  <c r="K21" i="3"/>
  <c r="K20" i="3" s="1"/>
  <c r="K39" i="3" s="1"/>
  <c r="O34" i="3"/>
  <c r="P35" i="3" s="1"/>
  <c r="L31" i="3"/>
  <c r="L30" i="3" s="1"/>
  <c r="N23" i="3"/>
  <c r="O24" i="3" s="1"/>
  <c r="U18" i="3"/>
  <c r="U17" i="3" s="1"/>
  <c r="V18" i="3" s="1"/>
  <c r="V17" i="3" s="1"/>
  <c r="W18" i="3" s="1"/>
  <c r="W17" i="3" s="1"/>
  <c r="BD30" i="1" l="1"/>
  <c r="BC29" i="1"/>
  <c r="BC31" i="1" s="1"/>
  <c r="BC28" i="1" s="1"/>
  <c r="L21" i="3"/>
  <c r="L20" i="3" s="1"/>
  <c r="P34" i="3"/>
  <c r="Q35" i="3" s="1"/>
  <c r="M32" i="3"/>
  <c r="O23" i="3"/>
  <c r="P24" i="3" s="1"/>
  <c r="X18" i="3"/>
  <c r="X17" i="3" s="1"/>
  <c r="Y18" i="3" s="1"/>
  <c r="Y17" i="3" s="1"/>
  <c r="BD29" i="1" l="1"/>
  <c r="BD31" i="1" s="1"/>
  <c r="BD28" i="1" s="1"/>
  <c r="BE30" i="1"/>
  <c r="Q34" i="3"/>
  <c r="R35" i="3" s="1"/>
  <c r="M31" i="3"/>
  <c r="M30" i="3" s="1"/>
  <c r="P23" i="3"/>
  <c r="Q24" i="3" s="1"/>
  <c r="L39" i="3"/>
  <c r="M21" i="3"/>
  <c r="Z18" i="3"/>
  <c r="Z17" i="3" s="1"/>
  <c r="BF30" i="1" l="1"/>
  <c r="BE29" i="1"/>
  <c r="BE31" i="1" s="1"/>
  <c r="BE28" i="1" s="1"/>
  <c r="R34" i="3"/>
  <c r="S35" i="3" s="1"/>
  <c r="N32" i="3"/>
  <c r="Q23" i="3"/>
  <c r="R24" i="3" s="1"/>
  <c r="M20" i="3"/>
  <c r="AA18" i="3"/>
  <c r="AA17" i="3" s="1"/>
  <c r="AB18" i="3" s="1"/>
  <c r="AB17" i="3" s="1"/>
  <c r="BG30" i="1" l="1"/>
  <c r="BF29" i="1"/>
  <c r="S34" i="3"/>
  <c r="T35" i="3" s="1"/>
  <c r="N31" i="3"/>
  <c r="N30" i="3" s="1"/>
  <c r="R23" i="3"/>
  <c r="S24" i="3" s="1"/>
  <c r="M39" i="3"/>
  <c r="N21" i="3"/>
  <c r="N20" i="3" s="1"/>
  <c r="AC18" i="3"/>
  <c r="AC17" i="3" s="1"/>
  <c r="AD18" i="3" s="1"/>
  <c r="BF31" i="1" l="1"/>
  <c r="BF28" i="1" s="1"/>
  <c r="BG29" i="1"/>
  <c r="BG31" i="1" s="1"/>
  <c r="BG28" i="1" s="1"/>
  <c r="BH30" i="1"/>
  <c r="AD17" i="3"/>
  <c r="AE18" i="3" s="1"/>
  <c r="AE17" i="3" s="1"/>
  <c r="AF18" i="3" s="1"/>
  <c r="AF17" i="3" s="1"/>
  <c r="T34" i="3"/>
  <c r="U35" i="3" s="1"/>
  <c r="O32" i="3"/>
  <c r="S23" i="3"/>
  <c r="T24" i="3" s="1"/>
  <c r="O21" i="3"/>
  <c r="BH29" i="1" l="1"/>
  <c r="BH31" i="1" s="1"/>
  <c r="BH28" i="1" s="1"/>
  <c r="BI30" i="1"/>
  <c r="U34" i="3"/>
  <c r="V35" i="3" s="1"/>
  <c r="O31" i="3"/>
  <c r="O30" i="3" s="1"/>
  <c r="N39" i="3"/>
  <c r="T23" i="3"/>
  <c r="U24" i="3" s="1"/>
  <c r="O20" i="3"/>
  <c r="BI29" i="1" l="1"/>
  <c r="BI31" i="1" s="1"/>
  <c r="BI28" i="1" s="1"/>
  <c r="BJ30" i="1"/>
  <c r="BJ29" i="1" s="1"/>
  <c r="BJ31" i="1" s="1"/>
  <c r="BJ28" i="1" s="1"/>
  <c r="V34" i="3"/>
  <c r="W35" i="3" s="1"/>
  <c r="P32" i="3"/>
  <c r="U23" i="3"/>
  <c r="V24" i="3" s="1"/>
  <c r="P21" i="3"/>
  <c r="W34" i="3" l="1"/>
  <c r="X35" i="3" s="1"/>
  <c r="P31" i="3"/>
  <c r="P30" i="3" s="1"/>
  <c r="V23" i="3"/>
  <c r="W24" i="3" s="1"/>
  <c r="O39" i="3"/>
  <c r="P20" i="3"/>
  <c r="X34" i="3" l="1"/>
  <c r="Y35" i="3" s="1"/>
  <c r="Q32" i="3"/>
  <c r="W23" i="3"/>
  <c r="X24" i="3" s="1"/>
  <c r="Q21" i="3"/>
  <c r="Y34" i="3" l="1"/>
  <c r="Z35" i="3" s="1"/>
  <c r="Q31" i="3"/>
  <c r="Q30" i="3" s="1"/>
  <c r="X23" i="3"/>
  <c r="Y24" i="3" s="1"/>
  <c r="Q20" i="3"/>
  <c r="P39" i="3"/>
  <c r="Z34" i="3" l="1"/>
  <c r="AA35" i="3" s="1"/>
  <c r="R32" i="3"/>
  <c r="Y23" i="3"/>
  <c r="Z24" i="3" s="1"/>
  <c r="R21" i="3"/>
  <c r="AA34" i="3" l="1"/>
  <c r="AB35" i="3" s="1"/>
  <c r="R31" i="3"/>
  <c r="R30" i="3" s="1"/>
  <c r="Z23" i="3"/>
  <c r="AA24" i="3" s="1"/>
  <c r="R20" i="3"/>
  <c r="Q39" i="3"/>
  <c r="AB34" i="3" l="1"/>
  <c r="AC35" i="3" s="1"/>
  <c r="S32" i="3"/>
  <c r="AA23" i="3"/>
  <c r="AB24" i="3" s="1"/>
  <c r="S21" i="3"/>
  <c r="AC34" i="3" l="1"/>
  <c r="AD35" i="3" s="1"/>
  <c r="S31" i="3"/>
  <c r="S30" i="3" s="1"/>
  <c r="AB23" i="3"/>
  <c r="AC24" i="3" s="1"/>
  <c r="S20" i="3"/>
  <c r="R39" i="3"/>
  <c r="AD34" i="3" l="1"/>
  <c r="AE35" i="3" s="1"/>
  <c r="AE34" i="3" s="1"/>
  <c r="AF35" i="3" s="1"/>
  <c r="AF34" i="3" s="1"/>
  <c r="T32" i="3"/>
  <c r="AC23" i="3"/>
  <c r="AD24" i="3" s="1"/>
  <c r="T21" i="3"/>
  <c r="T31" i="3" l="1"/>
  <c r="T30" i="3" s="1"/>
  <c r="AD23" i="3"/>
  <c r="AE24" i="3" s="1"/>
  <c r="AE23" i="3" s="1"/>
  <c r="AF24" i="3" s="1"/>
  <c r="AF23" i="3" s="1"/>
  <c r="T20" i="3"/>
  <c r="S39" i="3"/>
  <c r="U32" i="3" l="1"/>
  <c r="U21" i="3"/>
  <c r="T39" i="3" l="1"/>
  <c r="U31" i="3"/>
  <c r="U30" i="3" s="1"/>
  <c r="U20" i="3"/>
  <c r="V32" i="3" l="1"/>
  <c r="V21" i="3"/>
  <c r="U39" i="3" l="1"/>
  <c r="V31" i="3"/>
  <c r="V30" i="3" s="1"/>
  <c r="V20" i="3"/>
  <c r="W32" i="3" l="1"/>
  <c r="W21" i="3"/>
  <c r="V39" i="3" l="1"/>
  <c r="W31" i="3"/>
  <c r="W30" i="3" s="1"/>
  <c r="W20" i="3"/>
  <c r="X32" i="3" l="1"/>
  <c r="X21" i="3"/>
  <c r="W39" i="3" l="1"/>
  <c r="X31" i="3"/>
  <c r="X30" i="3" s="1"/>
  <c r="X20" i="3"/>
  <c r="Y32" i="3" l="1"/>
  <c r="Y21" i="3"/>
  <c r="X39" i="3" l="1"/>
  <c r="Y31" i="3"/>
  <c r="Y30" i="3" s="1"/>
  <c r="Y20" i="3"/>
  <c r="Z32" i="3" l="1"/>
  <c r="Z21" i="3"/>
  <c r="Y39" i="3" l="1"/>
  <c r="Z31" i="3"/>
  <c r="Z30" i="3" s="1"/>
  <c r="Z20" i="3"/>
  <c r="AA32" i="3" l="1"/>
  <c r="AA21" i="3"/>
  <c r="Z39" i="3" l="1"/>
  <c r="AA31" i="3"/>
  <c r="AA30" i="3" s="1"/>
  <c r="AA20" i="3"/>
  <c r="AB32" i="3" l="1"/>
  <c r="AB21" i="3"/>
  <c r="AA39" i="3" l="1"/>
  <c r="AB31" i="3"/>
  <c r="AB30" i="3" s="1"/>
  <c r="AB20" i="3"/>
  <c r="AC32" i="3" l="1"/>
  <c r="AC21" i="3"/>
  <c r="AB39" i="3" l="1"/>
  <c r="AC31" i="3"/>
  <c r="AC30" i="3" s="1"/>
  <c r="AC20" i="3"/>
  <c r="AD32" i="3" l="1"/>
  <c r="AD31" i="3" s="1"/>
  <c r="AD30" i="3" s="1"/>
  <c r="AD21" i="3"/>
  <c r="AC39" i="3" l="1"/>
  <c r="AD20" i="3"/>
  <c r="AE32" i="3" l="1"/>
  <c r="AE31" i="3" s="1"/>
  <c r="AE30" i="3" s="1"/>
  <c r="AE21" i="3"/>
  <c r="AE20" i="3" s="1"/>
  <c r="AD39" i="3" l="1"/>
  <c r="AF32" i="3"/>
  <c r="AF21" i="3"/>
  <c r="AF20" i="3" s="1"/>
  <c r="AF31" i="3" l="1"/>
  <c r="AE39" i="3"/>
  <c r="AF30" i="3" l="1"/>
  <c r="AF39" i="3" s="1"/>
  <c r="B6" i="4" l="1"/>
  <c r="B7" i="4" l="1"/>
  <c r="B11" i="4" s="1"/>
  <c r="B3" i="4"/>
  <c r="B10" i="4" s="1"/>
</calcChain>
</file>

<file path=xl/comments1.xml><?xml version="1.0" encoding="utf-8"?>
<comments xmlns="http://schemas.openxmlformats.org/spreadsheetml/2006/main">
  <authors>
    <author>Florence HEUSCHMIDT</author>
  </authors>
  <commentList>
    <comment ref="A24" authorId="0" shapeId="0">
      <text>
        <r>
          <rPr>
            <sz val="9"/>
            <color indexed="81"/>
            <rFont val="Tahoma"/>
            <family val="2"/>
          </rPr>
          <t>Pour forêt métropolitaine</t>
        </r>
      </text>
    </comment>
    <comment ref="A26" authorId="0" shapeId="0">
      <text>
        <r>
          <rPr>
            <sz val="9"/>
            <color indexed="81"/>
            <rFont val="Tahoma"/>
            <family val="2"/>
          </rPr>
          <t xml:space="preserve">La durée d’un projet de reboisement étant de 30 ans, les entretiens des premières années (dégagements) devant être effectués, le bois mort au sol, sur pied ou chablis sera négligé à la fois dans le scénario de projet et dans le scénario de référence, sauf les stocks déterminés comme d’intérêt écologique par l’inventaire IBP préalable. Les stocks de bois mort laissés sur la parcelle au moment du reboisement devront donc faire l’objet d’une estimation et seront ajoutés au compartiment du bois mort à condition qu’ils soient significatifs. </t>
        </r>
      </text>
    </comment>
    <comment ref="A30" authorId="0" shapeId="0">
      <text>
        <r>
          <rPr>
            <sz val="9"/>
            <color indexed="81"/>
            <rFont val="Tahoma"/>
            <family val="2"/>
          </rPr>
          <t>colonisation lente par des accrus ayant une croissance linéaire de 1 m3/ha/an en volume bois fort (dès l’année 0), donc atteignant un volume bois fort de 30 m3/ha au bout de 30 ans. 
Pour les projets situés dans les GRECO de l’IGN « Méditerranée » et « Corse », pour tenir compte de conditions de production plus faibles et être plus réaliste, cette valeur par défaut sera fixée à 0,5 m3/ha/an en volume bois fort.</t>
        </r>
      </text>
    </comment>
    <comment ref="A31" authorId="0" shapeId="0">
      <text>
        <r>
          <rPr>
            <sz val="9"/>
            <color indexed="81"/>
            <rFont val="Tahoma"/>
            <family val="2"/>
          </rPr>
          <t>Pour forêt métropolitaine</t>
        </r>
      </text>
    </comment>
    <comment ref="A39" authorId="0" shapeId="0">
      <text>
        <r>
          <rPr>
            <b/>
            <sz val="9"/>
            <color indexed="81"/>
            <rFont val="Tahoma"/>
            <family val="2"/>
          </rPr>
          <t>stocks limités à une profondeur de 30 cm</t>
        </r>
      </text>
    </comment>
  </commentList>
</comments>
</file>

<file path=xl/comments2.xml><?xml version="1.0" encoding="utf-8"?>
<comments xmlns="http://schemas.openxmlformats.org/spreadsheetml/2006/main">
  <authors>
    <author>Florence HEUSCHMIDT</author>
  </authors>
  <commentList>
    <comment ref="A16" authorId="0" shapeId="0">
      <text>
        <r>
          <rPr>
            <b/>
            <sz val="9"/>
            <color indexed="81"/>
            <rFont val="Tahoma"/>
            <family val="2"/>
          </rPr>
          <t>Stock de carbone au début de l'année n dans les produits bois déjà récoltés</t>
        </r>
      </text>
    </comment>
    <comment ref="A19" authorId="0" shapeId="0">
      <text>
        <r>
          <rPr>
            <b/>
            <sz val="9"/>
            <color indexed="81"/>
            <rFont val="Tahoma"/>
            <family val="2"/>
          </rPr>
          <t>Flux(n) = flux entrant de carbone au cours de l’année n (sur la période entre l’année n et l’année n+1),
c’est-à-dire le stock de carbone des produits bois récoltés (volume bois fort éclairci) au cours de l’année
n (= 0 en l’absence d’éclaircie). Flux(n) est exprimé en tCO2/ha.</t>
        </r>
      </text>
    </comment>
    <comment ref="A26" authorId="0" shapeId="0">
      <text>
        <r>
          <rPr>
            <sz val="9"/>
            <color indexed="81"/>
            <rFont val="Tahoma"/>
            <family val="2"/>
          </rPr>
          <t xml:space="preserve"> Porteur de projet devra intégrer un rendement
sciage pour les produits bois valorisés dans la catégorie « sciages » ; celui-ci est fixé par défaut à 50 %
(le reste étant valorisé en bois énergie, c’est-à-dire négligé car aucun temps de demi-vie est fixé pour
cette catégorie). Par exemple, une éclaircie qui viserait à produire 60 % de bois d’œuvre (= sciages)
constituerait un stock de carbone que pour 30 % du volume entrant.</t>
        </r>
      </text>
    </comment>
    <comment ref="A30" authorId="0" shapeId="0">
      <text>
        <r>
          <rPr>
            <b/>
            <sz val="9"/>
            <color indexed="81"/>
            <rFont val="Tahoma"/>
            <family val="2"/>
          </rPr>
          <t>Stock de carbone au début de l'année n dans les produits bois déjà récoltés</t>
        </r>
      </text>
    </comment>
  </commentList>
</comments>
</file>

<file path=xl/comments3.xml><?xml version="1.0" encoding="utf-8"?>
<comments xmlns="http://schemas.openxmlformats.org/spreadsheetml/2006/main">
  <authors>
    <author>Florence HEUSCHMIDT</author>
  </authors>
  <commentList>
    <comment ref="A21" authorId="0" shapeId="0">
      <text>
        <r>
          <rPr>
            <b/>
            <sz val="9"/>
            <color indexed="81"/>
            <rFont val="Tahoma"/>
            <family val="2"/>
          </rPr>
          <t>Flux entrant issu des produits bois récoltés au cours de l’année n (sur la période entre l’année n et l’année n+1) dans le scénario de projet</t>
        </r>
      </text>
    </comment>
    <comment ref="A24" authorId="0" shapeId="0">
      <text>
        <r>
          <rPr>
            <b/>
            <sz val="9"/>
            <color indexed="81"/>
            <rFont val="Tahoma"/>
            <family val="2"/>
          </rPr>
          <t>Flux entrant issu des produits bois récoltés au cours de l’année n (sur la période entre l’année n et l’année n+1) dans le scénario de référence
Si essence feuillus : pas d'éclaircie sur les 30ères années, 
si Résineux 1 éclaircie avec pour destination du bois industrie sur les 30ères années.</t>
        </r>
      </text>
    </comment>
  </commentList>
</comments>
</file>

<file path=xl/comments4.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<sst xmlns="http://schemas.openxmlformats.org/spreadsheetml/2006/main" count="310" uniqueCount="225">
  <si>
    <t>REA forêt</t>
  </si>
  <si>
    <t>REA produits</t>
  </si>
  <si>
    <t>Variables scénario de référence</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</si>
  <si>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</si>
  <si>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</si>
  <si>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</si>
  <si>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</si>
  <si>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</si>
  <si>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</si>
  <si>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</si>
  <si>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L0 (carbone de la litière avant le projet de reboisement) (en tC/ha)</t>
  </si>
  <si>
    <t xml:space="preserve">Constantes </t>
  </si>
  <si>
    <t>Carbone organique du sol (n) (en tC/ha)</t>
  </si>
  <si>
    <t>Volume bois fort tige (n) (en m3/ha)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</si>
  <si>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</si>
  <si>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</si>
  <si>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</si>
  <si>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</si>
  <si>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</si>
  <si>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</si>
  <si>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</si>
  <si>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</si>
  <si>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</si>
  <si>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</si>
  <si>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</si>
  <si>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</si>
  <si>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</si>
  <si>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</si>
  <si>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</si>
  <si>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</si>
  <si>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</si>
  <si>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</si>
  <si>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</si>
  <si>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</si>
  <si>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</si>
  <si>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</si>
  <si>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</si>
  <si>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</si>
  <si>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</si>
  <si>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</si>
  <si>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</si>
  <si>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</si>
  <si>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</si>
  <si>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</si>
  <si>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</si>
  <si>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</si>
  <si>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</si>
  <si>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</si>
  <si>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</si>
  <si>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</si>
  <si>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</si>
  <si>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</si>
  <si>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</si>
  <si>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</si>
  <si>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</si>
  <si>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</si>
  <si>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</si>
  <si>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</si>
  <si>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</si>
  <si>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</si>
  <si>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</si>
  <si>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</si>
  <si>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</si>
  <si>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</si>
  <si>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</si>
  <si>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</si>
  <si>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</si>
  <si>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</si>
  <si>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</si>
  <si>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</si>
  <si>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</si>
  <si>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</si>
  <si>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</si>
  <si>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</si>
  <si>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</si>
  <si>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</si>
  <si>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</si>
  <si>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</si>
  <si>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</si>
  <si>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</si>
  <si>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</si>
  <si>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</si>
  <si>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</si>
  <si>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</si>
  <si>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</si>
  <si>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</si>
  <si>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</si>
  <si>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</si>
  <si>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</si>
  <si>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Essence accrus</t>
  </si>
  <si>
    <t xml:space="preserve">REA produits (produits bois) (en tCO2) = </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</si>
  <si>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</si>
  <si>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</si>
  <si>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</si>
  <si>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</si>
  <si>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</si>
  <si>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</si>
  <si>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</si>
  <si>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</si>
  <si>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</si>
  <si>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</si>
  <si>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</si>
  <si>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</si>
  <si>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</si>
  <si>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</si>
  <si>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</si>
  <si>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</si>
  <si>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</si>
  <si>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</si>
  <si>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</si>
  <si>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</si>
  <si>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</si>
  <si>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</si>
  <si>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CS (coefficient de substitution) (en tCO2/m3) scénario référence après récolte</t>
  </si>
  <si>
    <t>Type de friches</t>
  </si>
  <si>
    <t>Résineux pionniers (PM, PA, PS…)</t>
  </si>
  <si>
    <t>Reboisement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</si>
  <si>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</si>
  <si>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</si>
  <si>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</si>
  <si>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</si>
  <si>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</si>
  <si>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</si>
  <si>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</si>
  <si>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</si>
  <si>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</si>
  <si>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</si>
  <si>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</si>
  <si>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</si>
  <si>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</si>
  <si>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</si>
  <si>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</si>
  <si>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</si>
  <si>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</si>
  <si>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</si>
  <si>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</si>
  <si>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</si>
  <si>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</si>
  <si>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</si>
  <si>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</si>
  <si>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</si>
  <si>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</si>
  <si>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</si>
  <si>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</si>
  <si>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</si>
  <si>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Situation de référence</t>
  </si>
  <si>
    <t>Embroussaillement</t>
  </si>
  <si>
    <t>Culture agricole</t>
  </si>
  <si>
    <t>Nature de prairie ou pâture</t>
  </si>
  <si>
    <t>di (infradensité de l'essence) (en tMS/m3)</t>
  </si>
  <si>
    <t>Piquet</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</si>
  <si>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</si>
  <si>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</si>
  <si>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</si>
  <si>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</si>
  <si>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</si>
  <si>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</si>
  <si>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</si>
  <si>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</si>
  <si>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</si>
  <si>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</si>
  <si>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n (années civiles à partir du début du projet) (égal au max entre R et R')</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</si>
  <si>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</si>
  <si>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</si>
  <si>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</si>
  <si>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</si>
  <si>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</si>
  <si>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</si>
  <si>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</si>
  <si>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</si>
  <si>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</si>
  <si>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</si>
  <si>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</si>
  <si>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</si>
  <si>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</si>
  <si>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</si>
  <si>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</si>
  <si>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</si>
  <si>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</si>
  <si>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REA forêt (compartiments forestiers) (en tCO2/ha) =</t>
  </si>
  <si>
    <t xml:space="preserve">REA produits (produits bois) (en tCO2/ha) = </t>
  </si>
  <si>
    <t xml:space="preserve">REE substitution (en tCO2/ha) = </t>
  </si>
  <si>
    <t>Biomasse Aérienne (n) (en tMS/ha)</t>
  </si>
  <si>
    <t>Biomasse Racinaire (n) (en tMS/ha)</t>
  </si>
  <si>
    <t>Litière (n) (en tC/ha)</t>
  </si>
  <si>
    <t>Bois Mort (n) (en tC/ha)</t>
  </si>
  <si>
    <t>S projet (n) (en tCO2/ha)</t>
  </si>
  <si>
    <t>S réf (n) (en tCO2/ha)</t>
  </si>
  <si>
    <t>Flux entrant de carbone en bois de sciage au cours de l'année n et dégradation (en tC/ha)</t>
  </si>
  <si>
    <t>Dégradation du bois de sciage déjà récoltés (en tC/ha)</t>
  </si>
  <si>
    <t>C projet Bois de sciage (n) (en tC/ha)</t>
  </si>
  <si>
    <t>C projet Panneaux de bois (n) (en tC/ha)</t>
  </si>
  <si>
    <t>Dégradation des panneaux de bois déjà récoltés (en tC/ha)</t>
  </si>
  <si>
    <t>Flux entrant de carbone en panneaux de bois  au cours de l'année n et dégradation (en tC/ha)</t>
  </si>
  <si>
    <t>C projet Papier (n) (en tC/ha)</t>
  </si>
  <si>
    <t>Dégradation des papiers déjà récoltés (en tC/ha)</t>
  </si>
  <si>
    <t>Flux entrant de carbone en papiers au cours de l'année n et dégradation (en tC/ha)</t>
  </si>
  <si>
    <t>C projet (n) (en tC/ha)</t>
  </si>
  <si>
    <t>C réf (n) (en tC/ha)</t>
  </si>
  <si>
    <t>C projet (n) - C réf (n) (en tC/ha)</t>
  </si>
  <si>
    <t>CS*Flux projet (n) (en TCO2/ha)</t>
  </si>
  <si>
    <t>Flux projet (n) (en m3/ha)</t>
  </si>
  <si>
    <t>Flux réf (n) (en m3/ha)</t>
  </si>
  <si>
    <t>CS*Flux réf (n) (en TCO2/ha)</t>
  </si>
  <si>
    <t>CSp*Flux projet (n) - CSr*Flux réf (n) (en tCO2/ha)</t>
  </si>
  <si>
    <r>
      <t>deltaS(30) (différence de stock de C à l’année 30 entre le projet et le scénario de référence) (en</t>
    </r>
    <r>
      <rPr>
        <b/>
        <sz val="11"/>
        <color theme="1"/>
        <rFont val="Calibri"/>
        <family val="2"/>
        <scheme val="minor"/>
      </rPr>
      <t xml:space="preserve"> tCO2/ha</t>
    </r>
    <r>
      <rPr>
        <sz val="11"/>
        <color theme="1"/>
        <rFont val="Calibri"/>
        <family val="2"/>
        <scheme val="minor"/>
      </rPr>
      <t xml:space="preserve"> à 30 ans)</t>
    </r>
  </si>
  <si>
    <r>
      <t xml:space="preserve">deltaS(30) (différence de stock de C à l’année 30 entre le projet et le scénario de référence) (en </t>
    </r>
    <r>
      <rPr>
        <b/>
        <sz val="11"/>
        <color theme="1"/>
        <rFont val="Calibri"/>
        <family val="2"/>
        <scheme val="minor"/>
      </rPr>
      <t>tCO2</t>
    </r>
    <r>
      <rPr>
        <sz val="11"/>
        <color theme="1"/>
        <rFont val="Calibri"/>
        <family val="2"/>
        <scheme val="minor"/>
      </rPr>
      <t xml:space="preserve"> à 30 ans)</t>
    </r>
  </si>
  <si>
    <r>
      <t xml:space="preserve">moyenne du carbone stocké dans le projet pendant sa durée de vie (en </t>
    </r>
    <r>
      <rPr>
        <b/>
        <sz val="11"/>
        <color theme="1"/>
        <rFont val="Calibri"/>
        <family val="2"/>
        <scheme val="minor"/>
      </rPr>
      <t>tCO2/ha/an</t>
    </r>
    <r>
      <rPr>
        <sz val="11"/>
        <color theme="1"/>
        <rFont val="Calibri"/>
        <family val="2"/>
        <scheme val="minor"/>
      </rPr>
      <t xml:space="preserve">) </t>
    </r>
  </si>
  <si>
    <r>
      <t xml:space="preserve">moyenne du carbone stocké dans le projet pendant sa durée de vie (en </t>
    </r>
    <r>
      <rPr>
        <b/>
        <sz val="11"/>
        <color theme="1"/>
        <rFont val="Calibri"/>
        <family val="2"/>
        <scheme val="minor"/>
      </rPr>
      <t>tCO2/an</t>
    </r>
    <r>
      <rPr>
        <sz val="11"/>
        <color theme="1"/>
        <rFont val="Calibri"/>
        <family val="2"/>
        <scheme val="minor"/>
      </rPr>
      <t xml:space="preserve">) </t>
    </r>
  </si>
  <si>
    <r>
      <t xml:space="preserve">moyenne du carbone stocké dans le scénario de référence pendant sa durée de vie (en </t>
    </r>
    <r>
      <rPr>
        <b/>
        <sz val="11"/>
        <color theme="1"/>
        <rFont val="Calibri"/>
        <family val="2"/>
        <scheme val="minor"/>
      </rPr>
      <t>tCO2/ha/an</t>
    </r>
    <r>
      <rPr>
        <sz val="11"/>
        <color theme="1"/>
        <rFont val="Calibri"/>
        <family val="2"/>
        <scheme val="minor"/>
      </rPr>
      <t xml:space="preserve">) </t>
    </r>
  </si>
  <si>
    <r>
      <t xml:space="preserve">moyenne du carbone stocké dans le scénario de référence pendant sa durée de vie (en </t>
    </r>
    <r>
      <rPr>
        <b/>
        <sz val="11"/>
        <color theme="1"/>
        <rFont val="Calibri"/>
        <family val="2"/>
        <scheme val="minor"/>
      </rPr>
      <t>tCO2/an</t>
    </r>
    <r>
      <rPr>
        <sz val="11"/>
        <color theme="1"/>
        <rFont val="Calibri"/>
        <family val="2"/>
        <scheme val="minor"/>
      </rPr>
      <t xml:space="preserve">) </t>
    </r>
  </si>
  <si>
    <r>
      <t xml:space="preserve">différence de la moyenne du carbone stocké dans le projet par rapport au scénario de référence pendant sa durée de vie (en </t>
    </r>
    <r>
      <rPr>
        <b/>
        <sz val="11"/>
        <color theme="1"/>
        <rFont val="Calibri"/>
        <family val="2"/>
        <scheme val="minor"/>
      </rPr>
      <t>tCO2/ha/an</t>
    </r>
    <r>
      <rPr>
        <sz val="11"/>
        <color theme="1"/>
        <rFont val="Calibri"/>
        <family val="2"/>
        <scheme val="minor"/>
      </rPr>
      <t xml:space="preserve">) </t>
    </r>
  </si>
  <si>
    <r>
      <t xml:space="preserve">différence de la moyenne du carbone stocké dans le projet par rapport au scénario de référence pendant sa durée de vie (en </t>
    </r>
    <r>
      <rPr>
        <b/>
        <sz val="11"/>
        <color theme="1"/>
        <rFont val="Calibri"/>
        <family val="2"/>
        <scheme val="minor"/>
      </rPr>
      <t>tCO2/an</t>
    </r>
    <r>
      <rPr>
        <sz val="11"/>
        <color theme="1"/>
        <rFont val="Calibri"/>
        <family val="2"/>
        <scheme val="minor"/>
      </rPr>
      <t xml:space="preserve">) </t>
    </r>
  </si>
  <si>
    <t>Moyenne</t>
  </si>
  <si>
    <t>Volume bois fort Bois de sciage (n) (en m3/ha)</t>
  </si>
  <si>
    <t>Volume  bois fort Panneaux de bois (n) (en m3/ha)</t>
  </si>
  <si>
    <t>Volume  bois fort Papier (n) (en m3/ha)</t>
  </si>
  <si>
    <t>Projet situé dans les GRECO de l'IGN "Méditerranée" et "Corse"</t>
  </si>
  <si>
    <t>GRECO IGN</t>
  </si>
  <si>
    <t>OUI</t>
  </si>
  <si>
    <t>NON</t>
  </si>
  <si>
    <t>Si embroussaillement de la parcelle, enfrichement par des :</t>
  </si>
  <si>
    <t>Projet CFBL de reboisement diversifié post tempête dans le Haut Morvan</t>
  </si>
  <si>
    <t>Analyse économique de l’additionnalité</t>
  </si>
  <si>
    <t>Risques généraux difficilement maîtrisables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</si>
</sst>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9"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b/>
      <sz val="22"/>
      <color theme="1"/>
      <name val="Calibri"/>
      <family val="2"/>
      <scheme val="minor"/>
    </font>
  </fonts>
  <fills count="18">
    <fill>
      <patternFill patternType="none"/>
    </fill>
    <fill>
      <patternFill patternType="gray125"/>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99FF99"/>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s>
  <borders count="5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top style="medium">
        <color indexed="64"/>
      </top>
      <bottom/>
      <diagonal/>
    </border>
  </borders>
  <cellStyleXfs count="1">
    <xf numFmtId="0" fontId="0" fillId="0" borderId="0"/>
  </cellStyleXfs>
  <cellXfs count="178">
    <xf numFmtId="0" fontId="0" fillId="0" borderId="0" xfId="0"/>
    <xf numFmtId="0" fontId="0" fillId="0" borderId="0" xfId="0" applyAlignment="1">
      <alignment vertical="center" wrapText="1"/>
    </xf>
    <xf numFmtId="0" fontId="0" fillId="4" borderId="4" xfId="0" applyFill="1" applyBorder="1" applyAlignment="1">
      <alignment vertical="center" wrapText="1"/>
    </xf>
    <xf numFmtId="0" fontId="0" fillId="4" borderId="6" xfId="0" applyFill="1" applyBorder="1" applyAlignment="1">
      <alignment vertical="center" wrapText="1"/>
    </xf>
    <xf numFmtId="0" fontId="0" fillId="4" borderId="8" xfId="0" applyFill="1" applyBorder="1" applyAlignment="1">
      <alignment vertical="center" wrapText="1"/>
    </xf>
    <xf numFmtId="0" fontId="0" fillId="6"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4" borderId="14" xfId="0" applyFill="1" applyBorder="1" applyAlignment="1">
      <alignment vertical="center" wrapText="1"/>
    </xf>
    <xf numFmtId="0" fontId="0" fillId="7" borderId="3" xfId="0" applyFill="1" applyBorder="1" applyAlignment="1">
      <alignment horizontal="center" vertical="center"/>
    </xf>
    <xf numFmtId="0" fontId="0" fillId="7" borderId="10" xfId="0" applyFill="1" applyBorder="1" applyAlignment="1">
      <alignment horizontal="center" vertical="center"/>
    </xf>
    <xf numFmtId="0" fontId="0" fillId="7" borderId="21"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5" borderId="22" xfId="0" applyFont="1" applyFill="1" applyBorder="1" applyAlignment="1">
      <alignment vertical="center" wrapText="1"/>
    </xf>
    <xf numFmtId="0" fontId="0" fillId="7" borderId="9" xfId="0" applyFill="1" applyBorder="1" applyAlignment="1">
      <alignment horizontal="center"/>
    </xf>
    <xf numFmtId="0" fontId="0" fillId="4" borderId="6" xfId="0" applyFill="1" applyBorder="1" applyAlignment="1">
      <alignment horizontal="center" vertical="center" wrapText="1"/>
    </xf>
    <xf numFmtId="0" fontId="0" fillId="0" borderId="20" xfId="0" applyFill="1" applyBorder="1" applyAlignment="1">
      <alignment horizontal="center" vertical="center"/>
    </xf>
    <xf numFmtId="0" fontId="0" fillId="7" borderId="11" xfId="0" applyFill="1" applyBorder="1" applyAlignment="1">
      <alignment horizontal="center" vertical="center"/>
    </xf>
    <xf numFmtId="0" fontId="0" fillId="7" borderId="26" xfId="0" applyFill="1" applyBorder="1" applyAlignment="1">
      <alignment horizontal="center" vertical="center"/>
    </xf>
    <xf numFmtId="0" fontId="0" fillId="0" borderId="27" xfId="0" applyFill="1" applyBorder="1" applyAlignment="1">
      <alignment horizontal="center" vertical="center"/>
    </xf>
    <xf numFmtId="0" fontId="0" fillId="3" borderId="25" xfId="0" applyFill="1" applyBorder="1" applyAlignment="1">
      <alignment horizontal="center" vertical="center"/>
    </xf>
    <xf numFmtId="0" fontId="0" fillId="7" borderId="7" xfId="0" applyFill="1" applyBorder="1" applyAlignment="1">
      <alignment horizontal="center" vertical="center"/>
    </xf>
    <xf numFmtId="0" fontId="0" fillId="7" borderId="28" xfId="0" applyFill="1" applyBorder="1" applyAlignment="1">
      <alignment horizontal="center" vertical="center"/>
    </xf>
    <xf numFmtId="164" fontId="0" fillId="7" borderId="23" xfId="0" applyNumberFormat="1" applyFill="1" applyBorder="1" applyAlignment="1">
      <alignment horizontal="center" vertical="center"/>
    </xf>
    <xf numFmtId="164" fontId="0" fillId="7" borderId="9" xfId="0" applyNumberFormat="1" applyFill="1" applyBorder="1" applyAlignment="1">
      <alignment horizontal="center" vertical="center"/>
    </xf>
    <xf numFmtId="164" fontId="0" fillId="7" borderId="3" xfId="0" applyNumberFormat="1" applyFill="1" applyBorder="1" applyAlignment="1">
      <alignment horizontal="center" vertical="center"/>
    </xf>
    <xf numFmtId="0" fontId="0" fillId="8" borderId="14" xfId="0" applyFill="1" applyBorder="1" applyAlignment="1">
      <alignment vertical="center" wrapText="1"/>
    </xf>
    <xf numFmtId="164" fontId="0" fillId="7" borderId="11" xfId="0" applyNumberFormat="1" applyFill="1" applyBorder="1" applyAlignment="1">
      <alignment horizontal="center" vertical="center"/>
    </xf>
    <xf numFmtId="0" fontId="4" fillId="5" borderId="4" xfId="0" applyFont="1" applyFill="1" applyBorder="1" applyAlignment="1">
      <alignment horizontal="center" vertical="center" wrapText="1"/>
    </xf>
    <xf numFmtId="0" fontId="5" fillId="5" borderId="22" xfId="0" applyFont="1" applyFill="1" applyBorder="1" applyAlignment="1">
      <alignment vertical="center" wrapText="1"/>
    </xf>
    <xf numFmtId="0" fontId="0" fillId="7" borderId="5" xfId="0" applyFill="1" applyBorder="1" applyAlignment="1">
      <alignment horizontal="center" vertical="center"/>
    </xf>
    <xf numFmtId="0" fontId="0" fillId="7" borderId="3" xfId="0" applyFill="1" applyBorder="1" applyAlignment="1">
      <alignment horizontal="center" vertical="center" wrapText="1"/>
    </xf>
    <xf numFmtId="164" fontId="0" fillId="0" borderId="3" xfId="0" applyNumberFormat="1" applyFill="1" applyBorder="1" applyAlignment="1">
      <alignment horizontal="center" vertical="center"/>
    </xf>
    <xf numFmtId="0" fontId="0" fillId="0" borderId="7" xfId="0" applyBorder="1" applyAlignment="1">
      <alignment horizontal="center" vertical="center" wrapText="1"/>
    </xf>
    <xf numFmtId="2" fontId="0" fillId="7" borderId="23" xfId="0" applyNumberFormat="1" applyFill="1" applyBorder="1" applyAlignment="1">
      <alignment horizontal="center" vertical="center"/>
    </xf>
    <xf numFmtId="2" fontId="0" fillId="7"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7" borderId="9" xfId="0" applyFill="1" applyBorder="1" applyAlignment="1">
      <alignment horizontal="center" vertical="center"/>
    </xf>
    <xf numFmtId="0" fontId="0" fillId="10" borderId="6" xfId="0" applyFill="1" applyBorder="1" applyAlignment="1">
      <alignment vertical="center" wrapText="1"/>
    </xf>
    <xf numFmtId="0" fontId="4" fillId="0" borderId="33" xfId="0" applyFont="1" applyBorder="1" applyAlignment="1">
      <alignment horizontal="center" vertical="center" wrapText="1"/>
    </xf>
    <xf numFmtId="0" fontId="4" fillId="5" borderId="6"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0" fillId="0" borderId="0" xfId="0" applyAlignment="1">
      <alignment wrapText="1"/>
    </xf>
    <xf numFmtId="0" fontId="4" fillId="2" borderId="22"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34" xfId="0" applyFill="1" applyBorder="1" applyAlignment="1">
      <alignment horizontal="center" vertical="center" wrapText="1"/>
    </xf>
    <xf numFmtId="0" fontId="0" fillId="0" borderId="3" xfId="0" applyFill="1" applyBorder="1" applyAlignment="1">
      <alignment horizontal="center" vertical="center" wrapText="1"/>
    </xf>
    <xf numFmtId="0" fontId="0" fillId="7" borderId="5" xfId="0" applyFill="1" applyBorder="1" applyAlignment="1">
      <alignment horizontal="center" vertical="center" wrapText="1"/>
    </xf>
    <xf numFmtId="0" fontId="0" fillId="7"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30" xfId="0" applyFill="1" applyBorder="1"/>
    <xf numFmtId="0" fontId="0" fillId="0" borderId="30" xfId="0" applyFill="1" applyBorder="1" applyAlignment="1">
      <alignment horizontal="center" vertical="center"/>
    </xf>
    <xf numFmtId="164" fontId="0" fillId="0" borderId="7" xfId="0" applyNumberFormat="1" applyFill="1" applyBorder="1" applyAlignment="1">
      <alignment horizontal="center" vertical="center"/>
    </xf>
    <xf numFmtId="0" fontId="0" fillId="7" borderId="23" xfId="0" applyFill="1" applyBorder="1" applyAlignment="1">
      <alignment horizontal="center" vertical="center"/>
    </xf>
    <xf numFmtId="0" fontId="0" fillId="7" borderId="20" xfId="0" applyFill="1" applyBorder="1" applyAlignment="1">
      <alignment horizontal="center" vertical="center"/>
    </xf>
    <xf numFmtId="164" fontId="0" fillId="7" borderId="29" xfId="0" applyNumberFormat="1" applyFill="1" applyBorder="1" applyAlignment="1">
      <alignment horizontal="center" vertical="center"/>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9" borderId="6" xfId="0" applyFill="1" applyBorder="1" applyAlignment="1">
      <alignment vertical="center" wrapText="1"/>
    </xf>
    <xf numFmtId="0" fontId="0" fillId="11" borderId="6" xfId="0" applyFill="1" applyBorder="1" applyAlignment="1">
      <alignment vertical="center" wrapText="1"/>
    </xf>
    <xf numFmtId="0" fontId="0" fillId="12" borderId="6" xfId="0" applyFill="1" applyBorder="1" applyAlignment="1">
      <alignment vertical="center" wrapText="1"/>
    </xf>
    <xf numFmtId="0" fontId="0" fillId="7" borderId="3" xfId="0" applyFont="1" applyFill="1" applyBorder="1" applyAlignment="1">
      <alignment horizontal="center" vertical="center" wrapText="1"/>
    </xf>
    <xf numFmtId="0" fontId="0" fillId="4" borderId="14" xfId="0" applyFont="1" applyFill="1" applyBorder="1" applyAlignment="1">
      <alignment horizontal="left" vertical="center" wrapText="1"/>
    </xf>
    <xf numFmtId="0" fontId="0" fillId="7" borderId="7" xfId="0" applyFont="1" applyFill="1" applyBorder="1" applyAlignment="1">
      <alignment horizontal="center" vertical="center" wrapText="1"/>
    </xf>
    <xf numFmtId="0" fontId="4" fillId="2" borderId="35" xfId="0" applyFont="1" applyFill="1" applyBorder="1" applyAlignment="1">
      <alignment horizontal="center" vertical="center"/>
    </xf>
    <xf numFmtId="0" fontId="0" fillId="4" borderId="44"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6" xfId="0" applyFill="1" applyBorder="1" applyAlignment="1">
      <alignment horizontal="center" vertical="center" wrapText="1"/>
    </xf>
    <xf numFmtId="0" fontId="1" fillId="10" borderId="33" xfId="0" applyFont="1" applyFill="1" applyBorder="1" applyAlignment="1">
      <alignment horizontal="center" vertical="center" wrapText="1"/>
    </xf>
    <xf numFmtId="0" fontId="0" fillId="4" borderId="47"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48" xfId="0" applyFill="1" applyBorder="1" applyAlignment="1">
      <alignment horizontal="center" vertical="center" wrapText="1"/>
    </xf>
    <xf numFmtId="0" fontId="1" fillId="10" borderId="49"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50"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37" xfId="0" applyFill="1" applyBorder="1" applyAlignment="1">
      <alignment horizontal="center" vertical="center" wrapText="1"/>
    </xf>
    <xf numFmtId="0" fontId="0" fillId="4" borderId="14" xfId="0" applyFill="1" applyBorder="1" applyAlignment="1">
      <alignment horizontal="center" vertical="center" wrapText="1"/>
    </xf>
    <xf numFmtId="0" fontId="4" fillId="2" borderId="33" xfId="0" applyFont="1" applyFill="1" applyBorder="1" applyAlignment="1">
      <alignment horizontal="center" vertical="center" wrapText="1"/>
    </xf>
    <xf numFmtId="0" fontId="0" fillId="4" borderId="34"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27"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0" xfId="0" applyFill="1" applyBorder="1" applyAlignment="1">
      <alignment horizontal="center" vertical="center" wrapText="1"/>
    </xf>
    <xf numFmtId="0" fontId="0" fillId="4" borderId="41" xfId="0" applyFill="1" applyBorder="1" applyAlignment="1">
      <alignment horizontal="center" vertical="center" wrapText="1"/>
    </xf>
    <xf numFmtId="0" fontId="4" fillId="2" borderId="25" xfId="0" applyFont="1" applyFill="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65" fontId="0" fillId="7" borderId="3" xfId="0" applyNumberFormat="1" applyFill="1" applyBorder="1" applyAlignment="1">
      <alignment horizontal="center" vertical="center"/>
    </xf>
    <xf numFmtId="1" fontId="0" fillId="7" borderId="5" xfId="0" applyNumberFormat="1" applyFill="1" applyBorder="1" applyAlignment="1">
      <alignment horizontal="center" vertical="center"/>
    </xf>
    <xf numFmtId="0" fontId="0" fillId="4" borderId="31" xfId="0" applyFill="1" applyBorder="1" applyAlignment="1">
      <alignment vertical="center" wrapText="1"/>
    </xf>
    <xf numFmtId="1" fontId="0" fillId="7" borderId="9" xfId="0" applyNumberFormat="1" applyFill="1" applyBorder="1" applyAlignment="1">
      <alignment horizontal="center" vertical="center"/>
    </xf>
    <xf numFmtId="0" fontId="0" fillId="3" borderId="5" xfId="0" applyFill="1" applyBorder="1" applyAlignment="1">
      <alignment horizontal="center" vertical="center"/>
    </xf>
    <xf numFmtId="1" fontId="0" fillId="7" borderId="23" xfId="0" applyNumberFormat="1" applyFill="1" applyBorder="1" applyAlignment="1">
      <alignment horizontal="center" vertical="center"/>
    </xf>
    <xf numFmtId="0" fontId="0" fillId="0" borderId="0" xfId="0" applyBorder="1"/>
    <xf numFmtId="0" fontId="0" fillId="7" borderId="23" xfId="0" applyFill="1" applyBorder="1" applyAlignment="1">
      <alignment horizontal="center"/>
    </xf>
    <xf numFmtId="1" fontId="0" fillId="13" borderId="5" xfId="0" applyNumberFormat="1" applyFill="1" applyBorder="1" applyAlignment="1">
      <alignment horizontal="center" vertical="center"/>
    </xf>
    <xf numFmtId="1" fontId="0" fillId="13" borderId="9" xfId="0" applyNumberFormat="1" applyFill="1" applyBorder="1" applyAlignment="1">
      <alignment horizontal="center" vertical="center"/>
    </xf>
    <xf numFmtId="165" fontId="0" fillId="9" borderId="25" xfId="0" applyNumberFormat="1" applyFill="1" applyBorder="1" applyAlignment="1">
      <alignment horizontal="center" vertical="center"/>
    </xf>
    <xf numFmtId="0" fontId="4" fillId="14" borderId="6" xfId="0" applyFont="1" applyFill="1" applyBorder="1" applyAlignment="1">
      <alignment horizontal="center" vertical="center" wrapText="1"/>
    </xf>
    <xf numFmtId="0" fontId="4" fillId="14" borderId="8" xfId="0" applyFont="1" applyFill="1" applyBorder="1" applyAlignment="1">
      <alignment horizontal="center" vertical="center" wrapText="1"/>
    </xf>
    <xf numFmtId="164" fontId="0" fillId="7" borderId="7" xfId="0" applyNumberFormat="1" applyFill="1" applyBorder="1" applyAlignment="1">
      <alignment horizontal="center" vertical="center"/>
    </xf>
    <xf numFmtId="0" fontId="0" fillId="0" borderId="7" xfId="0" applyFill="1" applyBorder="1" applyAlignment="1">
      <alignment horizontal="center" vertical="center"/>
    </xf>
    <xf numFmtId="165" fontId="0" fillId="0" borderId="0" xfId="0" applyNumberFormat="1" applyFill="1" applyBorder="1" applyAlignment="1">
      <alignment horizontal="center" vertical="center"/>
    </xf>
    <xf numFmtId="0" fontId="0" fillId="4" borderId="8" xfId="0" applyFill="1" applyBorder="1" applyAlignment="1">
      <alignment horizontal="center" vertical="center" wrapText="1"/>
    </xf>
    <xf numFmtId="0" fontId="0" fillId="15" borderId="6" xfId="0" applyFill="1" applyBorder="1" applyAlignment="1">
      <alignment vertical="center" wrapText="1"/>
    </xf>
    <xf numFmtId="165" fontId="0" fillId="7" borderId="11" xfId="0" applyNumberFormat="1" applyFill="1" applyBorder="1" applyAlignment="1">
      <alignment horizontal="center" vertical="center"/>
    </xf>
    <xf numFmtId="0" fontId="0" fillId="16" borderId="9" xfId="0" applyFill="1" applyBorder="1" applyAlignment="1">
      <alignment horizontal="center" vertical="center" wrapText="1"/>
    </xf>
    <xf numFmtId="0" fontId="1" fillId="10" borderId="54" xfId="0" applyFont="1" applyFill="1" applyBorder="1" applyAlignment="1">
      <alignment horizontal="center" vertical="center" wrapText="1"/>
    </xf>
    <xf numFmtId="0" fontId="0" fillId="4" borderId="39" xfId="0" applyFill="1" applyBorder="1" applyAlignment="1">
      <alignment horizontal="center" vertical="center" wrapText="1"/>
    </xf>
    <xf numFmtId="165" fontId="0" fillId="0" borderId="3" xfId="0" applyNumberFormat="1" applyBorder="1" applyAlignment="1">
      <alignment horizontal="center" vertical="center"/>
    </xf>
    <xf numFmtId="165" fontId="0" fillId="0" borderId="10" xfId="0" applyNumberFormat="1" applyBorder="1" applyAlignment="1">
      <alignment horizontal="center" vertical="center"/>
    </xf>
    <xf numFmtId="0" fontId="0" fillId="4" borderId="19" xfId="0" applyFill="1" applyBorder="1" applyAlignment="1">
      <alignment horizontal="center" vertical="center" wrapText="1"/>
    </xf>
    <xf numFmtId="0" fontId="0" fillId="4" borderId="8" xfId="0" applyFill="1" applyBorder="1" applyAlignment="1">
      <alignment horizontal="center" vertical="center" wrapText="1"/>
    </xf>
    <xf numFmtId="0" fontId="4" fillId="6" borderId="12" xfId="0" applyFont="1" applyFill="1" applyBorder="1" applyAlignment="1">
      <alignment vertical="center" wrapText="1"/>
    </xf>
    <xf numFmtId="0" fontId="4" fillId="6" borderId="13" xfId="0" applyFont="1" applyFill="1" applyBorder="1" applyAlignment="1">
      <alignment vertical="center" wrapText="1"/>
    </xf>
    <xf numFmtId="0" fontId="1" fillId="6" borderId="16" xfId="0" applyFont="1" applyFill="1" applyBorder="1" applyAlignment="1">
      <alignment vertical="center" wrapText="1"/>
    </xf>
    <xf numFmtId="0" fontId="1" fillId="6" borderId="17" xfId="0" applyFont="1" applyFill="1" applyBorder="1" applyAlignment="1">
      <alignment vertical="center" wrapText="1"/>
    </xf>
    <xf numFmtId="0" fontId="1" fillId="6" borderId="14" xfId="0" applyFont="1" applyFill="1" applyBorder="1" applyAlignment="1">
      <alignment vertical="center" wrapText="1"/>
    </xf>
    <xf numFmtId="0" fontId="1" fillId="6" borderId="15" xfId="0" applyFont="1" applyFill="1" applyBorder="1" applyAlignment="1">
      <alignment vertical="center" wrapText="1"/>
    </xf>
    <xf numFmtId="165" fontId="0" fillId="7" borderId="10" xfId="0" applyNumberFormat="1" applyFill="1" applyBorder="1" applyAlignment="1">
      <alignment horizontal="center" vertical="center"/>
    </xf>
    <xf numFmtId="0" fontId="0" fillId="0" borderId="30" xfId="0" applyBorder="1"/>
    <xf numFmtId="0" fontId="0" fillId="17" borderId="3" xfId="0" applyFill="1" applyBorder="1" applyAlignment="1">
      <alignment horizontal="center" vertical="center"/>
    </xf>
    <xf numFmtId="0" fontId="0" fillId="17" borderId="10" xfId="0" applyFill="1" applyBorder="1" applyAlignment="1">
      <alignment horizontal="center" vertical="center"/>
    </xf>
    <xf numFmtId="165" fontId="6" fillId="9" borderId="25" xfId="0" applyNumberFormat="1" applyFont="1" applyFill="1" applyBorder="1" applyAlignment="1">
      <alignment horizontal="center" vertical="center"/>
    </xf>
    <xf numFmtId="0" fontId="4" fillId="0" borderId="42"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30" xfId="0" applyFont="1" applyFill="1" applyBorder="1" applyAlignment="1">
      <alignment horizontal="center" vertical="center" wrapText="1"/>
    </xf>
    <xf numFmtId="165" fontId="4" fillId="9" borderId="50" xfId="0" applyNumberFormat="1" applyFont="1" applyFill="1" applyBorder="1" applyAlignment="1">
      <alignment horizontal="center" vertical="center" wrapText="1"/>
    </xf>
    <xf numFmtId="165" fontId="4" fillId="9" borderId="10" xfId="0" applyNumberFormat="1" applyFont="1" applyFill="1" applyBorder="1" applyAlignment="1">
      <alignment horizontal="center" vertical="center" wrapText="1"/>
    </xf>
    <xf numFmtId="165" fontId="4" fillId="9" borderId="37" xfId="0" applyNumberFormat="1" applyFont="1" applyFill="1" applyBorder="1" applyAlignment="1">
      <alignment horizontal="center" vertical="center" wrapText="1"/>
    </xf>
    <xf numFmtId="165" fontId="0" fillId="11" borderId="50" xfId="0" applyNumberFormat="1" applyFill="1" applyBorder="1" applyAlignment="1">
      <alignment horizontal="center" vertical="center"/>
    </xf>
    <xf numFmtId="165" fontId="0" fillId="7" borderId="9" xfId="0" applyNumberFormat="1" applyFill="1" applyBorder="1" applyAlignment="1">
      <alignment horizontal="center" vertical="center"/>
    </xf>
    <xf numFmtId="165" fontId="0" fillId="7" borderId="7" xfId="0" applyNumberFormat="1" applyFill="1" applyBorder="1" applyAlignment="1">
      <alignment horizontal="center" vertical="center"/>
    </xf>
    <xf numFmtId="165" fontId="0" fillId="11" borderId="9" xfId="0" applyNumberFormat="1" applyFill="1" applyBorder="1" applyAlignment="1">
      <alignment horizontal="center" vertical="center"/>
    </xf>
    <xf numFmtId="0" fontId="0" fillId="0" borderId="11" xfId="0" applyFill="1" applyBorder="1" applyAlignment="1">
      <alignment horizontal="center" vertical="center" wrapText="1"/>
    </xf>
    <xf numFmtId="0" fontId="0" fillId="7" borderId="9" xfId="0" applyFill="1" applyBorder="1" applyAlignment="1">
      <alignment horizontal="center" vertical="center" wrapText="1"/>
    </xf>
    <xf numFmtId="0" fontId="8" fillId="0" borderId="0" xfId="0" applyFont="1" applyAlignment="1">
      <alignment horizontal="center" vertical="center" wrapText="1"/>
    </xf>
    <xf numFmtId="0" fontId="0" fillId="6" borderId="48" xfId="0" applyFill="1" applyBorder="1" applyAlignment="1">
      <alignment horizontal="center" vertical="center" wrapText="1"/>
    </xf>
    <xf numFmtId="0" fontId="0" fillId="6" borderId="52"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6" borderId="14" xfId="0" applyFont="1" applyFill="1" applyBorder="1" applyAlignment="1">
      <alignment horizontal="center" vertical="center" wrapText="1"/>
    </xf>
    <xf numFmtId="0" fontId="1" fillId="6" borderId="32" xfId="0" applyFont="1" applyFill="1" applyBorder="1" applyAlignment="1">
      <alignment horizontal="center" vertical="center" wrapText="1"/>
    </xf>
    <xf numFmtId="0" fontId="0" fillId="4" borderId="19"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40" xfId="0" applyFill="1" applyBorder="1" applyAlignment="1">
      <alignment horizontal="center" vertical="center" wrapText="1"/>
    </xf>
    <xf numFmtId="0" fontId="0" fillId="4" borderId="31" xfId="0" applyFill="1" applyBorder="1" applyAlignment="1">
      <alignment horizontal="center" vertical="center" wrapText="1"/>
    </xf>
    <xf numFmtId="0" fontId="4" fillId="6" borderId="12" xfId="0" applyFont="1" applyFill="1" applyBorder="1" applyAlignment="1">
      <alignment horizontal="left" vertical="center" wrapText="1"/>
    </xf>
    <xf numFmtId="0" fontId="4" fillId="6" borderId="13" xfId="0" applyFont="1" applyFill="1" applyBorder="1" applyAlignment="1">
      <alignment horizontal="left" vertical="center" wrapText="1"/>
    </xf>
    <xf numFmtId="0" fontId="4" fillId="6" borderId="38"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1" fillId="6" borderId="17" xfId="0" applyFont="1" applyFill="1" applyBorder="1" applyAlignment="1">
      <alignment horizontal="left" vertical="center" wrapText="1"/>
    </xf>
    <xf numFmtId="0" fontId="1" fillId="6" borderId="53"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15" xfId="0" applyFont="1" applyFill="1" applyBorder="1" applyAlignment="1">
      <alignment horizontal="left" vertical="center" wrapText="1"/>
    </xf>
    <xf numFmtId="0" fontId="1" fillId="6" borderId="32" xfId="0" applyFont="1" applyFill="1" applyBorder="1" applyAlignment="1">
      <alignment horizontal="left" vertical="center" wrapText="1"/>
    </xf>
    <xf numFmtId="0" fontId="1" fillId="6" borderId="18"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1" fillId="2" borderId="51"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1" fillId="10" borderId="42" xfId="0" applyFont="1" applyFill="1" applyBorder="1" applyAlignment="1">
      <alignment horizontal="center" vertical="center" wrapText="1"/>
    </xf>
    <xf numFmtId="0" fontId="1" fillId="10" borderId="43" xfId="0" applyFont="1" applyFill="1" applyBorder="1" applyAlignment="1">
      <alignment horizontal="center" vertical="center" wrapText="1"/>
    </xf>
  </cellXfs>
  <cellStyles count="1">
    <cellStyle name="Normal" xfId="0" builtinId="0"/>
  </cellStyles>
  <dxfs count="1">
    <dxf>
      <font>
        <color rgb="FF006100"/>
      </font>
      <fill>
        <patternFill>
          <bgColor rgb="FFC6EFCE"/>
        </patternFill>
      </fill>
    </dxf>
  </dxfs>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48"/>
  <sheetViews>
    <sheetView zoomScale="71" workbookViewId="0">
      <selection activeCell="B10" sqref="B10"/>
    </sheetView>
  </sheetViews>
  <sheetFormatPr baseColWidth="10" defaultRowHeight="14.5" x14ac:dyDescent="0.35"/>
  <cols>
    <col min="1" max="1" width="32.08984375" style="1" customWidth="1"/>
    <col min="2" max="2" width="19.90625" customWidth="1"/>
    <col min="3" max="3" width="12.36328125" bestFit="1" customWidth="1"/>
    <col min="4" max="4" width="13.1796875" customWidth="1"/>
    <col min="5" max="31" width="12.36328125" bestFit="1" customWidth="1"/>
    <col min="32" max="32" width="13.36328125" bestFit="1" customWidth="1"/>
  </cols>
  <sheetData>
    <row r="1" spans="1:9" ht="38" customHeight="1" x14ac:dyDescent="0.35">
      <c r="A1" s="150" t="s">
        <v>222</v>
      </c>
      <c r="B1" s="150"/>
      <c r="C1" s="150"/>
      <c r="D1" s="150"/>
      <c r="E1" s="150"/>
      <c r="F1" s="150"/>
      <c r="G1" s="150"/>
      <c r="H1" s="150"/>
      <c r="I1" s="150"/>
    </row>
    <row r="4" spans="1:9" ht="15" thickBot="1" x14ac:dyDescent="0.4">
      <c r="B4" s="9"/>
    </row>
    <row r="5" spans="1:9" ht="37.5" thickBot="1" x14ac:dyDescent="0.4">
      <c r="A5" s="36" t="s">
        <v>179</v>
      </c>
      <c r="B5" s="137">
        <f>MIN(B41,B47)</f>
        <v>431.93609616068949</v>
      </c>
    </row>
    <row r="6" spans="1:9" ht="37.5" thickBot="1" x14ac:dyDescent="0.4">
      <c r="A6" s="36" t="s">
        <v>156</v>
      </c>
      <c r="B6" s="137">
        <f>B5*B10</f>
        <v>1766.61863329722</v>
      </c>
    </row>
    <row r="8" spans="1:9" ht="15" thickBot="1" x14ac:dyDescent="0.4"/>
    <row r="9" spans="1:9" ht="15" thickBot="1" x14ac:dyDescent="0.4">
      <c r="A9" s="153" t="s">
        <v>14</v>
      </c>
      <c r="B9" s="154"/>
    </row>
    <row r="10" spans="1:9" x14ac:dyDescent="0.35">
      <c r="A10" s="2" t="s">
        <v>7</v>
      </c>
      <c r="B10" s="99">
        <v>4.09</v>
      </c>
    </row>
    <row r="11" spans="1:9" x14ac:dyDescent="0.35">
      <c r="A11" s="3" t="s">
        <v>15</v>
      </c>
      <c r="B11" s="100">
        <v>60</v>
      </c>
    </row>
    <row r="12" spans="1:9" x14ac:dyDescent="0.35">
      <c r="A12" s="3" t="s">
        <v>19</v>
      </c>
      <c r="B12" s="100" t="s">
        <v>21</v>
      </c>
    </row>
    <row r="13" spans="1:9" ht="18.5" customHeight="1" x14ac:dyDescent="0.35">
      <c r="A13" s="3" t="s">
        <v>16</v>
      </c>
      <c r="B13" s="100">
        <v>60</v>
      </c>
    </row>
    <row r="14" spans="1:9" ht="18.5" customHeight="1" x14ac:dyDescent="0.35">
      <c r="A14" s="3" t="s">
        <v>89</v>
      </c>
      <c r="B14" s="100" t="s">
        <v>21</v>
      </c>
    </row>
    <row r="15" spans="1:9" x14ac:dyDescent="0.35">
      <c r="A15" s="3" t="s">
        <v>17</v>
      </c>
      <c r="B15" s="28">
        <v>30</v>
      </c>
    </row>
    <row r="16" spans="1:9" ht="29.5" thickBot="1" x14ac:dyDescent="0.4">
      <c r="A16" s="4" t="s">
        <v>217</v>
      </c>
      <c r="B16" s="120" t="s">
        <v>220</v>
      </c>
    </row>
    <row r="17" spans="1:177" ht="15" thickBot="1" x14ac:dyDescent="0.4"/>
    <row r="18" spans="1:177" s="5" customFormat="1" ht="15.5" x14ac:dyDescent="0.35">
      <c r="A18" s="127" t="s">
        <v>0</v>
      </c>
      <c r="B18" s="128"/>
      <c r="C18" s="128"/>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60"/>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29" x14ac:dyDescent="0.35">
      <c r="A19" s="3" t="s">
        <v>18</v>
      </c>
      <c r="B19" s="12">
        <v>0</v>
      </c>
      <c r="C19" s="12">
        <v>1</v>
      </c>
      <c r="D19" s="12">
        <v>2</v>
      </c>
      <c r="E19" s="12">
        <v>3</v>
      </c>
      <c r="F19" s="12">
        <v>4</v>
      </c>
      <c r="G19" s="12">
        <v>5</v>
      </c>
      <c r="H19" s="12">
        <v>6</v>
      </c>
      <c r="I19" s="12">
        <v>7</v>
      </c>
      <c r="J19" s="12">
        <v>8</v>
      </c>
      <c r="K19" s="12">
        <v>9</v>
      </c>
      <c r="L19" s="12">
        <v>10</v>
      </c>
      <c r="M19" s="12">
        <v>11</v>
      </c>
      <c r="N19" s="12">
        <v>12</v>
      </c>
      <c r="O19" s="12">
        <v>13</v>
      </c>
      <c r="P19" s="12">
        <v>14</v>
      </c>
      <c r="Q19" s="12">
        <v>15</v>
      </c>
      <c r="R19" s="12">
        <v>16</v>
      </c>
      <c r="S19" s="12">
        <v>17</v>
      </c>
      <c r="T19" s="12">
        <v>18</v>
      </c>
      <c r="U19" s="12">
        <v>19</v>
      </c>
      <c r="V19" s="12">
        <v>20</v>
      </c>
      <c r="W19" s="12">
        <v>21</v>
      </c>
      <c r="X19" s="12">
        <v>22</v>
      </c>
      <c r="Y19" s="12">
        <v>23</v>
      </c>
      <c r="Z19" s="12">
        <v>24</v>
      </c>
      <c r="AA19" s="135">
        <v>25</v>
      </c>
      <c r="AB19" s="12">
        <v>26</v>
      </c>
      <c r="AC19" s="12">
        <v>27</v>
      </c>
      <c r="AD19" s="12">
        <v>28</v>
      </c>
      <c r="AE19" s="12">
        <v>29</v>
      </c>
      <c r="AF19" s="13">
        <v>30</v>
      </c>
      <c r="AG19" s="12">
        <v>31</v>
      </c>
      <c r="AH19" s="136">
        <v>32</v>
      </c>
      <c r="AI19" s="12">
        <v>33</v>
      </c>
      <c r="AJ19" s="13">
        <v>34</v>
      </c>
      <c r="AK19" s="12">
        <v>35</v>
      </c>
      <c r="AL19" s="13">
        <v>36</v>
      </c>
      <c r="AM19" s="12">
        <v>37</v>
      </c>
      <c r="AN19" s="13">
        <v>38</v>
      </c>
      <c r="AO19" s="135">
        <v>39</v>
      </c>
      <c r="AP19" s="13">
        <v>40</v>
      </c>
      <c r="AQ19" s="12">
        <v>41</v>
      </c>
      <c r="AR19" s="13">
        <v>42</v>
      </c>
      <c r="AS19" s="12">
        <v>43</v>
      </c>
      <c r="AT19" s="13">
        <v>44</v>
      </c>
      <c r="AU19" s="12">
        <v>45</v>
      </c>
      <c r="AV19" s="136">
        <v>46</v>
      </c>
      <c r="AW19" s="12">
        <v>47</v>
      </c>
      <c r="AX19" s="13">
        <v>48</v>
      </c>
      <c r="AY19" s="12">
        <v>49</v>
      </c>
      <c r="AZ19" s="13">
        <v>50</v>
      </c>
      <c r="BA19" s="12">
        <v>51</v>
      </c>
      <c r="BB19" s="13">
        <v>52</v>
      </c>
      <c r="BC19" s="135">
        <v>53</v>
      </c>
      <c r="BD19" s="13">
        <v>54</v>
      </c>
      <c r="BE19" s="12">
        <v>55</v>
      </c>
      <c r="BF19" s="13">
        <v>56</v>
      </c>
      <c r="BG19" s="12">
        <v>57</v>
      </c>
      <c r="BH19" s="13">
        <v>58</v>
      </c>
      <c r="BI19" s="12">
        <v>59</v>
      </c>
      <c r="BJ19" s="136">
        <v>60</v>
      </c>
      <c r="BK19" s="60"/>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129" t="s">
        <v>3</v>
      </c>
      <c r="B20" s="130"/>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c r="BD20" s="130"/>
      <c r="BE20" s="130"/>
      <c r="BF20" s="130"/>
      <c r="BG20" s="130"/>
      <c r="BH20" s="130"/>
      <c r="BI20" s="130"/>
      <c r="BJ20" s="130"/>
      <c r="BK20" s="60"/>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186</v>
      </c>
      <c r="B21" s="101">
        <f t="shared" ref="B21:AG21" si="0">(((B22+B24)*$B$34)+$B$39+B25+B26)*(44/12)</f>
        <v>256.66666666666663</v>
      </c>
      <c r="C21" s="101">
        <f t="shared" si="0"/>
        <v>269.34542590771196</v>
      </c>
      <c r="D21" s="101">
        <f t="shared" si="0"/>
        <v>281.53104425053641</v>
      </c>
      <c r="E21" s="101">
        <f t="shared" si="0"/>
        <v>293.55740283736003</v>
      </c>
      <c r="F21" s="101">
        <f t="shared" si="0"/>
        <v>305.48559000501905</v>
      </c>
      <c r="G21" s="101">
        <f t="shared" si="0"/>
        <v>317.34329299037563</v>
      </c>
      <c r="H21" s="101">
        <f t="shared" si="0"/>
        <v>329.1463057493105</v>
      </c>
      <c r="I21" s="101">
        <f t="shared" si="0"/>
        <v>340.9048100344977</v>
      </c>
      <c r="J21" s="101">
        <f t="shared" si="0"/>
        <v>352.62589783865002</v>
      </c>
      <c r="K21" s="101">
        <f t="shared" si="0"/>
        <v>364.31478186662872</v>
      </c>
      <c r="L21" s="101">
        <f t="shared" si="0"/>
        <v>375.97544848799043</v>
      </c>
      <c r="M21" s="101">
        <f t="shared" si="0"/>
        <v>387.61104066227</v>
      </c>
      <c r="N21" s="101">
        <f t="shared" si="0"/>
        <v>399.22409712548313</v>
      </c>
      <c r="O21" s="101">
        <f t="shared" si="0"/>
        <v>410.81670936273662</v>
      </c>
      <c r="P21" s="101">
        <f t="shared" si="0"/>
        <v>422.39062881376486</v>
      </c>
      <c r="Q21" s="101">
        <f t="shared" si="0"/>
        <v>433.94734253479243</v>
      </c>
      <c r="R21" s="101">
        <f t="shared" si="0"/>
        <v>445.48812809059581</v>
      </c>
      <c r="S21" s="101">
        <f t="shared" si="0"/>
        <v>457.01409432433013</v>
      </c>
      <c r="T21" s="101">
        <f t="shared" si="0"/>
        <v>468.52621225767848</v>
      </c>
      <c r="U21" s="101">
        <f t="shared" si="0"/>
        <v>480.02533892743884</v>
      </c>
      <c r="V21" s="101">
        <f t="shared" si="0"/>
        <v>515.49954683821829</v>
      </c>
      <c r="W21" s="101">
        <f t="shared" si="0"/>
        <v>550.85937291800087</v>
      </c>
      <c r="X21" s="101">
        <f t="shared" si="0"/>
        <v>586.12140518931255</v>
      </c>
      <c r="Y21" s="101">
        <f t="shared" si="0"/>
        <v>621.29818712114263</v>
      </c>
      <c r="Z21" s="101">
        <f t="shared" si="0"/>
        <v>656.39952191038708</v>
      </c>
      <c r="AA21" s="101">
        <f t="shared" si="0"/>
        <v>643.7923707652626</v>
      </c>
      <c r="AB21" s="101">
        <f t="shared" si="0"/>
        <v>678.13866362338695</v>
      </c>
      <c r="AC21" s="101">
        <f t="shared" si="0"/>
        <v>712.42386481418339</v>
      </c>
      <c r="AD21" s="101">
        <f t="shared" si="0"/>
        <v>746.65341731636772</v>
      </c>
      <c r="AE21" s="101">
        <f t="shared" si="0"/>
        <v>780.8319119979642</v>
      </c>
      <c r="AF21" s="101">
        <f t="shared" si="0"/>
        <v>814.96327065429386</v>
      </c>
      <c r="AG21" s="101">
        <f t="shared" si="0"/>
        <v>846.41087071486868</v>
      </c>
      <c r="AH21" s="101">
        <f t="shared" ref="AH21:BM21" si="1">(((AH22+AH24)*$B$34)+$B$39+AH25+AH26)*(44/12)</f>
        <v>812.8338218405388</v>
      </c>
      <c r="AI21" s="101">
        <f t="shared" si="1"/>
        <v>844.28404656907855</v>
      </c>
      <c r="AJ21" s="101">
        <f t="shared" si="1"/>
        <v>875.69664906570017</v>
      </c>
      <c r="AK21" s="101">
        <f t="shared" si="1"/>
        <v>907.07394079832682</v>
      </c>
      <c r="AL21" s="101">
        <f t="shared" si="1"/>
        <v>935.59125989128324</v>
      </c>
      <c r="AM21" s="101">
        <f t="shared" si="1"/>
        <v>964.08244914632678</v>
      </c>
      <c r="AN21" s="101">
        <f t="shared" si="1"/>
        <v>992.5487729051481</v>
      </c>
      <c r="AO21" s="101">
        <f t="shared" si="1"/>
        <v>944.54165855437964</v>
      </c>
      <c r="AP21" s="101">
        <f t="shared" si="1"/>
        <v>973.02490817412865</v>
      </c>
      <c r="AQ21" s="101">
        <f t="shared" si="1"/>
        <v>996.89894487145159</v>
      </c>
      <c r="AR21" s="101">
        <f t="shared" si="1"/>
        <v>1020.7564156571631</v>
      </c>
      <c r="AS21" s="101">
        <f t="shared" si="1"/>
        <v>1044.5979395948057</v>
      </c>
      <c r="AT21" s="101">
        <f t="shared" si="1"/>
        <v>1068.4240933050035</v>
      </c>
      <c r="AU21" s="101">
        <f t="shared" si="1"/>
        <v>1092.2354151164539</v>
      </c>
      <c r="AV21" s="101">
        <f t="shared" si="1"/>
        <v>1028.6270269832719</v>
      </c>
      <c r="AW21" s="101">
        <f t="shared" si="1"/>
        <v>1047.1808170208287</v>
      </c>
      <c r="AX21" s="101">
        <f t="shared" si="1"/>
        <v>1065.7253331023655</v>
      </c>
      <c r="AY21" s="101">
        <f t="shared" si="1"/>
        <v>1084.2608290088158</v>
      </c>
      <c r="AZ21" s="101">
        <f t="shared" si="1"/>
        <v>1102.7875456696377</v>
      </c>
      <c r="BA21" s="101">
        <f t="shared" si="1"/>
        <v>1116.8527449236265</v>
      </c>
      <c r="BB21" s="101">
        <f t="shared" si="1"/>
        <v>1130.9131083957398</v>
      </c>
      <c r="BC21" s="101">
        <f t="shared" si="1"/>
        <v>1051.1721833116746</v>
      </c>
      <c r="BD21" s="101">
        <f t="shared" si="1"/>
        <v>1065.2559640139302</v>
      </c>
      <c r="BE21" s="101">
        <f t="shared" si="1"/>
        <v>1079.3345382523596</v>
      </c>
      <c r="BF21" s="101">
        <f t="shared" si="1"/>
        <v>1089.1864994735292</v>
      </c>
      <c r="BG21" s="101">
        <f t="shared" si="1"/>
        <v>1099.0359969894535</v>
      </c>
      <c r="BH21" s="101">
        <f t="shared" si="1"/>
        <v>1108.8830651477222</v>
      </c>
      <c r="BI21" s="101">
        <f t="shared" si="1"/>
        <v>1118.7277373993179</v>
      </c>
      <c r="BJ21" s="133">
        <f t="shared" si="1"/>
        <v>1128.5700463326614</v>
      </c>
      <c r="BK21" s="60"/>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3" t="s">
        <v>182</v>
      </c>
      <c r="B22" s="101">
        <f>B23*$B$35*$C$36</f>
        <v>0</v>
      </c>
      <c r="C22" s="101">
        <f t="shared" ref="C22:BI22" si="2">C23*$B$35*$C$36</f>
        <v>4.7515000000000001</v>
      </c>
      <c r="D22" s="101">
        <f t="shared" si="2"/>
        <v>9.5030000000000001</v>
      </c>
      <c r="E22" s="101">
        <f t="shared" si="2"/>
        <v>14.254499999999998</v>
      </c>
      <c r="F22" s="101">
        <f t="shared" si="2"/>
        <v>19.006</v>
      </c>
      <c r="G22" s="101">
        <f t="shared" si="2"/>
        <v>23.7575</v>
      </c>
      <c r="H22" s="101">
        <f t="shared" si="2"/>
        <v>28.508999999999997</v>
      </c>
      <c r="I22" s="101">
        <f t="shared" si="2"/>
        <v>33.2605</v>
      </c>
      <c r="J22" s="101">
        <f t="shared" si="2"/>
        <v>38.012</v>
      </c>
      <c r="K22" s="101">
        <f t="shared" si="2"/>
        <v>42.763500000000001</v>
      </c>
      <c r="L22" s="101">
        <f t="shared" si="2"/>
        <v>47.515000000000001</v>
      </c>
      <c r="M22" s="101">
        <f t="shared" si="2"/>
        <v>52.266500000000001</v>
      </c>
      <c r="N22" s="101">
        <f t="shared" si="2"/>
        <v>57.017999999999994</v>
      </c>
      <c r="O22" s="101">
        <f t="shared" si="2"/>
        <v>61.769500000000001</v>
      </c>
      <c r="P22" s="101">
        <f t="shared" si="2"/>
        <v>66.521000000000001</v>
      </c>
      <c r="Q22" s="101">
        <f t="shared" si="2"/>
        <v>71.272499999999994</v>
      </c>
      <c r="R22" s="101">
        <f t="shared" si="2"/>
        <v>76.024000000000001</v>
      </c>
      <c r="S22" s="101">
        <f t="shared" si="2"/>
        <v>80.775499999999994</v>
      </c>
      <c r="T22" s="101">
        <f t="shared" si="2"/>
        <v>85.527000000000001</v>
      </c>
      <c r="U22" s="101">
        <f t="shared" si="2"/>
        <v>90.278500000000008</v>
      </c>
      <c r="V22" s="101">
        <f t="shared" si="2"/>
        <v>106.1541</v>
      </c>
      <c r="W22" s="101">
        <f t="shared" si="2"/>
        <v>122.02970000000001</v>
      </c>
      <c r="X22" s="101">
        <f t="shared" si="2"/>
        <v>137.90530000000001</v>
      </c>
      <c r="Y22" s="101">
        <f t="shared" si="2"/>
        <v>153.78090000000003</v>
      </c>
      <c r="Z22" s="101">
        <f t="shared" si="2"/>
        <v>169.65649999999999</v>
      </c>
      <c r="AA22" s="101">
        <f t="shared" si="2"/>
        <v>163.17209999999997</v>
      </c>
      <c r="AB22" s="101">
        <f t="shared" si="2"/>
        <v>178.7123</v>
      </c>
      <c r="AC22" s="101">
        <f t="shared" si="2"/>
        <v>194.2525</v>
      </c>
      <c r="AD22" s="101">
        <f t="shared" si="2"/>
        <v>209.79270000000002</v>
      </c>
      <c r="AE22" s="101">
        <f t="shared" si="2"/>
        <v>225.33290000000002</v>
      </c>
      <c r="AF22" s="101">
        <f t="shared" si="2"/>
        <v>240.87310000000002</v>
      </c>
      <c r="AG22" s="101">
        <f t="shared" si="2"/>
        <v>255.74250000000004</v>
      </c>
      <c r="AH22" s="101">
        <f t="shared" si="2"/>
        <v>239.86690000000007</v>
      </c>
      <c r="AI22" s="101">
        <f t="shared" si="2"/>
        <v>254.73630000000009</v>
      </c>
      <c r="AJ22" s="101">
        <f t="shared" si="2"/>
        <v>269.60570000000007</v>
      </c>
      <c r="AK22" s="101">
        <f t="shared" si="2"/>
        <v>284.47510000000005</v>
      </c>
      <c r="AL22" s="101">
        <f t="shared" si="2"/>
        <v>298.00290000000007</v>
      </c>
      <c r="AM22" s="101">
        <f t="shared" si="2"/>
        <v>311.53070000000008</v>
      </c>
      <c r="AN22" s="101">
        <f t="shared" si="2"/>
        <v>325.05850000000009</v>
      </c>
      <c r="AO22" s="101">
        <f t="shared" si="2"/>
        <v>302.25130000000019</v>
      </c>
      <c r="AP22" s="101">
        <f t="shared" si="2"/>
        <v>315.7791000000002</v>
      </c>
      <c r="AQ22" s="101">
        <f t="shared" si="2"/>
        <v>327.12680000000012</v>
      </c>
      <c r="AR22" s="101">
        <f t="shared" si="2"/>
        <v>338.47450000000015</v>
      </c>
      <c r="AS22" s="101">
        <f t="shared" si="2"/>
        <v>349.82220000000012</v>
      </c>
      <c r="AT22" s="101">
        <f t="shared" si="2"/>
        <v>361.1699000000001</v>
      </c>
      <c r="AU22" s="101">
        <f t="shared" si="2"/>
        <v>372.51760000000007</v>
      </c>
      <c r="AV22" s="101">
        <f t="shared" si="2"/>
        <v>342.21980000000008</v>
      </c>
      <c r="AW22" s="101">
        <f t="shared" si="2"/>
        <v>351.05199999999996</v>
      </c>
      <c r="AX22" s="101">
        <f t="shared" si="2"/>
        <v>359.88419999999996</v>
      </c>
      <c r="AY22" s="101">
        <f t="shared" si="2"/>
        <v>368.71639999999996</v>
      </c>
      <c r="AZ22" s="101">
        <f t="shared" si="2"/>
        <v>377.54859999999996</v>
      </c>
      <c r="BA22" s="101">
        <f t="shared" si="2"/>
        <v>384.25659999999993</v>
      </c>
      <c r="BB22" s="101">
        <f t="shared" si="2"/>
        <v>390.9645999999999</v>
      </c>
      <c r="BC22" s="101">
        <f t="shared" si="2"/>
        <v>352.9525999999999</v>
      </c>
      <c r="BD22" s="101">
        <f t="shared" si="2"/>
        <v>359.66059999999993</v>
      </c>
      <c r="BE22" s="101">
        <f t="shared" si="2"/>
        <v>366.36859999999996</v>
      </c>
      <c r="BF22" s="101">
        <f t="shared" si="2"/>
        <v>371.06419999999991</v>
      </c>
      <c r="BG22" s="101">
        <f t="shared" si="2"/>
        <v>375.75979999999993</v>
      </c>
      <c r="BH22" s="101">
        <f t="shared" si="2"/>
        <v>380.45539999999988</v>
      </c>
      <c r="BI22" s="101">
        <f t="shared" si="2"/>
        <v>385.15099999999984</v>
      </c>
      <c r="BJ22" s="101">
        <f>BJ23*$B$35*$C$36</f>
        <v>389.84659999999985</v>
      </c>
      <c r="BK22" s="60"/>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18" t="s">
        <v>13</v>
      </c>
      <c r="B23" s="123">
        <v>0</v>
      </c>
      <c r="C23" s="123">
        <f>B23+8.5</f>
        <v>8.5</v>
      </c>
      <c r="D23" s="123">
        <f t="shared" ref="D23:U23" si="3">C23+8.5</f>
        <v>17</v>
      </c>
      <c r="E23" s="123">
        <f t="shared" si="3"/>
        <v>25.5</v>
      </c>
      <c r="F23" s="123">
        <f t="shared" si="3"/>
        <v>34</v>
      </c>
      <c r="G23" s="123">
        <f t="shared" si="3"/>
        <v>42.5</v>
      </c>
      <c r="H23" s="123">
        <f t="shared" si="3"/>
        <v>51</v>
      </c>
      <c r="I23" s="123">
        <f t="shared" si="3"/>
        <v>59.5</v>
      </c>
      <c r="J23" s="123">
        <f t="shared" si="3"/>
        <v>68</v>
      </c>
      <c r="K23" s="123">
        <f t="shared" si="3"/>
        <v>76.5</v>
      </c>
      <c r="L23" s="123">
        <f t="shared" si="3"/>
        <v>85</v>
      </c>
      <c r="M23" s="123">
        <f t="shared" si="3"/>
        <v>93.5</v>
      </c>
      <c r="N23" s="123">
        <f t="shared" si="3"/>
        <v>102</v>
      </c>
      <c r="O23" s="123">
        <f t="shared" si="3"/>
        <v>110.5</v>
      </c>
      <c r="P23" s="123">
        <f t="shared" si="3"/>
        <v>119</v>
      </c>
      <c r="Q23" s="123">
        <f t="shared" si="3"/>
        <v>127.5</v>
      </c>
      <c r="R23" s="123">
        <f t="shared" si="3"/>
        <v>136</v>
      </c>
      <c r="S23" s="123">
        <f t="shared" si="3"/>
        <v>144.5</v>
      </c>
      <c r="T23" s="123">
        <f t="shared" si="3"/>
        <v>153</v>
      </c>
      <c r="U23" s="123">
        <f t="shared" si="3"/>
        <v>161.5</v>
      </c>
      <c r="V23" s="123">
        <f>U23+28.4</f>
        <v>189.9</v>
      </c>
      <c r="W23" s="123">
        <f t="shared" ref="W23:Z23" si="4">V23+28.4</f>
        <v>218.3</v>
      </c>
      <c r="X23" s="123">
        <f t="shared" si="4"/>
        <v>246.70000000000002</v>
      </c>
      <c r="Y23" s="123">
        <f t="shared" si="4"/>
        <v>275.10000000000002</v>
      </c>
      <c r="Z23" s="123">
        <f t="shared" si="4"/>
        <v>303.5</v>
      </c>
      <c r="AA23" s="123">
        <f>Z23+28.4-40</f>
        <v>291.89999999999998</v>
      </c>
      <c r="AB23" s="123">
        <f>AA23+27.8</f>
        <v>319.7</v>
      </c>
      <c r="AC23" s="123">
        <f t="shared" ref="AC23:AF23" si="5">AB23+27.8</f>
        <v>347.5</v>
      </c>
      <c r="AD23" s="123">
        <f t="shared" si="5"/>
        <v>375.3</v>
      </c>
      <c r="AE23" s="123">
        <f t="shared" si="5"/>
        <v>403.1</v>
      </c>
      <c r="AF23" s="123">
        <f t="shared" si="5"/>
        <v>430.90000000000003</v>
      </c>
      <c r="AG23" s="123">
        <f>AF23+26.6</f>
        <v>457.50000000000006</v>
      </c>
      <c r="AH23" s="123">
        <f>AG23+26.6-55</f>
        <v>429.10000000000008</v>
      </c>
      <c r="AI23" s="123">
        <f t="shared" ref="AI23:AK23" si="6">AH23+26.6</f>
        <v>455.7000000000001</v>
      </c>
      <c r="AJ23" s="123">
        <f t="shared" si="6"/>
        <v>482.30000000000013</v>
      </c>
      <c r="AK23" s="123">
        <f t="shared" si="6"/>
        <v>508.90000000000015</v>
      </c>
      <c r="AL23" s="123">
        <f>AK23+24.2</f>
        <v>533.10000000000014</v>
      </c>
      <c r="AM23" s="123">
        <f t="shared" ref="AM23:AP23" si="7">AL23+24.2</f>
        <v>557.30000000000018</v>
      </c>
      <c r="AN23" s="123">
        <f t="shared" si="7"/>
        <v>581.50000000000023</v>
      </c>
      <c r="AO23" s="123">
        <f>AN23+24.2-65</f>
        <v>540.70000000000027</v>
      </c>
      <c r="AP23" s="123">
        <f t="shared" si="7"/>
        <v>564.90000000000032</v>
      </c>
      <c r="AQ23" s="123">
        <f>AP23+20.3</f>
        <v>585.20000000000027</v>
      </c>
      <c r="AR23" s="123">
        <f t="shared" ref="AR23:AU23" si="8">AQ23+20.3</f>
        <v>605.50000000000023</v>
      </c>
      <c r="AS23" s="123">
        <f t="shared" si="8"/>
        <v>625.80000000000018</v>
      </c>
      <c r="AT23" s="123">
        <f t="shared" si="8"/>
        <v>646.10000000000014</v>
      </c>
      <c r="AU23" s="123">
        <f t="shared" si="8"/>
        <v>666.40000000000009</v>
      </c>
      <c r="AV23" s="123">
        <f>AU23+15.8-70</f>
        <v>612.20000000000005</v>
      </c>
      <c r="AW23" s="123">
        <f t="shared" ref="AW23:AZ23" si="9">AV23+15.8</f>
        <v>628</v>
      </c>
      <c r="AX23" s="123">
        <f t="shared" si="9"/>
        <v>643.79999999999995</v>
      </c>
      <c r="AY23" s="123">
        <f t="shared" si="9"/>
        <v>659.59999999999991</v>
      </c>
      <c r="AZ23" s="123">
        <f t="shared" si="9"/>
        <v>675.39999999999986</v>
      </c>
      <c r="BA23" s="123">
        <f>AZ23+12</f>
        <v>687.39999999999986</v>
      </c>
      <c r="BB23" s="123">
        <f t="shared" ref="BB23:BE23" si="10">BA23+12</f>
        <v>699.39999999999986</v>
      </c>
      <c r="BC23" s="123">
        <f>BB23+12-80</f>
        <v>631.39999999999986</v>
      </c>
      <c r="BD23" s="123">
        <f t="shared" si="10"/>
        <v>643.39999999999986</v>
      </c>
      <c r="BE23" s="123">
        <f t="shared" si="10"/>
        <v>655.39999999999986</v>
      </c>
      <c r="BF23" s="123">
        <f>BE23+8.4</f>
        <v>663.79999999999984</v>
      </c>
      <c r="BG23" s="123">
        <f t="shared" ref="BG23:BJ23" si="11">BF23+8.4</f>
        <v>672.19999999999982</v>
      </c>
      <c r="BH23" s="123">
        <f t="shared" si="11"/>
        <v>680.5999999999998</v>
      </c>
      <c r="BI23" s="123">
        <f t="shared" si="11"/>
        <v>688.99999999999977</v>
      </c>
      <c r="BJ23" s="123">
        <f t="shared" si="11"/>
        <v>697.39999999999975</v>
      </c>
      <c r="BK23" s="60"/>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x14ac:dyDescent="0.35">
      <c r="A24" s="3" t="s">
        <v>183</v>
      </c>
      <c r="B24" s="101">
        <v>0</v>
      </c>
      <c r="C24" s="101">
        <f t="shared" ref="C24:AH24" si="12">EXP(-1.0587+0.8836*LN(C22)+0.284)</f>
        <v>1.8264159916687654</v>
      </c>
      <c r="D24" s="101">
        <f t="shared" si="12"/>
        <v>3.369688883880555</v>
      </c>
      <c r="E24" s="101">
        <f t="shared" si="12"/>
        <v>4.8215207678622338</v>
      </c>
      <c r="F24" s="101">
        <f t="shared" si="12"/>
        <v>6.216986286773305</v>
      </c>
      <c r="G24" s="101">
        <f t="shared" si="12"/>
        <v>7.5719824187164955</v>
      </c>
      <c r="H24" s="101">
        <f t="shared" si="12"/>
        <v>8.8955774637189666</v>
      </c>
      <c r="I24" s="101">
        <f t="shared" si="12"/>
        <v>10.193617404177308</v>
      </c>
      <c r="J24" s="101">
        <f t="shared" si="12"/>
        <v>11.470174197629985</v>
      </c>
      <c r="K24" s="101">
        <f t="shared" si="12"/>
        <v>12.728240784667223</v>
      </c>
      <c r="L24" s="101">
        <f t="shared" si="12"/>
        <v>13.970105989914789</v>
      </c>
      <c r="M24" s="101">
        <f t="shared" si="12"/>
        <v>15.197574383440525</v>
      </c>
      <c r="N24" s="101">
        <f t="shared" si="12"/>
        <v>16.412103612717626</v>
      </c>
      <c r="O24" s="101">
        <f t="shared" si="12"/>
        <v>17.614894530438896</v>
      </c>
      <c r="P24" s="101">
        <f t="shared" si="12"/>
        <v>18.806952747935188</v>
      </c>
      <c r="Q24" s="101">
        <f t="shared" si="12"/>
        <v>19.989132077392792</v>
      </c>
      <c r="R24" s="101">
        <f t="shared" si="12"/>
        <v>21.162166048826929</v>
      </c>
      <c r="S24" s="101">
        <f t="shared" si="12"/>
        <v>22.326691318594658</v>
      </c>
      <c r="T24" s="101">
        <f t="shared" si="12"/>
        <v>23.483265411107251</v>
      </c>
      <c r="U24" s="101">
        <f t="shared" si="12"/>
        <v>24.632380404909075</v>
      </c>
      <c r="V24" s="101">
        <f t="shared" si="12"/>
        <v>28.422992283506563</v>
      </c>
      <c r="W24" s="101">
        <f t="shared" si="12"/>
        <v>32.147930383541144</v>
      </c>
      <c r="X24" s="101">
        <f t="shared" si="12"/>
        <v>35.816718928472923</v>
      </c>
      <c r="Y24" s="101">
        <f t="shared" si="12"/>
        <v>39.436559910065945</v>
      </c>
      <c r="Z24" s="101">
        <f t="shared" si="12"/>
        <v>43.013081958116999</v>
      </c>
      <c r="AA24" s="101">
        <f t="shared" si="12"/>
        <v>41.557171890740989</v>
      </c>
      <c r="AB24" s="101">
        <f t="shared" si="12"/>
        <v>45.03557704054117</v>
      </c>
      <c r="AC24" s="101">
        <f t="shared" si="12"/>
        <v>48.478905634937846</v>
      </c>
      <c r="AD24" s="101">
        <f t="shared" si="12"/>
        <v>51.890282829174467</v>
      </c>
      <c r="AE24" s="101">
        <f t="shared" si="12"/>
        <v>55.27234452833676</v>
      </c>
      <c r="AF24" s="101">
        <f t="shared" si="12"/>
        <v>58.627342480934288</v>
      </c>
      <c r="AG24" s="101">
        <f t="shared" si="12"/>
        <v>61.813980793226101</v>
      </c>
      <c r="AH24" s="101">
        <f t="shared" si="12"/>
        <v>58.410892444328475</v>
      </c>
      <c r="AI24" s="101">
        <f t="shared" ref="AI24:BJ24" si="13">EXP(-1.0587+0.8836*LN(AI22)+0.284)</f>
        <v>61.5990377430116</v>
      </c>
      <c r="AJ24" s="101">
        <f t="shared" si="13"/>
        <v>64.765581760210637</v>
      </c>
      <c r="AK24" s="101">
        <f t="shared" si="13"/>
        <v>67.911851654541763</v>
      </c>
      <c r="AL24" s="101">
        <f t="shared" si="13"/>
        <v>70.75763199499508</v>
      </c>
      <c r="AM24" s="101">
        <f t="shared" si="13"/>
        <v>73.588409557699592</v>
      </c>
      <c r="AN24" s="101">
        <f t="shared" si="13"/>
        <v>76.404910280467774</v>
      </c>
      <c r="AO24" s="101">
        <f t="shared" si="13"/>
        <v>71.648216873327812</v>
      </c>
      <c r="AP24" s="101">
        <f t="shared" si="13"/>
        <v>74.474435793757891</v>
      </c>
      <c r="AQ24" s="101">
        <f t="shared" si="13"/>
        <v>76.834316672603649</v>
      </c>
      <c r="AR24" s="101">
        <f t="shared" si="13"/>
        <v>79.184686023251373</v>
      </c>
      <c r="AS24" s="101">
        <f t="shared" si="13"/>
        <v>81.525899288883707</v>
      </c>
      <c r="AT24" s="101">
        <f t="shared" si="13"/>
        <v>83.858287543542687</v>
      </c>
      <c r="AU24" s="101">
        <f t="shared" si="13"/>
        <v>86.182159875475833</v>
      </c>
      <c r="AV24" s="101">
        <f t="shared" si="13"/>
        <v>79.958397310969559</v>
      </c>
      <c r="AW24" s="101">
        <f t="shared" si="13"/>
        <v>81.779091112437655</v>
      </c>
      <c r="AX24" s="101">
        <f t="shared" si="13"/>
        <v>83.594460154468294</v>
      </c>
      <c r="AY24" s="101">
        <f t="shared" si="13"/>
        <v>85.404650148602357</v>
      </c>
      <c r="AZ24" s="101">
        <f t="shared" si="13"/>
        <v>87.209799427543345</v>
      </c>
      <c r="BA24" s="101">
        <f t="shared" si="13"/>
        <v>88.577511917871689</v>
      </c>
      <c r="BB24" s="101">
        <f t="shared" si="13"/>
        <v>89.942447882721538</v>
      </c>
      <c r="BC24" s="101">
        <f t="shared" si="13"/>
        <v>82.170184676559657</v>
      </c>
      <c r="BD24" s="101">
        <f t="shared" si="13"/>
        <v>83.54856594101274</v>
      </c>
      <c r="BE24" s="101">
        <f t="shared" si="13"/>
        <v>84.923957848244868</v>
      </c>
      <c r="BF24" s="101">
        <f t="shared" si="13"/>
        <v>85.884986300591109</v>
      </c>
      <c r="BG24" s="101">
        <f t="shared" si="13"/>
        <v>86.844600185332339</v>
      </c>
      <c r="BH24" s="101">
        <f t="shared" si="13"/>
        <v>87.80281922357274</v>
      </c>
      <c r="BI24" s="101">
        <f t="shared" si="13"/>
        <v>88.759662621618205</v>
      </c>
      <c r="BJ24" s="133">
        <f t="shared" si="13"/>
        <v>89.715149090523497</v>
      </c>
      <c r="BK24" s="134"/>
    </row>
    <row r="25" spans="1:177" x14ac:dyDescent="0.35">
      <c r="A25" s="3" t="s">
        <v>184</v>
      </c>
      <c r="B25" s="101">
        <f t="shared" ref="B25:AF25" si="14">(B19*(($B$38-$B$37)/30))</f>
        <v>0</v>
      </c>
      <c r="C25" s="101">
        <f t="shared" si="14"/>
        <v>0.33333333333333331</v>
      </c>
      <c r="D25" s="101">
        <f t="shared" si="14"/>
        <v>0.66666666666666663</v>
      </c>
      <c r="E25" s="101">
        <f t="shared" si="14"/>
        <v>1</v>
      </c>
      <c r="F25" s="101">
        <f t="shared" si="14"/>
        <v>1.3333333333333333</v>
      </c>
      <c r="G25" s="101">
        <f t="shared" si="14"/>
        <v>1.6666666666666665</v>
      </c>
      <c r="H25" s="101">
        <f t="shared" si="14"/>
        <v>2</v>
      </c>
      <c r="I25" s="101">
        <f t="shared" si="14"/>
        <v>2.333333333333333</v>
      </c>
      <c r="J25" s="101">
        <f t="shared" si="14"/>
        <v>2.6666666666666665</v>
      </c>
      <c r="K25" s="101">
        <f t="shared" si="14"/>
        <v>3</v>
      </c>
      <c r="L25" s="101">
        <f t="shared" si="14"/>
        <v>3.333333333333333</v>
      </c>
      <c r="M25" s="101">
        <f t="shared" si="14"/>
        <v>3.6666666666666665</v>
      </c>
      <c r="N25" s="101">
        <f t="shared" si="14"/>
        <v>4</v>
      </c>
      <c r="O25" s="101">
        <f t="shared" si="14"/>
        <v>4.333333333333333</v>
      </c>
      <c r="P25" s="101">
        <f t="shared" si="14"/>
        <v>4.6666666666666661</v>
      </c>
      <c r="Q25" s="101">
        <f t="shared" si="14"/>
        <v>5</v>
      </c>
      <c r="R25" s="101">
        <f t="shared" si="14"/>
        <v>5.333333333333333</v>
      </c>
      <c r="S25" s="101">
        <f t="shared" si="14"/>
        <v>5.6666666666666661</v>
      </c>
      <c r="T25" s="101">
        <f t="shared" si="14"/>
        <v>6</v>
      </c>
      <c r="U25" s="101">
        <f t="shared" si="14"/>
        <v>6.333333333333333</v>
      </c>
      <c r="V25" s="101">
        <f t="shared" si="14"/>
        <v>6.6666666666666661</v>
      </c>
      <c r="W25" s="101">
        <f t="shared" si="14"/>
        <v>7</v>
      </c>
      <c r="X25" s="101">
        <f t="shared" si="14"/>
        <v>7.333333333333333</v>
      </c>
      <c r="Y25" s="101">
        <f t="shared" si="14"/>
        <v>7.6666666666666661</v>
      </c>
      <c r="Z25" s="101">
        <f t="shared" si="14"/>
        <v>8</v>
      </c>
      <c r="AA25" s="101">
        <f t="shared" si="14"/>
        <v>8.3333333333333321</v>
      </c>
      <c r="AB25" s="101">
        <f t="shared" si="14"/>
        <v>8.6666666666666661</v>
      </c>
      <c r="AC25" s="101">
        <f t="shared" si="14"/>
        <v>9</v>
      </c>
      <c r="AD25" s="101">
        <f t="shared" si="14"/>
        <v>9.3333333333333321</v>
      </c>
      <c r="AE25" s="101">
        <f t="shared" si="14"/>
        <v>9.6666666666666661</v>
      </c>
      <c r="AF25" s="101">
        <f t="shared" si="14"/>
        <v>10</v>
      </c>
      <c r="AG25" s="101">
        <v>10</v>
      </c>
      <c r="AH25" s="101">
        <v>10</v>
      </c>
      <c r="AI25" s="101">
        <v>10</v>
      </c>
      <c r="AJ25" s="101">
        <v>10</v>
      </c>
      <c r="AK25" s="101">
        <v>10</v>
      </c>
      <c r="AL25" s="101">
        <v>10</v>
      </c>
      <c r="AM25" s="101">
        <v>10</v>
      </c>
      <c r="AN25" s="101">
        <v>10</v>
      </c>
      <c r="AO25" s="101">
        <v>10</v>
      </c>
      <c r="AP25" s="101">
        <v>10</v>
      </c>
      <c r="AQ25" s="101">
        <v>10</v>
      </c>
      <c r="AR25" s="101">
        <v>10</v>
      </c>
      <c r="AS25" s="101">
        <v>10</v>
      </c>
      <c r="AT25" s="101">
        <v>10</v>
      </c>
      <c r="AU25" s="101">
        <v>10</v>
      </c>
      <c r="AV25" s="101">
        <v>10</v>
      </c>
      <c r="AW25" s="101">
        <v>10</v>
      </c>
      <c r="AX25" s="101">
        <v>10</v>
      </c>
      <c r="AY25" s="101">
        <v>10</v>
      </c>
      <c r="AZ25" s="101">
        <v>10</v>
      </c>
      <c r="BA25" s="101">
        <v>10</v>
      </c>
      <c r="BB25" s="101">
        <v>10</v>
      </c>
      <c r="BC25" s="101">
        <v>10</v>
      </c>
      <c r="BD25" s="101">
        <v>10</v>
      </c>
      <c r="BE25" s="101">
        <v>10</v>
      </c>
      <c r="BF25" s="101">
        <v>10</v>
      </c>
      <c r="BG25" s="101">
        <v>10</v>
      </c>
      <c r="BH25" s="101">
        <v>10</v>
      </c>
      <c r="BI25" s="101">
        <v>10</v>
      </c>
      <c r="BJ25" s="101">
        <v>10</v>
      </c>
      <c r="BK25" s="134"/>
    </row>
    <row r="26" spans="1:177" x14ac:dyDescent="0.35">
      <c r="A26" s="3" t="s">
        <v>185</v>
      </c>
      <c r="B26" s="123"/>
      <c r="C26" s="123"/>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4"/>
      <c r="AG26" s="123"/>
      <c r="AH26" s="124"/>
      <c r="AI26" s="123"/>
      <c r="AJ26" s="124"/>
      <c r="AK26" s="123"/>
      <c r="AL26" s="124"/>
      <c r="AM26" s="123"/>
      <c r="AN26" s="124"/>
      <c r="AO26" s="123"/>
      <c r="AP26" s="124"/>
      <c r="AQ26" s="123"/>
      <c r="AR26" s="124"/>
      <c r="AS26" s="123"/>
      <c r="AT26" s="124"/>
      <c r="AU26" s="123"/>
      <c r="AV26" s="124"/>
      <c r="AW26" s="123"/>
      <c r="AX26" s="124"/>
      <c r="AY26" s="123"/>
      <c r="AZ26" s="124"/>
      <c r="BA26" s="123"/>
      <c r="BB26" s="124"/>
      <c r="BC26" s="123"/>
      <c r="BD26" s="124"/>
      <c r="BE26" s="123"/>
      <c r="BF26" s="124"/>
      <c r="BG26" s="123"/>
      <c r="BH26" s="124"/>
      <c r="BI26" s="123"/>
      <c r="BJ26" s="124"/>
      <c r="BK26" s="134"/>
    </row>
    <row r="27" spans="1:177" x14ac:dyDescent="0.35">
      <c r="A27" s="131" t="s">
        <v>2</v>
      </c>
      <c r="B27" s="132"/>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2"/>
      <c r="BF27" s="132"/>
      <c r="BG27" s="132"/>
      <c r="BH27" s="132"/>
      <c r="BI27" s="132"/>
      <c r="BJ27" s="132"/>
      <c r="BK27" s="134"/>
    </row>
    <row r="28" spans="1:177" x14ac:dyDescent="0.35">
      <c r="A28" s="3" t="s">
        <v>187</v>
      </c>
      <c r="B28" s="101">
        <f>(((B29+B31)*$B$34)+$B$39+B32)*(44/12)</f>
        <v>256.66666666666663</v>
      </c>
      <c r="C28" s="101">
        <f t="shared" ref="C28:AE28" si="15">(((C29+C31)*$B$34)+$B$39+C32)*(44/12)</f>
        <v>259.17969400006456</v>
      </c>
      <c r="D28" s="101">
        <f>(((D29+D31)*$B$34)+$B$39+D32)*(44/12)</f>
        <v>261.62599449970276</v>
      </c>
      <c r="E28" s="101">
        <f t="shared" si="15"/>
        <v>264.05074558151415</v>
      </c>
      <c r="F28" s="101">
        <f t="shared" si="15"/>
        <v>266.46221310077743</v>
      </c>
      <c r="G28" s="101">
        <f t="shared" si="15"/>
        <v>268.8641434140776</v>
      </c>
      <c r="H28" s="101">
        <f t="shared" si="15"/>
        <v>271.25867359962541</v>
      </c>
      <c r="I28" s="101">
        <f t="shared" si="15"/>
        <v>273.64718134911215</v>
      </c>
      <c r="J28" s="101">
        <f t="shared" si="15"/>
        <v>276.03062627919189</v>
      </c>
      <c r="K28" s="101">
        <f t="shared" si="15"/>
        <v>278.40971372031277</v>
      </c>
      <c r="L28" s="101">
        <f t="shared" si="15"/>
        <v>280.78498306764487</v>
      </c>
      <c r="M28" s="101">
        <f t="shared" si="15"/>
        <v>283.1568595946531</v>
      </c>
      <c r="N28" s="101">
        <f t="shared" si="15"/>
        <v>285.52568681739263</v>
      </c>
      <c r="O28" s="101">
        <f t="shared" si="15"/>
        <v>287.89174773445382</v>
      </c>
      <c r="P28" s="101">
        <f t="shared" si="15"/>
        <v>290.25527933292994</v>
      </c>
      <c r="Q28" s="101">
        <f t="shared" si="15"/>
        <v>292.61648282621417</v>
      </c>
      <c r="R28" s="101">
        <f t="shared" si="15"/>
        <v>294.97553108143796</v>
      </c>
      <c r="S28" s="101">
        <f t="shared" si="15"/>
        <v>297.3325741360311</v>
      </c>
      <c r="T28" s="101">
        <f t="shared" si="15"/>
        <v>299.68774337881689</v>
      </c>
      <c r="U28" s="101">
        <f t="shared" si="15"/>
        <v>302.04115477533838</v>
      </c>
      <c r="V28" s="101">
        <f t="shared" si="15"/>
        <v>304.39291139479661</v>
      </c>
      <c r="W28" s="101">
        <f t="shared" si="15"/>
        <v>306.74310541723986</v>
      </c>
      <c r="X28" s="101">
        <f t="shared" si="15"/>
        <v>309.09181974759827</v>
      </c>
      <c r="Y28" s="101">
        <f t="shared" si="15"/>
        <v>311.43912932796252</v>
      </c>
      <c r="Z28" s="101">
        <f t="shared" si="15"/>
        <v>313.78510221519946</v>
      </c>
      <c r="AA28" s="101">
        <f t="shared" si="15"/>
        <v>316.12980047390568</v>
      </c>
      <c r="AB28" s="101">
        <f t="shared" si="15"/>
        <v>318.47328092246556</v>
      </c>
      <c r="AC28" s="101">
        <f t="shared" si="15"/>
        <v>320.81559576110328</v>
      </c>
      <c r="AD28" s="101">
        <f t="shared" si="15"/>
        <v>323.15679310427464</v>
      </c>
      <c r="AE28" s="101">
        <f t="shared" si="15"/>
        <v>325.49691743486534</v>
      </c>
      <c r="AF28" s="101">
        <f>(((AF29+AF31)*$B$34)+$B$39+AF32)*(44/12)</f>
        <v>327.83600999398095</v>
      </c>
      <c r="AG28" s="101">
        <f t="shared" ref="AG28:BJ28" si="16">(((AG29+AG31)*$B$34)+$B$39+AG32)*(44/12)</f>
        <v>328.95188689508348</v>
      </c>
      <c r="AH28" s="101">
        <f t="shared" si="16"/>
        <v>330.06680608239554</v>
      </c>
      <c r="AI28" s="101">
        <f t="shared" si="16"/>
        <v>331.18080091848043</v>
      </c>
      <c r="AJ28" s="101">
        <f t="shared" si="16"/>
        <v>332.29390262902666</v>
      </c>
      <c r="AK28" s="101">
        <f t="shared" si="16"/>
        <v>333.40614049849142</v>
      </c>
      <c r="AL28" s="101">
        <f t="shared" si="16"/>
        <v>334.51754204275585</v>
      </c>
      <c r="AM28" s="101">
        <f t="shared" si="16"/>
        <v>335.62813316205717</v>
      </c>
      <c r="AN28" s="101">
        <f t="shared" si="16"/>
        <v>336.73793827692265</v>
      </c>
      <c r="AO28" s="101">
        <f t="shared" si="16"/>
        <v>337.8469804493925</v>
      </c>
      <c r="AP28" s="101">
        <f t="shared" si="16"/>
        <v>338.95528149145929</v>
      </c>
      <c r="AQ28" s="101">
        <f t="shared" si="16"/>
        <v>340.06286206235876</v>
      </c>
      <c r="AR28" s="101">
        <f t="shared" si="16"/>
        <v>341.16974175610102</v>
      </c>
      <c r="AS28" s="101">
        <f t="shared" si="16"/>
        <v>342.27593918043101</v>
      </c>
      <c r="AT28" s="101">
        <f t="shared" si="16"/>
        <v>343.38147202823694</v>
      </c>
      <c r="AU28" s="101">
        <f t="shared" si="16"/>
        <v>344.4863571422834</v>
      </c>
      <c r="AV28" s="101">
        <f t="shared" si="16"/>
        <v>345.59061057402909</v>
      </c>
      <c r="AW28" s="101">
        <f t="shared" si="16"/>
        <v>346.69424763718479</v>
      </c>
      <c r="AX28" s="101">
        <f t="shared" si="16"/>
        <v>347.79728295658538</v>
      </c>
      <c r="AY28" s="101">
        <f t="shared" si="16"/>
        <v>348.89973051287382</v>
      </c>
      <c r="AZ28" s="101">
        <f t="shared" si="16"/>
        <v>350.00160368343421</v>
      </c>
      <c r="BA28" s="101">
        <f t="shared" si="16"/>
        <v>351.10291527995832</v>
      </c>
      <c r="BB28" s="101">
        <f t="shared" si="16"/>
        <v>352.2036775829821</v>
      </c>
      <c r="BC28" s="101">
        <f t="shared" si="16"/>
        <v>353.30390237369028</v>
      </c>
      <c r="BD28" s="101">
        <f t="shared" si="16"/>
        <v>354.40360096325321</v>
      </c>
      <c r="BE28" s="101">
        <f t="shared" si="16"/>
        <v>355.5027842199288</v>
      </c>
      <c r="BF28" s="101">
        <f t="shared" si="16"/>
        <v>356.60146259413762</v>
      </c>
      <c r="BG28" s="101">
        <f t="shared" si="16"/>
        <v>357.69964614169641</v>
      </c>
      <c r="BH28" s="101">
        <f t="shared" si="16"/>
        <v>358.79734454537504</v>
      </c>
      <c r="BI28" s="101">
        <f t="shared" si="16"/>
        <v>359.89456713492427</v>
      </c>
      <c r="BJ28" s="133">
        <f t="shared" si="16"/>
        <v>360.9913229057077</v>
      </c>
      <c r="BK28" s="134"/>
    </row>
    <row r="29" spans="1:177" x14ac:dyDescent="0.35">
      <c r="A29" s="3" t="s">
        <v>182</v>
      </c>
      <c r="B29" s="101">
        <f>B30*$C$35*$E$36</f>
        <v>0</v>
      </c>
      <c r="C29" s="101">
        <f>C30*$C$35*$E$36</f>
        <v>0.49400000000000005</v>
      </c>
      <c r="D29" s="101">
        <f>D30*$C$35*$E$36</f>
        <v>0.9880000000000001</v>
      </c>
      <c r="E29" s="101">
        <f t="shared" ref="E29:BJ29" si="17">E30*$C$35*$E$36</f>
        <v>1.4820000000000002</v>
      </c>
      <c r="F29" s="101">
        <f t="shared" si="17"/>
        <v>1.9760000000000002</v>
      </c>
      <c r="G29" s="101">
        <f t="shared" si="17"/>
        <v>2.4700000000000002</v>
      </c>
      <c r="H29" s="101">
        <f t="shared" si="17"/>
        <v>2.9640000000000004</v>
      </c>
      <c r="I29" s="101">
        <f t="shared" si="17"/>
        <v>3.4579999999999997</v>
      </c>
      <c r="J29" s="101">
        <f t="shared" si="17"/>
        <v>3.9520000000000004</v>
      </c>
      <c r="K29" s="101">
        <f t="shared" si="17"/>
        <v>4.4460000000000006</v>
      </c>
      <c r="L29" s="101">
        <f t="shared" si="17"/>
        <v>4.9400000000000004</v>
      </c>
      <c r="M29" s="101">
        <f t="shared" si="17"/>
        <v>5.4340000000000002</v>
      </c>
      <c r="N29" s="101">
        <f t="shared" si="17"/>
        <v>5.9280000000000008</v>
      </c>
      <c r="O29" s="101">
        <f t="shared" si="17"/>
        <v>6.4220000000000006</v>
      </c>
      <c r="P29" s="101">
        <f t="shared" si="17"/>
        <v>6.9159999999999995</v>
      </c>
      <c r="Q29" s="101">
        <f t="shared" si="17"/>
        <v>7.41</v>
      </c>
      <c r="R29" s="101">
        <f t="shared" si="17"/>
        <v>7.9040000000000008</v>
      </c>
      <c r="S29" s="101">
        <f t="shared" si="17"/>
        <v>8.3980000000000015</v>
      </c>
      <c r="T29" s="101">
        <f t="shared" si="17"/>
        <v>8.8920000000000012</v>
      </c>
      <c r="U29" s="101">
        <f t="shared" si="17"/>
        <v>9.3859999999999992</v>
      </c>
      <c r="V29" s="101">
        <f t="shared" si="17"/>
        <v>9.8800000000000008</v>
      </c>
      <c r="W29" s="101">
        <f t="shared" si="17"/>
        <v>10.374000000000001</v>
      </c>
      <c r="X29" s="101">
        <f t="shared" si="17"/>
        <v>10.868</v>
      </c>
      <c r="Y29" s="101">
        <f t="shared" si="17"/>
        <v>11.362</v>
      </c>
      <c r="Z29" s="101">
        <f t="shared" si="17"/>
        <v>11.856000000000002</v>
      </c>
      <c r="AA29" s="101">
        <f t="shared" si="17"/>
        <v>12.35</v>
      </c>
      <c r="AB29" s="101">
        <f t="shared" si="17"/>
        <v>12.844000000000001</v>
      </c>
      <c r="AC29" s="101">
        <f t="shared" si="17"/>
        <v>13.338000000000001</v>
      </c>
      <c r="AD29" s="101">
        <f t="shared" si="17"/>
        <v>13.831999999999999</v>
      </c>
      <c r="AE29" s="101">
        <f t="shared" si="17"/>
        <v>14.326000000000001</v>
      </c>
      <c r="AF29" s="101">
        <f>AF30*$C$35*$E$36</f>
        <v>14.82</v>
      </c>
      <c r="AG29" s="101">
        <f t="shared" si="17"/>
        <v>15.314000000000002</v>
      </c>
      <c r="AH29" s="101">
        <f t="shared" si="17"/>
        <v>15.808000000000002</v>
      </c>
      <c r="AI29" s="101">
        <f t="shared" si="17"/>
        <v>16.302</v>
      </c>
      <c r="AJ29" s="101">
        <f t="shared" si="17"/>
        <v>16.796000000000003</v>
      </c>
      <c r="AK29" s="101">
        <f t="shared" si="17"/>
        <v>17.29</v>
      </c>
      <c r="AL29" s="101">
        <f t="shared" si="17"/>
        <v>17.784000000000002</v>
      </c>
      <c r="AM29" s="101">
        <f t="shared" si="17"/>
        <v>18.278000000000002</v>
      </c>
      <c r="AN29" s="101">
        <f t="shared" si="17"/>
        <v>18.771999999999998</v>
      </c>
      <c r="AO29" s="101">
        <f t="shared" si="17"/>
        <v>19.266000000000002</v>
      </c>
      <c r="AP29" s="101">
        <f t="shared" si="17"/>
        <v>19.760000000000002</v>
      </c>
      <c r="AQ29" s="101">
        <f t="shared" si="17"/>
        <v>20.254000000000001</v>
      </c>
      <c r="AR29" s="101">
        <f t="shared" si="17"/>
        <v>20.748000000000001</v>
      </c>
      <c r="AS29" s="101">
        <f t="shared" si="17"/>
        <v>21.242000000000001</v>
      </c>
      <c r="AT29" s="101">
        <f t="shared" si="17"/>
        <v>21.736000000000001</v>
      </c>
      <c r="AU29" s="101">
        <f t="shared" si="17"/>
        <v>22.23</v>
      </c>
      <c r="AV29" s="101">
        <f t="shared" si="17"/>
        <v>22.724</v>
      </c>
      <c r="AW29" s="101">
        <f t="shared" si="17"/>
        <v>23.218</v>
      </c>
      <c r="AX29" s="101">
        <f t="shared" si="17"/>
        <v>23.712000000000003</v>
      </c>
      <c r="AY29" s="101">
        <f t="shared" si="17"/>
        <v>24.206000000000003</v>
      </c>
      <c r="AZ29" s="101">
        <f t="shared" si="17"/>
        <v>24.7</v>
      </c>
      <c r="BA29" s="101">
        <f t="shared" si="17"/>
        <v>25.193999999999999</v>
      </c>
      <c r="BB29" s="101">
        <f t="shared" si="17"/>
        <v>25.688000000000002</v>
      </c>
      <c r="BC29" s="101">
        <f t="shared" si="17"/>
        <v>26.182000000000002</v>
      </c>
      <c r="BD29" s="101">
        <f t="shared" si="17"/>
        <v>26.676000000000002</v>
      </c>
      <c r="BE29" s="101">
        <f t="shared" si="17"/>
        <v>27.17</v>
      </c>
      <c r="BF29" s="101">
        <f t="shared" si="17"/>
        <v>27.663999999999998</v>
      </c>
      <c r="BG29" s="101">
        <f t="shared" si="17"/>
        <v>28.158000000000005</v>
      </c>
      <c r="BH29" s="101">
        <f t="shared" si="17"/>
        <v>28.652000000000001</v>
      </c>
      <c r="BI29" s="101">
        <f t="shared" si="17"/>
        <v>29.146000000000001</v>
      </c>
      <c r="BJ29" s="133">
        <f t="shared" si="17"/>
        <v>29.64</v>
      </c>
      <c r="BK29" s="134"/>
    </row>
    <row r="30" spans="1:177" ht="17" customHeight="1" x14ac:dyDescent="0.35">
      <c r="A30" s="18" t="s">
        <v>13</v>
      </c>
      <c r="B30" s="101">
        <v>0</v>
      </c>
      <c r="C30" s="101">
        <f>IF($B$16="NON",1,0.5)</f>
        <v>1</v>
      </c>
      <c r="D30" s="101">
        <f>IF($B$16="NON",C30+1,C30+0.5)</f>
        <v>2</v>
      </c>
      <c r="E30" s="101">
        <f t="shared" ref="E30:AF30" si="18">IF($B$16="NON",D30+1,D30+0.5)</f>
        <v>3</v>
      </c>
      <c r="F30" s="101">
        <f t="shared" si="18"/>
        <v>4</v>
      </c>
      <c r="G30" s="101">
        <f t="shared" si="18"/>
        <v>5</v>
      </c>
      <c r="H30" s="101">
        <f t="shared" si="18"/>
        <v>6</v>
      </c>
      <c r="I30" s="101">
        <f t="shared" si="18"/>
        <v>7</v>
      </c>
      <c r="J30" s="101">
        <f t="shared" si="18"/>
        <v>8</v>
      </c>
      <c r="K30" s="101">
        <f t="shared" si="18"/>
        <v>9</v>
      </c>
      <c r="L30" s="101">
        <f t="shared" si="18"/>
        <v>10</v>
      </c>
      <c r="M30" s="101">
        <f t="shared" si="18"/>
        <v>11</v>
      </c>
      <c r="N30" s="101">
        <f t="shared" si="18"/>
        <v>12</v>
      </c>
      <c r="O30" s="101">
        <f t="shared" si="18"/>
        <v>13</v>
      </c>
      <c r="P30" s="101">
        <f t="shared" si="18"/>
        <v>14</v>
      </c>
      <c r="Q30" s="101">
        <f t="shared" si="18"/>
        <v>15</v>
      </c>
      <c r="R30" s="101">
        <f t="shared" si="18"/>
        <v>16</v>
      </c>
      <c r="S30" s="101">
        <f t="shared" si="18"/>
        <v>17</v>
      </c>
      <c r="T30" s="101">
        <f t="shared" si="18"/>
        <v>18</v>
      </c>
      <c r="U30" s="101">
        <f t="shared" si="18"/>
        <v>19</v>
      </c>
      <c r="V30" s="101">
        <f t="shared" si="18"/>
        <v>20</v>
      </c>
      <c r="W30" s="101">
        <f t="shared" si="18"/>
        <v>21</v>
      </c>
      <c r="X30" s="101">
        <f t="shared" si="18"/>
        <v>22</v>
      </c>
      <c r="Y30" s="101">
        <f t="shared" si="18"/>
        <v>23</v>
      </c>
      <c r="Z30" s="101">
        <f t="shared" si="18"/>
        <v>24</v>
      </c>
      <c r="AA30" s="101">
        <f t="shared" si="18"/>
        <v>25</v>
      </c>
      <c r="AB30" s="101">
        <f t="shared" si="18"/>
        <v>26</v>
      </c>
      <c r="AC30" s="101">
        <f t="shared" si="18"/>
        <v>27</v>
      </c>
      <c r="AD30" s="101">
        <f t="shared" si="18"/>
        <v>28</v>
      </c>
      <c r="AE30" s="101">
        <f t="shared" si="18"/>
        <v>29</v>
      </c>
      <c r="AF30" s="101">
        <f t="shared" si="18"/>
        <v>30</v>
      </c>
      <c r="AG30" s="101">
        <f t="shared" ref="AG30" si="19">IF($B$16="NON",AF30+1,AF30+0.5)</f>
        <v>31</v>
      </c>
      <c r="AH30" s="101">
        <f t="shared" ref="AH30" si="20">IF($B$16="NON",AG30+1,AG30+0.5)</f>
        <v>32</v>
      </c>
      <c r="AI30" s="101">
        <f t="shared" ref="AI30" si="21">IF($B$16="NON",AH30+1,AH30+0.5)</f>
        <v>33</v>
      </c>
      <c r="AJ30" s="101">
        <f t="shared" ref="AJ30" si="22">IF($B$16="NON",AI30+1,AI30+0.5)</f>
        <v>34</v>
      </c>
      <c r="AK30" s="101">
        <f t="shared" ref="AK30" si="23">IF($B$16="NON",AJ30+1,AJ30+0.5)</f>
        <v>35</v>
      </c>
      <c r="AL30" s="101">
        <f t="shared" ref="AL30" si="24">IF($B$16="NON",AK30+1,AK30+0.5)</f>
        <v>36</v>
      </c>
      <c r="AM30" s="101">
        <f t="shared" ref="AM30" si="25">IF($B$16="NON",AL30+1,AL30+0.5)</f>
        <v>37</v>
      </c>
      <c r="AN30" s="101">
        <f t="shared" ref="AN30" si="26">IF($B$16="NON",AM30+1,AM30+0.5)</f>
        <v>38</v>
      </c>
      <c r="AO30" s="101">
        <f t="shared" ref="AO30" si="27">IF($B$16="NON",AN30+1,AN30+0.5)</f>
        <v>39</v>
      </c>
      <c r="AP30" s="101">
        <f t="shared" ref="AP30" si="28">IF($B$16="NON",AO30+1,AO30+0.5)</f>
        <v>40</v>
      </c>
      <c r="AQ30" s="101">
        <f t="shared" ref="AQ30" si="29">IF($B$16="NON",AP30+1,AP30+0.5)</f>
        <v>41</v>
      </c>
      <c r="AR30" s="101">
        <f t="shared" ref="AR30" si="30">IF($B$16="NON",AQ30+1,AQ30+0.5)</f>
        <v>42</v>
      </c>
      <c r="AS30" s="101">
        <f t="shared" ref="AS30" si="31">IF($B$16="NON",AR30+1,AR30+0.5)</f>
        <v>43</v>
      </c>
      <c r="AT30" s="101">
        <f t="shared" ref="AT30" si="32">IF($B$16="NON",AS30+1,AS30+0.5)</f>
        <v>44</v>
      </c>
      <c r="AU30" s="101">
        <f t="shared" ref="AU30" si="33">IF($B$16="NON",AT30+1,AT30+0.5)</f>
        <v>45</v>
      </c>
      <c r="AV30" s="101">
        <f t="shared" ref="AV30" si="34">IF($B$16="NON",AU30+1,AU30+0.5)</f>
        <v>46</v>
      </c>
      <c r="AW30" s="101">
        <f t="shared" ref="AW30" si="35">IF($B$16="NON",AV30+1,AV30+0.5)</f>
        <v>47</v>
      </c>
      <c r="AX30" s="101">
        <f t="shared" ref="AX30" si="36">IF($B$16="NON",AW30+1,AW30+0.5)</f>
        <v>48</v>
      </c>
      <c r="AY30" s="101">
        <f t="shared" ref="AY30" si="37">IF($B$16="NON",AX30+1,AX30+0.5)</f>
        <v>49</v>
      </c>
      <c r="AZ30" s="101">
        <f t="shared" ref="AZ30" si="38">IF($B$16="NON",AY30+1,AY30+0.5)</f>
        <v>50</v>
      </c>
      <c r="BA30" s="101">
        <f t="shared" ref="BA30" si="39">IF($B$16="NON",AZ30+1,AZ30+0.5)</f>
        <v>51</v>
      </c>
      <c r="BB30" s="101">
        <f t="shared" ref="BB30" si="40">IF($B$16="NON",BA30+1,BA30+0.5)</f>
        <v>52</v>
      </c>
      <c r="BC30" s="101">
        <f t="shared" ref="BC30" si="41">IF($B$16="NON",BB30+1,BB30+0.5)</f>
        <v>53</v>
      </c>
      <c r="BD30" s="101">
        <f t="shared" ref="BD30" si="42">IF($B$16="NON",BC30+1,BC30+0.5)</f>
        <v>54</v>
      </c>
      <c r="BE30" s="101">
        <f t="shared" ref="BE30" si="43">IF($B$16="NON",BD30+1,BD30+0.5)</f>
        <v>55</v>
      </c>
      <c r="BF30" s="101">
        <f t="shared" ref="BF30" si="44">IF($B$16="NON",BE30+1,BE30+0.5)</f>
        <v>56</v>
      </c>
      <c r="BG30" s="101">
        <f t="shared" ref="BG30" si="45">IF($B$16="NON",BF30+1,BF30+0.5)</f>
        <v>57</v>
      </c>
      <c r="BH30" s="101">
        <f t="shared" ref="BH30" si="46">IF($B$16="NON",BG30+1,BG30+0.5)</f>
        <v>58</v>
      </c>
      <c r="BI30" s="101">
        <f t="shared" ref="BI30" si="47">IF($B$16="NON",BH30+1,BH30+0.5)</f>
        <v>59</v>
      </c>
      <c r="BJ30" s="133">
        <f t="shared" ref="BJ30" si="48">IF($B$16="NON",BI30+1,BI30+0.5)</f>
        <v>60</v>
      </c>
      <c r="BK30" s="134"/>
    </row>
    <row r="31" spans="1:177" x14ac:dyDescent="0.35">
      <c r="A31" s="3" t="s">
        <v>183</v>
      </c>
      <c r="B31" s="101">
        <v>0</v>
      </c>
      <c r="C31" s="101">
        <f>EXP(-1.0587+0.8836*LN(C29)+0.284)</f>
        <v>0.24713212124918574</v>
      </c>
      <c r="D31" s="101">
        <f t="shared" ref="D31:AE31" si="49">EXP(-1.0587+0.8836*LN(D29)+0.284)</f>
        <v>0.45595218483732475</v>
      </c>
      <c r="E31" s="101">
        <f>EXP(-1.0587+0.8836*LN(E29)+0.284)</f>
        <v>0.65239937694593597</v>
      </c>
      <c r="F31" s="101">
        <f t="shared" si="49"/>
        <v>0.84121964318960396</v>
      </c>
      <c r="G31" s="101">
        <f t="shared" si="49"/>
        <v>1.0245640017032431</v>
      </c>
      <c r="H31" s="101">
        <f t="shared" si="49"/>
        <v>1.2036594830385248</v>
      </c>
      <c r="I31" s="101">
        <f t="shared" si="49"/>
        <v>1.3792971063482822</v>
      </c>
      <c r="J31" s="101">
        <f t="shared" si="49"/>
        <v>1.5520278477018838</v>
      </c>
      <c r="K31" s="101">
        <f t="shared" si="49"/>
        <v>1.7222566815192901</v>
      </c>
      <c r="L31" s="101">
        <f t="shared" si="49"/>
        <v>1.8902933083766646</v>
      </c>
      <c r="M31" s="101">
        <f t="shared" si="49"/>
        <v>2.0563819044260145</v>
      </c>
      <c r="N31" s="101">
        <f t="shared" si="49"/>
        <v>2.2207197037661026</v>
      </c>
      <c r="O31" s="101">
        <f t="shared" si="49"/>
        <v>2.3834691936258152</v>
      </c>
      <c r="P31" s="101">
        <f t="shared" si="49"/>
        <v>2.5447664431495727</v>
      </c>
      <c r="Q31" s="101">
        <f t="shared" si="49"/>
        <v>2.7047269815583848</v>
      </c>
      <c r="R31" s="101">
        <f t="shared" si="49"/>
        <v>2.863450062707606</v>
      </c>
      <c r="S31" s="101">
        <f t="shared" si="49"/>
        <v>3.0210218324899261</v>
      </c>
      <c r="T31" s="101">
        <f t="shared" si="49"/>
        <v>3.177517729464268</v>
      </c>
      <c r="U31" s="101">
        <f t="shared" si="49"/>
        <v>3.3330043367174276</v>
      </c>
      <c r="V31" s="101">
        <f t="shared" si="49"/>
        <v>3.4875408327380875</v>
      </c>
      <c r="W31" s="101">
        <f t="shared" si="49"/>
        <v>3.6411801438697724</v>
      </c>
      <c r="X31" s="101">
        <f t="shared" si="49"/>
        <v>3.7939698710293386</v>
      </c>
      <c r="Y31" s="101">
        <f t="shared" si="49"/>
        <v>3.9459530431682608</v>
      </c>
      <c r="Z31" s="101">
        <f t="shared" si="49"/>
        <v>4.0971687359997011</v>
      </c>
      <c r="AA31" s="101">
        <f t="shared" si="49"/>
        <v>4.2476525846986481</v>
      </c>
      <c r="AB31" s="101">
        <f t="shared" si="49"/>
        <v>4.3974372122609209</v>
      </c>
      <c r="AC31" s="101">
        <f t="shared" si="49"/>
        <v>4.5465525901071517</v>
      </c>
      <c r="AD31" s="101">
        <f t="shared" si="49"/>
        <v>4.6950263437621773</v>
      </c>
      <c r="AE31" s="101">
        <f t="shared" si="49"/>
        <v>4.8428840136387867</v>
      </c>
      <c r="AF31" s="101">
        <f>EXP(-1.0587+0.8836*LN(AF29)+0.284)</f>
        <v>4.9901492788407484</v>
      </c>
      <c r="AG31" s="101">
        <f t="shared" ref="AG31:BJ31" si="50">EXP(-1.0587+0.8836*LN(AG29)+0.284)</f>
        <v>5.1368441502871596</v>
      </c>
      <c r="AH31" s="101">
        <f t="shared" si="50"/>
        <v>5.2829891382175376</v>
      </c>
      <c r="AI31" s="101">
        <f t="shared" si="50"/>
        <v>5.4286033981705639</v>
      </c>
      <c r="AJ31" s="101">
        <f t="shared" si="50"/>
        <v>5.5737048587712827</v>
      </c>
      <c r="AK31" s="101">
        <f t="shared" si="50"/>
        <v>5.7183103340620756</v>
      </c>
      <c r="AL31" s="101">
        <f t="shared" si="50"/>
        <v>5.862435622634961</v>
      </c>
      <c r="AM31" s="101">
        <f t="shared" si="50"/>
        <v>6.0060955954395334</v>
      </c>
      <c r="AN31" s="101">
        <f t="shared" si="50"/>
        <v>6.1493042738312065</v>
      </c>
      <c r="AO31" s="101">
        <f t="shared" si="50"/>
        <v>6.2920748991727349</v>
      </c>
      <c r="AP31" s="101">
        <f t="shared" si="50"/>
        <v>6.4344199950962606</v>
      </c>
      <c r="AQ31" s="101">
        <f t="shared" si="50"/>
        <v>6.5763514233638842</v>
      </c>
      <c r="AR31" s="101">
        <f t="shared" si="50"/>
        <v>6.7178804341249814</v>
      </c>
      <c r="AS31" s="101">
        <f t="shared" si="50"/>
        <v>6.859017711252279</v>
      </c>
      <c r="AT31" s="101">
        <f t="shared" si="50"/>
        <v>6.9997734133417913</v>
      </c>
      <c r="AU31" s="101">
        <f t="shared" si="50"/>
        <v>7.140157210880437</v>
      </c>
      <c r="AV31" s="101">
        <f t="shared" si="50"/>
        <v>7.2801783200166952</v>
      </c>
      <c r="AW31" s="101">
        <f t="shared" si="50"/>
        <v>7.4198455333118369</v>
      </c>
      <c r="AX31" s="101">
        <f t="shared" si="50"/>
        <v>7.5591672478002456</v>
      </c>
      <c r="AY31" s="101">
        <f t="shared" si="50"/>
        <v>7.6981514906452642</v>
      </c>
      <c r="AZ31" s="101">
        <f t="shared" si="50"/>
        <v>7.8368059426416634</v>
      </c>
      <c r="BA31" s="101">
        <f t="shared" si="50"/>
        <v>7.9751379597847016</v>
      </c>
      <c r="BB31" s="101">
        <f t="shared" si="50"/>
        <v>8.1131545930997735</v>
      </c>
      <c r="BC31" s="101">
        <f t="shared" si="50"/>
        <v>8.2508626069035156</v>
      </c>
      <c r="BD31" s="101">
        <f t="shared" si="50"/>
        <v>8.3882684956477913</v>
      </c>
      <c r="BE31" s="101">
        <f t="shared" si="50"/>
        <v>8.5253784994806523</v>
      </c>
      <c r="BF31" s="101">
        <f t="shared" si="50"/>
        <v>8.6621986186436075</v>
      </c>
      <c r="BG31" s="101">
        <f t="shared" si="50"/>
        <v>8.7987346268113562</v>
      </c>
      <c r="BH31" s="101">
        <f t="shared" si="50"/>
        <v>8.9349920834689254</v>
      </c>
      <c r="BI31" s="101">
        <f t="shared" si="50"/>
        <v>9.0709763454110544</v>
      </c>
      <c r="BJ31" s="133">
        <f t="shared" si="50"/>
        <v>9.2066925774398314</v>
      </c>
      <c r="BK31" s="134"/>
    </row>
    <row r="32" spans="1:177" ht="15" thickBot="1" x14ac:dyDescent="0.4">
      <c r="A32" s="3" t="s">
        <v>184</v>
      </c>
      <c r="B32" s="101">
        <f>(B19*(($B$38-$B$37)/30))</f>
        <v>0</v>
      </c>
      <c r="C32" s="119">
        <f t="shared" ref="C32:AF32" si="51">(C19*(($B$38-$B$37)/30))</f>
        <v>0.33333333333333331</v>
      </c>
      <c r="D32" s="119">
        <f t="shared" si="51"/>
        <v>0.66666666666666663</v>
      </c>
      <c r="E32" s="119">
        <f t="shared" si="51"/>
        <v>1</v>
      </c>
      <c r="F32" s="119">
        <f t="shared" si="51"/>
        <v>1.3333333333333333</v>
      </c>
      <c r="G32" s="119">
        <f t="shared" si="51"/>
        <v>1.6666666666666665</v>
      </c>
      <c r="H32" s="119">
        <f t="shared" si="51"/>
        <v>2</v>
      </c>
      <c r="I32" s="119">
        <f t="shared" si="51"/>
        <v>2.333333333333333</v>
      </c>
      <c r="J32" s="119">
        <f t="shared" si="51"/>
        <v>2.6666666666666665</v>
      </c>
      <c r="K32" s="119">
        <f t="shared" si="51"/>
        <v>3</v>
      </c>
      <c r="L32" s="119">
        <f t="shared" si="51"/>
        <v>3.333333333333333</v>
      </c>
      <c r="M32" s="119">
        <f t="shared" si="51"/>
        <v>3.6666666666666665</v>
      </c>
      <c r="N32" s="119">
        <f t="shared" si="51"/>
        <v>4</v>
      </c>
      <c r="O32" s="119">
        <f t="shared" si="51"/>
        <v>4.333333333333333</v>
      </c>
      <c r="P32" s="119">
        <f t="shared" si="51"/>
        <v>4.6666666666666661</v>
      </c>
      <c r="Q32" s="119">
        <f t="shared" si="51"/>
        <v>5</v>
      </c>
      <c r="R32" s="119">
        <f t="shared" si="51"/>
        <v>5.333333333333333</v>
      </c>
      <c r="S32" s="119">
        <f t="shared" si="51"/>
        <v>5.6666666666666661</v>
      </c>
      <c r="T32" s="119">
        <f t="shared" si="51"/>
        <v>6</v>
      </c>
      <c r="U32" s="119">
        <f t="shared" si="51"/>
        <v>6.333333333333333</v>
      </c>
      <c r="V32" s="119">
        <f t="shared" si="51"/>
        <v>6.6666666666666661</v>
      </c>
      <c r="W32" s="119">
        <f t="shared" si="51"/>
        <v>7</v>
      </c>
      <c r="X32" s="119">
        <f t="shared" si="51"/>
        <v>7.333333333333333</v>
      </c>
      <c r="Y32" s="119">
        <f t="shared" si="51"/>
        <v>7.6666666666666661</v>
      </c>
      <c r="Z32" s="119">
        <f t="shared" si="51"/>
        <v>8</v>
      </c>
      <c r="AA32" s="119">
        <f t="shared" si="51"/>
        <v>8.3333333333333321</v>
      </c>
      <c r="AB32" s="119">
        <f t="shared" si="51"/>
        <v>8.6666666666666661</v>
      </c>
      <c r="AC32" s="119">
        <f t="shared" si="51"/>
        <v>9</v>
      </c>
      <c r="AD32" s="119">
        <f t="shared" si="51"/>
        <v>9.3333333333333321</v>
      </c>
      <c r="AE32" s="119">
        <f t="shared" si="51"/>
        <v>9.6666666666666661</v>
      </c>
      <c r="AF32" s="119">
        <f t="shared" si="51"/>
        <v>10</v>
      </c>
      <c r="AG32" s="119">
        <v>10</v>
      </c>
      <c r="AH32" s="119">
        <v>10</v>
      </c>
      <c r="AI32" s="119">
        <v>10</v>
      </c>
      <c r="AJ32" s="119">
        <v>10</v>
      </c>
      <c r="AK32" s="119">
        <v>10</v>
      </c>
      <c r="AL32" s="119">
        <v>10</v>
      </c>
      <c r="AM32" s="119">
        <v>10</v>
      </c>
      <c r="AN32" s="119">
        <v>10</v>
      </c>
      <c r="AO32" s="119">
        <v>10</v>
      </c>
      <c r="AP32" s="119">
        <v>10</v>
      </c>
      <c r="AQ32" s="119">
        <v>10</v>
      </c>
      <c r="AR32" s="119">
        <v>10</v>
      </c>
      <c r="AS32" s="119">
        <v>10</v>
      </c>
      <c r="AT32" s="119">
        <v>10</v>
      </c>
      <c r="AU32" s="119">
        <v>10</v>
      </c>
      <c r="AV32" s="119">
        <v>10</v>
      </c>
      <c r="AW32" s="119">
        <v>10</v>
      </c>
      <c r="AX32" s="119">
        <v>10</v>
      </c>
      <c r="AY32" s="119">
        <v>10</v>
      </c>
      <c r="AZ32" s="119">
        <v>10</v>
      </c>
      <c r="BA32" s="119">
        <v>10</v>
      </c>
      <c r="BB32" s="119">
        <v>10</v>
      </c>
      <c r="BC32" s="119">
        <v>10</v>
      </c>
      <c r="BD32" s="119">
        <v>10</v>
      </c>
      <c r="BE32" s="119">
        <v>10</v>
      </c>
      <c r="BF32" s="119">
        <v>10</v>
      </c>
      <c r="BG32" s="119">
        <v>10</v>
      </c>
      <c r="BH32" s="119">
        <v>10</v>
      </c>
      <c r="BI32" s="119">
        <v>10</v>
      </c>
      <c r="BJ32" s="119">
        <v>10</v>
      </c>
      <c r="BK32" s="134"/>
    </row>
    <row r="33" spans="1:32" x14ac:dyDescent="0.35">
      <c r="A33" s="155" t="s">
        <v>11</v>
      </c>
      <c r="B33" s="15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row>
    <row r="34" spans="1:32" ht="29.5" thickBot="1" x14ac:dyDescent="0.4">
      <c r="A34" s="3" t="s">
        <v>4</v>
      </c>
      <c r="B34" s="28">
        <v>0.47499999999999998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ht="15" thickBot="1" x14ac:dyDescent="0.4">
      <c r="A35" s="3" t="s">
        <v>5</v>
      </c>
      <c r="B35" s="14">
        <f>IF(B12="Conifères",1.3,1.56)</f>
        <v>1.3</v>
      </c>
      <c r="C35" s="105">
        <f>IF($B$14="Conifères",1.3,1.56)</f>
        <v>1.3</v>
      </c>
      <c r="D35" s="15"/>
      <c r="E35" s="15"/>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ht="29.5" thickBot="1" x14ac:dyDescent="0.4">
      <c r="A36" s="11" t="s">
        <v>149</v>
      </c>
      <c r="B36" s="17" t="s">
        <v>40</v>
      </c>
      <c r="C36" s="24">
        <f>IF(B36="Alisier torminal",0.62,IF(B36="Arbousier",0.64,IF(B36="Aulne vert",0.42,IF(B36="Grands aulnes",0.42,IF(B36="Bouleaux",0.52,IF(B36="Cèdre de l’Atlas",0.36,IF(B36="Charme",0.61,IF(B36="Charme-houblon",0.66,IF(B36="Châtaignier",0.47,IF(B36="Chêne chevelu",0.67,IF(B36="Chêne-liège",0.7,IF(B36="Chêne pédonculé",0.54,IF(B36="Chêne pubescent",0.65,IF(B36="Chêne rouge d’Amérique",0.56,IF(B36="Chêne rouvre (sessile)",0.58,IF(B36="Chêne tauzin",0.64,IF(B36="Chêne vert",0.73,IF(B36="Chênes indifférenciés",0.56,IF(B36="Cornouiller mâle",0.74,IF(B36="Cyprès",0.4,IF(B36="Cytise aubour",0.6,IF(B36="Douglas",0.43,IF(B36="Epicéa commun",0.37,IF(B36="Epicéa de Sitka",0.36,IF(B36="Grands érables",0.51,IF(B36="Petits érables",0.56,IF(B36="Eucalyptus",0.56,IF(B36="Genévrier thurifère",0.48,IF(B36="Hêtre",0.55,IF(B36="Frênes",0.56,IF(B36="Fruitiers",0.58,IF(B36="If",0.58,IF(B36="Mélèze d’Europe",0.48,IF(B36="Mélèze du Japon",0.42,IF(B36="Merisier",0.5,IF(B36="Micocoulier",0.55,IF(B36="Mûrier",0.53,IF(B36="Noisetier",0.52,IF(B36="Noyer",0.52,IF(B36="Olivier",0.75,IF(B36="Ormes",0.52,IF(B36="Peupliers cultivés",0.35,IF(B36="Peupliers non cultivés",0.37,IF(B36="Pin d'Alep",0.45,IF(B36="Pin cembro",0.39,IF(B36="Pin à crochets",0.44,IF(B36="Pin laricio",0.46,IF(B36="Pin maritime",0.46,IF(B36="Pin mugho",0.44,IF(B36="Pin noir d'Autriche",0.46,IF(B36="Pin pignon",0.48,IF(B36="Pin sylvestre",0.44,IF(B36="Pin Weymouth",0.34,IF(B36="Platanes",0.5,IF(B36="Robinier faux acacia",0.58,IF(B36="Sapin méditerranéen",0.37,IF(B36="Sapin de Nordmann",0.37,IF(B36="Sapin pectiné",0.38,IF(B36="Sapin de Vancouver",0.36,IF(B36="Saules",0.37,IF(B36="Tamaris",0.53,IF(B36="Tilleuls",0.43,IF(B36="Tremble",0.38,IF(B36="Conifères (moyenne)",0.42,IF(B36="Feuillus (moyenne)",0.57,0)))))))))))))))))))))))))))))))))))))))))))))))))))))))))))))))))</f>
        <v>0.43</v>
      </c>
      <c r="D36" s="26" t="s">
        <v>70</v>
      </c>
      <c r="E36" s="27">
        <f>IF(D36="Alisier torminal",0.62,IF(D36="Arbousier",0.64,IF(D36="Aulne vert",0.42,IF(D36="Grands aulnes",0.42,IF(D36="Bouleaux",0.52,IF(D36="Cèdre de l’Atlas",0.36,IF(D36="Charme",0.61,IF(D36="Charme-houblon",0.66,IF(D36="Châtaignier",0.47,IF(D36="Chêne chevelu",0.67,IF(D36="Chêne-liège",0.7,IF(D36="Chêne pédonculé",0.54,IF(D36="Chêne pubescent",0.65,IF(D36="Chêne rouge d’Amérique",0.56,IF(D36="Chêne rouvre (sessile)",0.58,IF(D36="Chêne tauzin",0.64,IF(D36="Chêne vert",0.73,IF(D36="Chênes indifférenciés",0.56,IF(D36="Cornouiller mâle",0.74,IF(D36="Cyprès",0.4,IF(D36="Cytise aubour",0.6,IF(D36="Douglas",0.43,IF(D36="Epicéa commun",0.37,IF(D36="Epicéa de Sitka",0.36,IF(D36="Grands érables",0.51,IF(D36="Petits érables",0.56,IF(D36="Eucalyptus",0.56,IF(D36="Genévrier thurifère",0.48,IF(D36="Hêtre",0.55,IF(D36="Frênes",0.56,IF(D36="Fruitiers",0.58,IF(D36="If",0.58,IF(D36="Mélèze d’Europe",0.48,IF(D36="Mélèze du Japon",0.42,IF(D36="Merisier",0.5,IF(D36="Micocoulier",0.55,IF(D36="Mûrier",0.53,IF(D36="Noisetier",0.52,IF(D36="Noyer",0.52,IF(D36="Olivier",0.75,IF(D36="Ormes",0.52,IF(D36="Peupliers cultivés",0.35,IF(D36="Peupliers non cultivés",0.37,IF(D36="Pin d'Alep",0.45,IF(D36="Pin cembro",0.39,IF(D36="Pin à crochets",0.44,IF(D36="Pin laricio",0.46,IF(D36="Pin maritime",0.46,IF(D36="Pin mugho",0.44,IF(D36="Pin noir d'Autriche",0.46,IF(D36="Pin pignon",0.48,IF(D36="Pin sylvestre",0.44,IF(D36="Pin Weymouth",0.34,IF(D36="Platanes",0.5,IF(D36="Robinier faux acacia",0.58,IF(D36="Sapin méditerranéen",0.37,IF(D36="Sapin de Nordmann",0.37,IF(D36="Sapin pectiné",0.38,IF(D36="Sapin de Vancouver",0.36,IF(D36="Saules",0.37,IF(D36="Tamaris",0.53,IF(D36="Tilleuls",0.43,IF(D36="Tremble",0.38,IF(D36="Conifères (moyenne)",0.42,IF(D36="Feuillus (moyenne)",0.57,0)))))))))))))))))))))))))))))))))))))))))))))))))))))))))))))))))</f>
        <v>0.38</v>
      </c>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ht="29" x14ac:dyDescent="0.35">
      <c r="A37" s="3" t="s">
        <v>10</v>
      </c>
      <c r="B37" s="28">
        <v>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x14ac:dyDescent="0.35">
      <c r="A38" s="3" t="s">
        <v>8</v>
      </c>
      <c r="B38" s="28">
        <v>10</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ht="29" x14ac:dyDescent="0.35">
      <c r="A39" s="3" t="s">
        <v>12</v>
      </c>
      <c r="B39" s="28">
        <v>70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ht="17.5" customHeight="1" thickBot="1" x14ac:dyDescent="0.4">
      <c r="A40" s="151"/>
      <c r="B40" s="152"/>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row>
    <row r="41" spans="1:32" ht="58" x14ac:dyDescent="0.35">
      <c r="A41" s="2" t="s">
        <v>205</v>
      </c>
      <c r="B41" s="109">
        <f>AF21-AF28</f>
        <v>487.12726066031291</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ht="58.5" thickBot="1" x14ac:dyDescent="0.4">
      <c r="A42" s="4" t="s">
        <v>206</v>
      </c>
      <c r="B42" s="110">
        <f>B41*B10</f>
        <v>1992.3504961006797</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ht="43.5" x14ac:dyDescent="0.35">
      <c r="A43" s="2" t="s">
        <v>207</v>
      </c>
      <c r="B43" s="102">
        <f>(1/B11)*(SUM(B21:BJ21))</f>
        <v>755.57394023519942</v>
      </c>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row>
    <row r="44" spans="1:32" ht="44" thickBot="1" x14ac:dyDescent="0.4">
      <c r="A44" s="4" t="s">
        <v>208</v>
      </c>
      <c r="B44" s="104">
        <f>B43*B10</f>
        <v>3090.2974155619654</v>
      </c>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row>
    <row r="45" spans="1:32" ht="43.5" x14ac:dyDescent="0.35">
      <c r="A45" s="103" t="s">
        <v>209</v>
      </c>
      <c r="B45" s="106">
        <f>((1/B13)*(SUM(B28:BJ28)))</f>
        <v>323.63784407450993</v>
      </c>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row>
    <row r="46" spans="1:32" ht="44" thickBot="1" x14ac:dyDescent="0.4">
      <c r="A46" s="4" t="s">
        <v>210</v>
      </c>
      <c r="B46" s="104">
        <f>B45*B10</f>
        <v>1323.6787822647455</v>
      </c>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row>
    <row r="47" spans="1:32" ht="72.5" x14ac:dyDescent="0.35">
      <c r="A47" s="2" t="s">
        <v>211</v>
      </c>
      <c r="B47" s="109">
        <f>B43-B45</f>
        <v>431.93609616068949</v>
      </c>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row>
    <row r="48" spans="1:32" ht="73" thickBot="1" x14ac:dyDescent="0.4">
      <c r="A48" s="4" t="s">
        <v>212</v>
      </c>
      <c r="B48" s="110">
        <f>B44-B46</f>
        <v>1766.61863329722</v>
      </c>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row>
  </sheetData>
  <mergeCells count="4">
    <mergeCell ref="A1:I1"/>
    <mergeCell ref="A40:B40"/>
    <mergeCell ref="A9:B9"/>
    <mergeCell ref="A33:B33"/>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5">
        <x14:dataValidation type="list" showInputMessage="1" showErrorMessage="1" prompt="Information nécessaire pour le scénario de référence">
          <x14:formula1>
            <xm:f>'Listes choix'!$T$2:$T$3</xm:f>
          </x14:formula1>
          <xm:sqref>B16</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l'essence pour avoir la di pour le scénario de projet">
          <x14:formula1>
            <xm:f>'Listes choix'!$C$2:$C$66</xm:f>
          </x14:formula1>
          <xm:sqref>B36</xm:sqref>
        </x14:dataValidation>
        <x14:dataValidation type="list" showInputMessage="1" showErrorMessage="1" prompt="Information nécessaire pour le calcul du stock de la Biomasse Aérienne du scénario de référence">
          <x14:formula1>
            <xm:f>'Listes choix'!$B$2:$B$3</xm:f>
          </x14:formula1>
          <xm:sqref>B14</xm:sqref>
        </x14:dataValidation>
        <x14:dataValidation type="list" allowBlank="1" showInputMessage="1" showErrorMessage="1" prompt="Choisir l'essence pour avoir la di pour le scénario de référence">
          <x14:formula1>
            <xm:f>'Listes choix'!$C$2:$C$66</xm:f>
          </x14:formula1>
          <xm:sqref>D36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52"/>
  <sheetViews>
    <sheetView zoomScale="65" workbookViewId="0">
      <selection activeCell="B11" sqref="B11"/>
    </sheetView>
  </sheetViews>
  <sheetFormatPr baseColWidth="10" defaultRowHeight="14.5" x14ac:dyDescent="0.35"/>
  <cols>
    <col min="1" max="1" width="36.81640625" style="1" customWidth="1"/>
    <col min="2" max="2" width="19.90625" customWidth="1"/>
    <col min="4" max="4" width="13.1796875" customWidth="1"/>
  </cols>
  <sheetData>
    <row r="4" spans="1:177" ht="16" thickBot="1" x14ac:dyDescent="0.4">
      <c r="A4" s="19"/>
      <c r="B4" s="7"/>
    </row>
    <row r="5" spans="1:177" ht="31.5" thickBot="1" x14ac:dyDescent="0.4">
      <c r="A5" s="20" t="s">
        <v>180</v>
      </c>
      <c r="B5" s="111">
        <f>(SUM(B39:AF39)/30)*(44/12)</f>
        <v>0.91220835633461661</v>
      </c>
    </row>
    <row r="6" spans="1:177" ht="31.5" thickBot="1" x14ac:dyDescent="0.4">
      <c r="A6" s="20" t="s">
        <v>90</v>
      </c>
      <c r="B6" s="111">
        <f>B5*B10</f>
        <v>3.7309321774085817</v>
      </c>
    </row>
    <row r="8" spans="1:177" ht="15" thickBot="1" x14ac:dyDescent="0.4"/>
    <row r="9" spans="1:177" ht="15" thickBot="1" x14ac:dyDescent="0.4">
      <c r="A9" s="153" t="s">
        <v>14</v>
      </c>
      <c r="B9" s="154"/>
    </row>
    <row r="10" spans="1:177" x14ac:dyDescent="0.35">
      <c r="A10" s="2" t="s">
        <v>7</v>
      </c>
      <c r="B10" s="99">
        <v>4.09</v>
      </c>
    </row>
    <row r="11" spans="1:177" ht="15" thickBot="1" x14ac:dyDescent="0.4">
      <c r="A11" s="4" t="s">
        <v>17</v>
      </c>
      <c r="B11" s="21">
        <v>30</v>
      </c>
    </row>
    <row r="12" spans="1:177" ht="15" thickBot="1" x14ac:dyDescent="0.4"/>
    <row r="13" spans="1:177" s="5" customFormat="1" ht="15.5" x14ac:dyDescent="0.35">
      <c r="A13" s="161" t="s">
        <v>1</v>
      </c>
      <c r="B13" s="162"/>
      <c r="C13" s="162"/>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3"/>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row>
    <row r="14" spans="1:177" ht="29" x14ac:dyDescent="0.35">
      <c r="A14" s="3" t="s">
        <v>161</v>
      </c>
      <c r="B14" s="12">
        <v>0</v>
      </c>
      <c r="C14" s="12">
        <v>1</v>
      </c>
      <c r="D14" s="12">
        <v>2</v>
      </c>
      <c r="E14" s="12">
        <v>3</v>
      </c>
      <c r="F14" s="12">
        <v>4</v>
      </c>
      <c r="G14" s="12">
        <v>5</v>
      </c>
      <c r="H14" s="12">
        <v>6</v>
      </c>
      <c r="I14" s="12">
        <v>7</v>
      </c>
      <c r="J14" s="12">
        <v>8</v>
      </c>
      <c r="K14" s="12">
        <v>9</v>
      </c>
      <c r="L14" s="12">
        <v>10</v>
      </c>
      <c r="M14" s="12">
        <v>11</v>
      </c>
      <c r="N14" s="12">
        <v>12</v>
      </c>
      <c r="O14" s="12">
        <v>13</v>
      </c>
      <c r="P14" s="12">
        <v>14</v>
      </c>
      <c r="Q14" s="12">
        <v>15</v>
      </c>
      <c r="R14" s="12">
        <v>16</v>
      </c>
      <c r="S14" s="12">
        <v>17</v>
      </c>
      <c r="T14" s="12">
        <v>18</v>
      </c>
      <c r="U14" s="12">
        <v>19</v>
      </c>
      <c r="V14" s="12">
        <v>20</v>
      </c>
      <c r="W14" s="12">
        <v>21</v>
      </c>
      <c r="X14" s="12">
        <v>22</v>
      </c>
      <c r="Y14" s="12">
        <v>23</v>
      </c>
      <c r="Z14" s="12">
        <v>24</v>
      </c>
      <c r="AA14" s="135">
        <v>25</v>
      </c>
      <c r="AB14" s="12">
        <v>26</v>
      </c>
      <c r="AC14" s="12">
        <v>27</v>
      </c>
      <c r="AD14" s="12">
        <v>28</v>
      </c>
      <c r="AE14" s="12">
        <v>29</v>
      </c>
      <c r="AF14" s="28">
        <v>30</v>
      </c>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row>
    <row r="15" spans="1:177" s="5" customFormat="1" x14ac:dyDescent="0.35">
      <c r="A15" s="164" t="s">
        <v>3</v>
      </c>
      <c r="B15" s="165"/>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row>
    <row r="16" spans="1:177" x14ac:dyDescent="0.35">
      <c r="A16" s="3" t="s">
        <v>197</v>
      </c>
      <c r="B16" s="12">
        <f>SUM(B17,B20,B23)</f>
        <v>0</v>
      </c>
      <c r="C16" s="12">
        <f t="shared" ref="C16:AE16" si="0">SUM(C17,C20,C23)</f>
        <v>0</v>
      </c>
      <c r="D16" s="12">
        <f t="shared" si="0"/>
        <v>0</v>
      </c>
      <c r="E16" s="12">
        <f t="shared" si="0"/>
        <v>0</v>
      </c>
      <c r="F16" s="12">
        <f t="shared" si="0"/>
        <v>0</v>
      </c>
      <c r="G16" s="12">
        <f t="shared" si="0"/>
        <v>0</v>
      </c>
      <c r="H16" s="12">
        <f t="shared" si="0"/>
        <v>0</v>
      </c>
      <c r="I16" s="12">
        <f t="shared" si="0"/>
        <v>0</v>
      </c>
      <c r="J16" s="12">
        <f t="shared" si="0"/>
        <v>0</v>
      </c>
      <c r="K16" s="12">
        <f t="shared" si="0"/>
        <v>0</v>
      </c>
      <c r="L16" s="12">
        <f t="shared" si="0"/>
        <v>0</v>
      </c>
      <c r="M16" s="12">
        <f t="shared" si="0"/>
        <v>0</v>
      </c>
      <c r="N16" s="12">
        <f t="shared" si="0"/>
        <v>0</v>
      </c>
      <c r="O16" s="12">
        <f t="shared" si="0"/>
        <v>0</v>
      </c>
      <c r="P16" s="12">
        <f t="shared" si="0"/>
        <v>0</v>
      </c>
      <c r="Q16" s="12">
        <f t="shared" si="0"/>
        <v>0</v>
      </c>
      <c r="R16" s="12">
        <f t="shared" si="0"/>
        <v>0</v>
      </c>
      <c r="S16" s="12">
        <f t="shared" si="0"/>
        <v>0</v>
      </c>
      <c r="T16" s="12">
        <f t="shared" si="0"/>
        <v>0</v>
      </c>
      <c r="U16" s="12">
        <f t="shared" si="0"/>
        <v>0</v>
      </c>
      <c r="V16" s="12">
        <f t="shared" si="0"/>
        <v>0</v>
      </c>
      <c r="W16" s="12">
        <f t="shared" si="0"/>
        <v>0</v>
      </c>
      <c r="X16" s="12">
        <f t="shared" si="0"/>
        <v>0</v>
      </c>
      <c r="Y16" s="12">
        <f t="shared" si="0"/>
        <v>0</v>
      </c>
      <c r="Z16" s="12">
        <f t="shared" si="0"/>
        <v>0</v>
      </c>
      <c r="AA16" s="12">
        <f t="shared" si="0"/>
        <v>0</v>
      </c>
      <c r="AB16" s="101">
        <f t="shared" si="0"/>
        <v>3.6300401301780925</v>
      </c>
      <c r="AC16" s="101">
        <f t="shared" si="0"/>
        <v>2.8984408019136567</v>
      </c>
      <c r="AD16" s="101">
        <f t="shared" si="0"/>
        <v>2.3746191916295598</v>
      </c>
      <c r="AE16" s="101">
        <f t="shared" si="0"/>
        <v>1.9978461299476469</v>
      </c>
      <c r="AF16" s="101">
        <f>SUM(AF17,AF20,AF23)</f>
        <v>1.7251771088887413</v>
      </c>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x14ac:dyDescent="0.35">
      <c r="A17" s="68" t="s">
        <v>190</v>
      </c>
      <c r="B17" s="12">
        <v>0</v>
      </c>
      <c r="C17" s="32">
        <f>C18+B19</f>
        <v>0</v>
      </c>
      <c r="D17" s="32">
        <f>D18+C19</f>
        <v>0</v>
      </c>
      <c r="E17" s="32">
        <f>E18+D19</f>
        <v>0</v>
      </c>
      <c r="F17" s="32">
        <f>F18+E19</f>
        <v>0</v>
      </c>
      <c r="G17" s="32">
        <f t="shared" ref="G17:AE17" si="1">G18+F19</f>
        <v>0</v>
      </c>
      <c r="H17" s="32">
        <f t="shared" si="1"/>
        <v>0</v>
      </c>
      <c r="I17" s="32">
        <f t="shared" si="1"/>
        <v>0</v>
      </c>
      <c r="J17" s="32">
        <f t="shared" si="1"/>
        <v>0</v>
      </c>
      <c r="K17" s="32">
        <f t="shared" si="1"/>
        <v>0</v>
      </c>
      <c r="L17" s="32">
        <f t="shared" si="1"/>
        <v>0</v>
      </c>
      <c r="M17" s="32">
        <f t="shared" si="1"/>
        <v>0</v>
      </c>
      <c r="N17" s="32">
        <f t="shared" si="1"/>
        <v>0</v>
      </c>
      <c r="O17" s="32">
        <f t="shared" si="1"/>
        <v>0</v>
      </c>
      <c r="P17" s="32">
        <f t="shared" si="1"/>
        <v>0</v>
      </c>
      <c r="Q17" s="32">
        <f t="shared" si="1"/>
        <v>0</v>
      </c>
      <c r="R17" s="32">
        <f t="shared" si="1"/>
        <v>0</v>
      </c>
      <c r="S17" s="32">
        <f t="shared" si="1"/>
        <v>0</v>
      </c>
      <c r="T17" s="32">
        <f t="shared" si="1"/>
        <v>0</v>
      </c>
      <c r="U17" s="32">
        <f t="shared" si="1"/>
        <v>0</v>
      </c>
      <c r="V17" s="32">
        <f t="shared" si="1"/>
        <v>0</v>
      </c>
      <c r="W17" s="32">
        <f t="shared" si="1"/>
        <v>0</v>
      </c>
      <c r="X17" s="32">
        <f t="shared" si="1"/>
        <v>0</v>
      </c>
      <c r="Y17" s="32">
        <f t="shared" si="1"/>
        <v>0</v>
      </c>
      <c r="Z17" s="32">
        <f t="shared" si="1"/>
        <v>0</v>
      </c>
      <c r="AA17" s="32">
        <f t="shared" si="1"/>
        <v>0</v>
      </c>
      <c r="AB17" s="101">
        <f t="shared" si="1"/>
        <v>1.2134446864211503</v>
      </c>
      <c r="AC17" s="101">
        <f t="shared" si="1"/>
        <v>1.1896497762486087</v>
      </c>
      <c r="AD17" s="101">
        <f>AD18+AC19</f>
        <v>1.1663214697510884</v>
      </c>
      <c r="AE17" s="101">
        <f t="shared" si="1"/>
        <v>1.1434506171151226</v>
      </c>
      <c r="AF17" s="146">
        <f>AF18+AE19</f>
        <v>1.1210282479495055</v>
      </c>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ht="29" x14ac:dyDescent="0.35">
      <c r="A18" s="68" t="s">
        <v>189</v>
      </c>
      <c r="B18" s="12">
        <v>0</v>
      </c>
      <c r="C18" s="32">
        <f t="shared" ref="C18:AF18" si="2">(EXP(-$C$47))*B17</f>
        <v>0</v>
      </c>
      <c r="D18" s="32">
        <f t="shared" si="2"/>
        <v>0</v>
      </c>
      <c r="E18" s="32">
        <f t="shared" si="2"/>
        <v>0</v>
      </c>
      <c r="F18" s="32">
        <f t="shared" si="2"/>
        <v>0</v>
      </c>
      <c r="G18" s="32">
        <f t="shared" si="2"/>
        <v>0</v>
      </c>
      <c r="H18" s="32">
        <f t="shared" si="2"/>
        <v>0</v>
      </c>
      <c r="I18" s="32">
        <f t="shared" si="2"/>
        <v>0</v>
      </c>
      <c r="J18" s="32">
        <f t="shared" si="2"/>
        <v>0</v>
      </c>
      <c r="K18" s="32">
        <f t="shared" si="2"/>
        <v>0</v>
      </c>
      <c r="L18" s="32">
        <f t="shared" si="2"/>
        <v>0</v>
      </c>
      <c r="M18" s="32">
        <f t="shared" si="2"/>
        <v>0</v>
      </c>
      <c r="N18" s="32">
        <f t="shared" si="2"/>
        <v>0</v>
      </c>
      <c r="O18" s="32">
        <f t="shared" si="2"/>
        <v>0</v>
      </c>
      <c r="P18" s="32">
        <f t="shared" si="2"/>
        <v>0</v>
      </c>
      <c r="Q18" s="32">
        <f t="shared" si="2"/>
        <v>0</v>
      </c>
      <c r="R18" s="32">
        <f t="shared" si="2"/>
        <v>0</v>
      </c>
      <c r="S18" s="32">
        <f t="shared" si="2"/>
        <v>0</v>
      </c>
      <c r="T18" s="32">
        <f t="shared" si="2"/>
        <v>0</v>
      </c>
      <c r="U18" s="32">
        <f t="shared" si="2"/>
        <v>0</v>
      </c>
      <c r="V18" s="32">
        <f t="shared" si="2"/>
        <v>0</v>
      </c>
      <c r="W18" s="32">
        <f t="shared" si="2"/>
        <v>0</v>
      </c>
      <c r="X18" s="32">
        <f t="shared" si="2"/>
        <v>0</v>
      </c>
      <c r="Y18" s="32">
        <f t="shared" si="2"/>
        <v>0</v>
      </c>
      <c r="Z18" s="32">
        <f t="shared" si="2"/>
        <v>0</v>
      </c>
      <c r="AA18" s="32">
        <f t="shared" si="2"/>
        <v>0</v>
      </c>
      <c r="AB18" s="101">
        <f t="shared" si="2"/>
        <v>0</v>
      </c>
      <c r="AC18" s="101">
        <f t="shared" si="2"/>
        <v>1.1896497762486087</v>
      </c>
      <c r="AD18" s="101">
        <f t="shared" si="2"/>
        <v>1.1663214697510884</v>
      </c>
      <c r="AE18" s="101">
        <f t="shared" si="2"/>
        <v>1.1434506171151226</v>
      </c>
      <c r="AF18" s="146">
        <f t="shared" si="2"/>
        <v>1.1210282479495055</v>
      </c>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43.5" x14ac:dyDescent="0.35">
      <c r="A19" s="68" t="s">
        <v>188</v>
      </c>
      <c r="B19" s="12">
        <f t="shared" ref="B19:AF19" si="3">((1-EXP(-$C$47))/$C$47)*(B26*$C$42*$B$41)</f>
        <v>0</v>
      </c>
      <c r="C19" s="12">
        <f t="shared" si="3"/>
        <v>0</v>
      </c>
      <c r="D19" s="12">
        <f t="shared" si="3"/>
        <v>0</v>
      </c>
      <c r="E19" s="12">
        <f t="shared" si="3"/>
        <v>0</v>
      </c>
      <c r="F19" s="12">
        <f t="shared" si="3"/>
        <v>0</v>
      </c>
      <c r="G19" s="12">
        <f t="shared" si="3"/>
        <v>0</v>
      </c>
      <c r="H19" s="12">
        <f t="shared" si="3"/>
        <v>0</v>
      </c>
      <c r="I19" s="12">
        <f t="shared" si="3"/>
        <v>0</v>
      </c>
      <c r="J19" s="12">
        <f t="shared" si="3"/>
        <v>0</v>
      </c>
      <c r="K19" s="12">
        <f t="shared" si="3"/>
        <v>0</v>
      </c>
      <c r="L19" s="12">
        <f t="shared" si="3"/>
        <v>0</v>
      </c>
      <c r="M19" s="12">
        <f t="shared" si="3"/>
        <v>0</v>
      </c>
      <c r="N19" s="12">
        <f t="shared" si="3"/>
        <v>0</v>
      </c>
      <c r="O19" s="12">
        <f t="shared" si="3"/>
        <v>0</v>
      </c>
      <c r="P19" s="12">
        <f t="shared" si="3"/>
        <v>0</v>
      </c>
      <c r="Q19" s="12">
        <f t="shared" si="3"/>
        <v>0</v>
      </c>
      <c r="R19" s="12">
        <f t="shared" si="3"/>
        <v>0</v>
      </c>
      <c r="S19" s="12">
        <f t="shared" si="3"/>
        <v>0</v>
      </c>
      <c r="T19" s="12">
        <f t="shared" si="3"/>
        <v>0</v>
      </c>
      <c r="U19" s="12">
        <f t="shared" si="3"/>
        <v>0</v>
      </c>
      <c r="V19" s="12">
        <f t="shared" si="3"/>
        <v>0</v>
      </c>
      <c r="W19" s="12">
        <f t="shared" si="3"/>
        <v>0</v>
      </c>
      <c r="X19" s="12">
        <f t="shared" si="3"/>
        <v>0</v>
      </c>
      <c r="Y19" s="12">
        <f t="shared" si="3"/>
        <v>0</v>
      </c>
      <c r="Z19" s="12">
        <f t="shared" si="3"/>
        <v>0</v>
      </c>
      <c r="AA19" s="101">
        <f t="shared" si="3"/>
        <v>1.2134446864211503</v>
      </c>
      <c r="AB19" s="12">
        <f t="shared" si="3"/>
        <v>0</v>
      </c>
      <c r="AC19" s="12">
        <f t="shared" si="3"/>
        <v>0</v>
      </c>
      <c r="AD19" s="12">
        <f t="shared" si="3"/>
        <v>0</v>
      </c>
      <c r="AE19" s="12">
        <f t="shared" si="3"/>
        <v>0</v>
      </c>
      <c r="AF19" s="28">
        <f t="shared" si="3"/>
        <v>0</v>
      </c>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x14ac:dyDescent="0.35">
      <c r="A20" s="69" t="s">
        <v>191</v>
      </c>
      <c r="B20" s="12">
        <v>0</v>
      </c>
      <c r="C20" s="32">
        <f>C21+B22</f>
        <v>0</v>
      </c>
      <c r="D20" s="32">
        <f>D21+C22</f>
        <v>0</v>
      </c>
      <c r="E20" s="32">
        <f>E21+D22</f>
        <v>0</v>
      </c>
      <c r="F20" s="32">
        <f t="shared" ref="F20:AF20" si="4">F21+E22</f>
        <v>0</v>
      </c>
      <c r="G20" s="32">
        <f t="shared" si="4"/>
        <v>0</v>
      </c>
      <c r="H20" s="32">
        <f t="shared" si="4"/>
        <v>0</v>
      </c>
      <c r="I20" s="32">
        <f t="shared" si="4"/>
        <v>0</v>
      </c>
      <c r="J20" s="32">
        <f t="shared" si="4"/>
        <v>0</v>
      </c>
      <c r="K20" s="32">
        <f t="shared" si="4"/>
        <v>0</v>
      </c>
      <c r="L20" s="32">
        <f t="shared" si="4"/>
        <v>0</v>
      </c>
      <c r="M20" s="32">
        <f t="shared" si="4"/>
        <v>0</v>
      </c>
      <c r="N20" s="32">
        <f t="shared" si="4"/>
        <v>0</v>
      </c>
      <c r="O20" s="32">
        <f t="shared" si="4"/>
        <v>0</v>
      </c>
      <c r="P20" s="32">
        <f t="shared" si="4"/>
        <v>0</v>
      </c>
      <c r="Q20" s="32">
        <f t="shared" si="4"/>
        <v>0</v>
      </c>
      <c r="R20" s="32">
        <f t="shared" si="4"/>
        <v>0</v>
      </c>
      <c r="S20" s="32">
        <f t="shared" si="4"/>
        <v>0</v>
      </c>
      <c r="T20" s="32">
        <f t="shared" si="4"/>
        <v>0</v>
      </c>
      <c r="U20" s="32">
        <f t="shared" si="4"/>
        <v>0</v>
      </c>
      <c r="V20" s="32">
        <f t="shared" si="4"/>
        <v>0</v>
      </c>
      <c r="W20" s="32">
        <f t="shared" si="4"/>
        <v>0</v>
      </c>
      <c r="X20" s="32">
        <f t="shared" si="4"/>
        <v>0</v>
      </c>
      <c r="Y20" s="32">
        <f t="shared" si="4"/>
        <v>0</v>
      </c>
      <c r="Z20" s="32">
        <f t="shared" si="4"/>
        <v>0</v>
      </c>
      <c r="AA20" s="32">
        <f t="shared" si="4"/>
        <v>0</v>
      </c>
      <c r="AB20" s="101">
        <f t="shared" si="4"/>
        <v>0</v>
      </c>
      <c r="AC20" s="101">
        <f t="shared" si="4"/>
        <v>0</v>
      </c>
      <c r="AD20" s="101">
        <f t="shared" si="4"/>
        <v>0</v>
      </c>
      <c r="AE20" s="101">
        <f>AE21+AD22</f>
        <v>0</v>
      </c>
      <c r="AF20" s="146">
        <f t="shared" si="4"/>
        <v>0</v>
      </c>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29" x14ac:dyDescent="0.35">
      <c r="A21" s="69" t="s">
        <v>192</v>
      </c>
      <c r="B21" s="12">
        <v>0</v>
      </c>
      <c r="C21" s="32">
        <f t="shared" ref="C21:AF21" si="5">(EXP(-$C$48))*B20</f>
        <v>0</v>
      </c>
      <c r="D21" s="32">
        <f t="shared" si="5"/>
        <v>0</v>
      </c>
      <c r="E21" s="32">
        <f t="shared" si="5"/>
        <v>0</v>
      </c>
      <c r="F21" s="32">
        <f t="shared" si="5"/>
        <v>0</v>
      </c>
      <c r="G21" s="32">
        <f t="shared" si="5"/>
        <v>0</v>
      </c>
      <c r="H21" s="32">
        <f t="shared" si="5"/>
        <v>0</v>
      </c>
      <c r="I21" s="32">
        <f t="shared" si="5"/>
        <v>0</v>
      </c>
      <c r="J21" s="32">
        <f t="shared" si="5"/>
        <v>0</v>
      </c>
      <c r="K21" s="32">
        <f t="shared" si="5"/>
        <v>0</v>
      </c>
      <c r="L21" s="32">
        <f t="shared" si="5"/>
        <v>0</v>
      </c>
      <c r="M21" s="32">
        <f t="shared" si="5"/>
        <v>0</v>
      </c>
      <c r="N21" s="32">
        <f t="shared" si="5"/>
        <v>0</v>
      </c>
      <c r="O21" s="32">
        <f t="shared" si="5"/>
        <v>0</v>
      </c>
      <c r="P21" s="32">
        <f t="shared" si="5"/>
        <v>0</v>
      </c>
      <c r="Q21" s="32">
        <f t="shared" si="5"/>
        <v>0</v>
      </c>
      <c r="R21" s="32">
        <f t="shared" si="5"/>
        <v>0</v>
      </c>
      <c r="S21" s="32">
        <f t="shared" si="5"/>
        <v>0</v>
      </c>
      <c r="T21" s="32">
        <f t="shared" si="5"/>
        <v>0</v>
      </c>
      <c r="U21" s="32">
        <f t="shared" si="5"/>
        <v>0</v>
      </c>
      <c r="V21" s="32">
        <f t="shared" si="5"/>
        <v>0</v>
      </c>
      <c r="W21" s="32">
        <f t="shared" si="5"/>
        <v>0</v>
      </c>
      <c r="X21" s="32">
        <f t="shared" si="5"/>
        <v>0</v>
      </c>
      <c r="Y21" s="32">
        <f t="shared" si="5"/>
        <v>0</v>
      </c>
      <c r="Z21" s="32">
        <f t="shared" si="5"/>
        <v>0</v>
      </c>
      <c r="AA21" s="32">
        <f t="shared" si="5"/>
        <v>0</v>
      </c>
      <c r="AB21" s="101">
        <f t="shared" si="5"/>
        <v>0</v>
      </c>
      <c r="AC21" s="101">
        <f t="shared" si="5"/>
        <v>0</v>
      </c>
      <c r="AD21" s="101">
        <f t="shared" si="5"/>
        <v>0</v>
      </c>
      <c r="AE21" s="101">
        <f t="shared" si="5"/>
        <v>0</v>
      </c>
      <c r="AF21" s="146">
        <f t="shared" si="5"/>
        <v>0</v>
      </c>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ht="43.5" x14ac:dyDescent="0.35">
      <c r="A22" s="69" t="s">
        <v>193</v>
      </c>
      <c r="B22" s="12">
        <f t="shared" ref="B22:AF22" si="6">((1-EXP(-$C$48))/$C$48)*(B27*$C$42*$B$41)</f>
        <v>0</v>
      </c>
      <c r="C22" s="12">
        <f t="shared" si="6"/>
        <v>0</v>
      </c>
      <c r="D22" s="12">
        <f t="shared" si="6"/>
        <v>0</v>
      </c>
      <c r="E22" s="12">
        <f t="shared" si="6"/>
        <v>0</v>
      </c>
      <c r="F22" s="12">
        <f t="shared" si="6"/>
        <v>0</v>
      </c>
      <c r="G22" s="12">
        <f t="shared" si="6"/>
        <v>0</v>
      </c>
      <c r="H22" s="12">
        <f t="shared" si="6"/>
        <v>0</v>
      </c>
      <c r="I22" s="12">
        <f t="shared" si="6"/>
        <v>0</v>
      </c>
      <c r="J22" s="12">
        <f t="shared" si="6"/>
        <v>0</v>
      </c>
      <c r="K22" s="12">
        <f t="shared" si="6"/>
        <v>0</v>
      </c>
      <c r="L22" s="12">
        <f t="shared" si="6"/>
        <v>0</v>
      </c>
      <c r="M22" s="12">
        <f t="shared" si="6"/>
        <v>0</v>
      </c>
      <c r="N22" s="12">
        <f t="shared" si="6"/>
        <v>0</v>
      </c>
      <c r="O22" s="12">
        <f t="shared" si="6"/>
        <v>0</v>
      </c>
      <c r="P22" s="12">
        <f t="shared" si="6"/>
        <v>0</v>
      </c>
      <c r="Q22" s="12">
        <f t="shared" si="6"/>
        <v>0</v>
      </c>
      <c r="R22" s="12">
        <f t="shared" si="6"/>
        <v>0</v>
      </c>
      <c r="S22" s="12">
        <f t="shared" si="6"/>
        <v>0</v>
      </c>
      <c r="T22" s="12">
        <f t="shared" si="6"/>
        <v>0</v>
      </c>
      <c r="U22" s="12">
        <f t="shared" si="6"/>
        <v>0</v>
      </c>
      <c r="V22" s="12">
        <f t="shared" si="6"/>
        <v>0</v>
      </c>
      <c r="W22" s="12">
        <f t="shared" si="6"/>
        <v>0</v>
      </c>
      <c r="X22" s="12">
        <f t="shared" si="6"/>
        <v>0</v>
      </c>
      <c r="Y22" s="12">
        <f t="shared" si="6"/>
        <v>0</v>
      </c>
      <c r="Z22" s="12">
        <f t="shared" si="6"/>
        <v>0</v>
      </c>
      <c r="AA22" s="101">
        <f t="shared" si="6"/>
        <v>0</v>
      </c>
      <c r="AB22" s="12">
        <f t="shared" si="6"/>
        <v>0</v>
      </c>
      <c r="AC22" s="12">
        <f t="shared" si="6"/>
        <v>0</v>
      </c>
      <c r="AD22" s="12">
        <f t="shared" si="6"/>
        <v>0</v>
      </c>
      <c r="AE22" s="12">
        <f t="shared" si="6"/>
        <v>0</v>
      </c>
      <c r="AF22" s="28">
        <f t="shared" si="6"/>
        <v>0</v>
      </c>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70" t="s">
        <v>194</v>
      </c>
      <c r="B23" s="12">
        <v>0</v>
      </c>
      <c r="C23" s="32">
        <f>C24+B25</f>
        <v>0</v>
      </c>
      <c r="D23" s="32">
        <f>D24+C25</f>
        <v>0</v>
      </c>
      <c r="E23" s="32">
        <f t="shared" ref="E23:AF23" si="7">E24+D25</f>
        <v>0</v>
      </c>
      <c r="F23" s="32">
        <f>F24+E25</f>
        <v>0</v>
      </c>
      <c r="G23" s="32">
        <f t="shared" si="7"/>
        <v>0</v>
      </c>
      <c r="H23" s="32">
        <f t="shared" si="7"/>
        <v>0</v>
      </c>
      <c r="I23" s="32">
        <f t="shared" si="7"/>
        <v>0</v>
      </c>
      <c r="J23" s="32">
        <f t="shared" si="7"/>
        <v>0</v>
      </c>
      <c r="K23" s="32">
        <f t="shared" si="7"/>
        <v>0</v>
      </c>
      <c r="L23" s="32">
        <f t="shared" si="7"/>
        <v>0</v>
      </c>
      <c r="M23" s="32">
        <f>M24+L25</f>
        <v>0</v>
      </c>
      <c r="N23" s="32">
        <f t="shared" si="7"/>
        <v>0</v>
      </c>
      <c r="O23" s="32">
        <f t="shared" si="7"/>
        <v>0</v>
      </c>
      <c r="P23" s="32">
        <f t="shared" si="7"/>
        <v>0</v>
      </c>
      <c r="Q23" s="32">
        <f t="shared" si="7"/>
        <v>0</v>
      </c>
      <c r="R23" s="32">
        <f t="shared" si="7"/>
        <v>0</v>
      </c>
      <c r="S23" s="32">
        <f t="shared" si="7"/>
        <v>0</v>
      </c>
      <c r="T23" s="32">
        <f t="shared" si="7"/>
        <v>0</v>
      </c>
      <c r="U23" s="32">
        <f t="shared" si="7"/>
        <v>0</v>
      </c>
      <c r="V23" s="32">
        <f t="shared" si="7"/>
        <v>0</v>
      </c>
      <c r="W23" s="32">
        <f t="shared" si="7"/>
        <v>0</v>
      </c>
      <c r="X23" s="32">
        <f t="shared" si="7"/>
        <v>0</v>
      </c>
      <c r="Y23" s="32">
        <f t="shared" si="7"/>
        <v>0</v>
      </c>
      <c r="Z23" s="32">
        <f t="shared" si="7"/>
        <v>0</v>
      </c>
      <c r="AA23" s="32">
        <f t="shared" si="7"/>
        <v>0</v>
      </c>
      <c r="AB23" s="32">
        <f t="shared" si="7"/>
        <v>2.4165954437569424</v>
      </c>
      <c r="AC23" s="32">
        <f t="shared" si="7"/>
        <v>1.708791025665048</v>
      </c>
      <c r="AD23" s="32">
        <f t="shared" si="7"/>
        <v>1.2082977218784714</v>
      </c>
      <c r="AE23" s="32">
        <f t="shared" si="7"/>
        <v>0.85439551283252424</v>
      </c>
      <c r="AF23" s="114">
        <f t="shared" si="7"/>
        <v>0.60414886093923581</v>
      </c>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ht="29" x14ac:dyDescent="0.35">
      <c r="A24" s="70" t="s">
        <v>195</v>
      </c>
      <c r="B24" s="12">
        <v>0</v>
      </c>
      <c r="C24" s="32">
        <f t="shared" ref="C24:AF24" si="8">(EXP(-$C$49))*B23</f>
        <v>0</v>
      </c>
      <c r="D24" s="32">
        <f t="shared" si="8"/>
        <v>0</v>
      </c>
      <c r="E24" s="32">
        <f t="shared" si="8"/>
        <v>0</v>
      </c>
      <c r="F24" s="32">
        <f t="shared" si="8"/>
        <v>0</v>
      </c>
      <c r="G24" s="32">
        <f t="shared" si="8"/>
        <v>0</v>
      </c>
      <c r="H24" s="32">
        <f t="shared" si="8"/>
        <v>0</v>
      </c>
      <c r="I24" s="32">
        <f t="shared" si="8"/>
        <v>0</v>
      </c>
      <c r="J24" s="32">
        <f t="shared" si="8"/>
        <v>0</v>
      </c>
      <c r="K24" s="32">
        <f t="shared" si="8"/>
        <v>0</v>
      </c>
      <c r="L24" s="32">
        <f t="shared" si="8"/>
        <v>0</v>
      </c>
      <c r="M24" s="32">
        <f t="shared" si="8"/>
        <v>0</v>
      </c>
      <c r="N24" s="32">
        <f t="shared" si="8"/>
        <v>0</v>
      </c>
      <c r="O24" s="32">
        <f t="shared" si="8"/>
        <v>0</v>
      </c>
      <c r="P24" s="32">
        <f t="shared" si="8"/>
        <v>0</v>
      </c>
      <c r="Q24" s="32">
        <f t="shared" si="8"/>
        <v>0</v>
      </c>
      <c r="R24" s="32">
        <f t="shared" si="8"/>
        <v>0</v>
      </c>
      <c r="S24" s="32">
        <f t="shared" si="8"/>
        <v>0</v>
      </c>
      <c r="T24" s="32">
        <f t="shared" si="8"/>
        <v>0</v>
      </c>
      <c r="U24" s="32">
        <f t="shared" si="8"/>
        <v>0</v>
      </c>
      <c r="V24" s="32">
        <f t="shared" si="8"/>
        <v>0</v>
      </c>
      <c r="W24" s="32">
        <f t="shared" si="8"/>
        <v>0</v>
      </c>
      <c r="X24" s="32">
        <f t="shared" si="8"/>
        <v>0</v>
      </c>
      <c r="Y24" s="32">
        <f t="shared" si="8"/>
        <v>0</v>
      </c>
      <c r="Z24" s="32">
        <f t="shared" si="8"/>
        <v>0</v>
      </c>
      <c r="AA24" s="32">
        <f t="shared" si="8"/>
        <v>0</v>
      </c>
      <c r="AB24" s="32">
        <f t="shared" si="8"/>
        <v>0</v>
      </c>
      <c r="AC24" s="32">
        <f t="shared" si="8"/>
        <v>1.708791025665048</v>
      </c>
      <c r="AD24" s="32">
        <f t="shared" si="8"/>
        <v>1.2082977218784714</v>
      </c>
      <c r="AE24" s="32">
        <f t="shared" si="8"/>
        <v>0.85439551283252424</v>
      </c>
      <c r="AF24" s="114">
        <f t="shared" si="8"/>
        <v>0.60414886093923581</v>
      </c>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row>
    <row r="25" spans="1:177" ht="43.5" x14ac:dyDescent="0.35">
      <c r="A25" s="70" t="s">
        <v>196</v>
      </c>
      <c r="B25" s="12">
        <f t="shared" ref="B25:AF25" si="9">((1-EXP(-$C$49))/$C$49)*(B28*$C$42*$B$41)</f>
        <v>0</v>
      </c>
      <c r="C25" s="12">
        <f t="shared" si="9"/>
        <v>0</v>
      </c>
      <c r="D25" s="12">
        <f t="shared" si="9"/>
        <v>0</v>
      </c>
      <c r="E25" s="12">
        <f t="shared" si="9"/>
        <v>0</v>
      </c>
      <c r="F25" s="12">
        <f t="shared" si="9"/>
        <v>0</v>
      </c>
      <c r="G25" s="12">
        <f t="shared" si="9"/>
        <v>0</v>
      </c>
      <c r="H25" s="12">
        <f t="shared" si="9"/>
        <v>0</v>
      </c>
      <c r="I25" s="12">
        <f t="shared" si="9"/>
        <v>0</v>
      </c>
      <c r="J25" s="12">
        <f t="shared" si="9"/>
        <v>0</v>
      </c>
      <c r="K25" s="12">
        <f t="shared" si="9"/>
        <v>0</v>
      </c>
      <c r="L25" s="12">
        <f t="shared" si="9"/>
        <v>0</v>
      </c>
      <c r="M25" s="12">
        <f t="shared" si="9"/>
        <v>0</v>
      </c>
      <c r="N25" s="12">
        <f t="shared" si="9"/>
        <v>0</v>
      </c>
      <c r="O25" s="12">
        <f t="shared" si="9"/>
        <v>0</v>
      </c>
      <c r="P25" s="12">
        <f t="shared" si="9"/>
        <v>0</v>
      </c>
      <c r="Q25" s="12">
        <f t="shared" si="9"/>
        <v>0</v>
      </c>
      <c r="R25" s="12">
        <f t="shared" si="9"/>
        <v>0</v>
      </c>
      <c r="S25" s="12">
        <f t="shared" si="9"/>
        <v>0</v>
      </c>
      <c r="T25" s="12">
        <f t="shared" si="9"/>
        <v>0</v>
      </c>
      <c r="U25" s="12">
        <f t="shared" si="9"/>
        <v>0</v>
      </c>
      <c r="V25" s="12">
        <f t="shared" si="9"/>
        <v>0</v>
      </c>
      <c r="W25" s="12">
        <f t="shared" si="9"/>
        <v>0</v>
      </c>
      <c r="X25" s="12">
        <f t="shared" si="9"/>
        <v>0</v>
      </c>
      <c r="Y25" s="12">
        <f t="shared" si="9"/>
        <v>0</v>
      </c>
      <c r="Z25" s="12">
        <f t="shared" si="9"/>
        <v>0</v>
      </c>
      <c r="AA25" s="12">
        <f t="shared" si="9"/>
        <v>2.4165954437569424</v>
      </c>
      <c r="AB25" s="12">
        <f t="shared" si="9"/>
        <v>0</v>
      </c>
      <c r="AC25" s="12">
        <f t="shared" si="9"/>
        <v>0</v>
      </c>
      <c r="AD25" s="12">
        <f t="shared" si="9"/>
        <v>0</v>
      </c>
      <c r="AE25" s="12">
        <f t="shared" si="9"/>
        <v>0</v>
      </c>
      <c r="AF25" s="28">
        <f t="shared" si="9"/>
        <v>0</v>
      </c>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row>
    <row r="26" spans="1:177" ht="32" customHeight="1" x14ac:dyDescent="0.35">
      <c r="A26" s="118" t="s">
        <v>214</v>
      </c>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f>((30*40)/100)/2</f>
        <v>6</v>
      </c>
      <c r="AB26" s="17"/>
      <c r="AC26" s="17"/>
      <c r="AD26" s="17"/>
      <c r="AE26" s="17"/>
      <c r="AF26" s="115"/>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row>
    <row r="27" spans="1:177" ht="32" customHeight="1" x14ac:dyDescent="0.35">
      <c r="A27" s="18" t="s">
        <v>215</v>
      </c>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15"/>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row>
    <row r="28" spans="1:177" x14ac:dyDescent="0.35">
      <c r="A28" s="18" t="s">
        <v>216</v>
      </c>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v>14</v>
      </c>
      <c r="AB28" s="17"/>
      <c r="AC28" s="17"/>
      <c r="AD28" s="17"/>
      <c r="AE28" s="17"/>
      <c r="AF28" s="115"/>
    </row>
    <row r="29" spans="1:177" x14ac:dyDescent="0.35">
      <c r="A29" s="167" t="s">
        <v>2</v>
      </c>
      <c r="B29" s="168"/>
      <c r="C29" s="168"/>
      <c r="D29" s="168"/>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9"/>
    </row>
    <row r="30" spans="1:177" x14ac:dyDescent="0.35">
      <c r="A30" s="3" t="s">
        <v>198</v>
      </c>
      <c r="B30" s="12">
        <f>SUM(B31,B34)</f>
        <v>0</v>
      </c>
      <c r="C30" s="12">
        <f t="shared" ref="C30:AF30" si="10">SUM(C31,C34)</f>
        <v>0</v>
      </c>
      <c r="D30" s="12">
        <f t="shared" si="10"/>
        <v>0</v>
      </c>
      <c r="E30" s="12">
        <f t="shared" si="10"/>
        <v>0</v>
      </c>
      <c r="F30" s="12">
        <f t="shared" si="10"/>
        <v>0</v>
      </c>
      <c r="G30" s="12">
        <f t="shared" si="10"/>
        <v>0</v>
      </c>
      <c r="H30" s="12">
        <f t="shared" si="10"/>
        <v>0</v>
      </c>
      <c r="I30" s="12">
        <f t="shared" si="10"/>
        <v>0</v>
      </c>
      <c r="J30" s="12">
        <f t="shared" si="10"/>
        <v>0</v>
      </c>
      <c r="K30" s="12">
        <f t="shared" si="10"/>
        <v>0</v>
      </c>
      <c r="L30" s="12">
        <f t="shared" si="10"/>
        <v>0</v>
      </c>
      <c r="M30" s="12">
        <f t="shared" si="10"/>
        <v>0</v>
      </c>
      <c r="N30" s="12">
        <f t="shared" si="10"/>
        <v>0</v>
      </c>
      <c r="O30" s="12">
        <f t="shared" si="10"/>
        <v>0</v>
      </c>
      <c r="P30" s="12">
        <f t="shared" si="10"/>
        <v>0</v>
      </c>
      <c r="Q30" s="12">
        <f t="shared" si="10"/>
        <v>0</v>
      </c>
      <c r="R30" s="12">
        <f t="shared" si="10"/>
        <v>0</v>
      </c>
      <c r="S30" s="12">
        <f t="shared" si="10"/>
        <v>0</v>
      </c>
      <c r="T30" s="12">
        <f t="shared" si="10"/>
        <v>0</v>
      </c>
      <c r="U30" s="12">
        <f t="shared" si="10"/>
        <v>0</v>
      </c>
      <c r="V30" s="12">
        <f t="shared" si="10"/>
        <v>0</v>
      </c>
      <c r="W30" s="12">
        <f t="shared" si="10"/>
        <v>0</v>
      </c>
      <c r="X30" s="12">
        <f t="shared" si="10"/>
        <v>0</v>
      </c>
      <c r="Y30" s="12">
        <f t="shared" si="10"/>
        <v>0</v>
      </c>
      <c r="Z30" s="12">
        <f t="shared" si="10"/>
        <v>0</v>
      </c>
      <c r="AA30" s="12">
        <f t="shared" si="10"/>
        <v>0</v>
      </c>
      <c r="AB30" s="12">
        <f t="shared" si="10"/>
        <v>0</v>
      </c>
      <c r="AC30" s="12">
        <f t="shared" si="10"/>
        <v>0</v>
      </c>
      <c r="AD30" s="12">
        <f t="shared" si="10"/>
        <v>0</v>
      </c>
      <c r="AE30" s="12">
        <f t="shared" si="10"/>
        <v>0</v>
      </c>
      <c r="AF30" s="101">
        <f t="shared" si="10"/>
        <v>5.1626004470926512</v>
      </c>
    </row>
    <row r="31" spans="1:177" x14ac:dyDescent="0.35">
      <c r="A31" s="69" t="s">
        <v>191</v>
      </c>
      <c r="B31" s="12">
        <v>0</v>
      </c>
      <c r="C31" s="32">
        <f>C32+B33</f>
        <v>0</v>
      </c>
      <c r="D31" s="32">
        <f>D32+C33</f>
        <v>0</v>
      </c>
      <c r="E31" s="32">
        <f t="shared" ref="E31:AE31" si="11">E32+D33</f>
        <v>0</v>
      </c>
      <c r="F31" s="32">
        <f t="shared" si="11"/>
        <v>0</v>
      </c>
      <c r="G31" s="32">
        <f t="shared" si="11"/>
        <v>0</v>
      </c>
      <c r="H31" s="32">
        <f t="shared" si="11"/>
        <v>0</v>
      </c>
      <c r="I31" s="32">
        <f t="shared" si="11"/>
        <v>0</v>
      </c>
      <c r="J31" s="32">
        <f t="shared" si="11"/>
        <v>0</v>
      </c>
      <c r="K31" s="32">
        <f t="shared" si="11"/>
        <v>0</v>
      </c>
      <c r="L31" s="32">
        <f t="shared" si="11"/>
        <v>0</v>
      </c>
      <c r="M31" s="32">
        <f t="shared" si="11"/>
        <v>0</v>
      </c>
      <c r="N31" s="32">
        <f t="shared" si="11"/>
        <v>0</v>
      </c>
      <c r="O31" s="32">
        <f t="shared" si="11"/>
        <v>0</v>
      </c>
      <c r="P31" s="32">
        <f t="shared" si="11"/>
        <v>0</v>
      </c>
      <c r="Q31" s="32">
        <f t="shared" si="11"/>
        <v>0</v>
      </c>
      <c r="R31" s="32">
        <f t="shared" si="11"/>
        <v>0</v>
      </c>
      <c r="S31" s="32">
        <f t="shared" si="11"/>
        <v>0</v>
      </c>
      <c r="T31" s="32">
        <f t="shared" si="11"/>
        <v>0</v>
      </c>
      <c r="U31" s="32">
        <f t="shared" si="11"/>
        <v>0</v>
      </c>
      <c r="V31" s="32">
        <f t="shared" si="11"/>
        <v>0</v>
      </c>
      <c r="W31" s="32">
        <f t="shared" si="11"/>
        <v>0</v>
      </c>
      <c r="X31" s="32">
        <f t="shared" si="11"/>
        <v>0</v>
      </c>
      <c r="Y31" s="32">
        <f t="shared" si="11"/>
        <v>0</v>
      </c>
      <c r="Z31" s="32">
        <f t="shared" si="11"/>
        <v>0</v>
      </c>
      <c r="AA31" s="32">
        <f t="shared" si="11"/>
        <v>0</v>
      </c>
      <c r="AB31" s="32">
        <f t="shared" si="11"/>
        <v>0</v>
      </c>
      <c r="AC31" s="32">
        <f t="shared" si="11"/>
        <v>0</v>
      </c>
      <c r="AD31" s="32">
        <f>AD32+AC33</f>
        <v>0</v>
      </c>
      <c r="AE31" s="32">
        <f t="shared" si="11"/>
        <v>0</v>
      </c>
      <c r="AF31" s="146">
        <f>AF32+AE33</f>
        <v>5.1626004470926512</v>
      </c>
    </row>
    <row r="32" spans="1:177" ht="29" x14ac:dyDescent="0.35">
      <c r="A32" s="69" t="s">
        <v>192</v>
      </c>
      <c r="B32" s="12">
        <v>0</v>
      </c>
      <c r="C32" s="32">
        <f t="shared" ref="C32:AF32" si="12">(EXP(-$C$48))*B31</f>
        <v>0</v>
      </c>
      <c r="D32" s="32">
        <f t="shared" si="12"/>
        <v>0</v>
      </c>
      <c r="E32" s="32">
        <f t="shared" si="12"/>
        <v>0</v>
      </c>
      <c r="F32" s="32">
        <f t="shared" si="12"/>
        <v>0</v>
      </c>
      <c r="G32" s="32">
        <f t="shared" si="12"/>
        <v>0</v>
      </c>
      <c r="H32" s="32">
        <f t="shared" si="12"/>
        <v>0</v>
      </c>
      <c r="I32" s="32">
        <f t="shared" si="12"/>
        <v>0</v>
      </c>
      <c r="J32" s="32">
        <f t="shared" si="12"/>
        <v>0</v>
      </c>
      <c r="K32" s="32">
        <f t="shared" si="12"/>
        <v>0</v>
      </c>
      <c r="L32" s="32">
        <f t="shared" si="12"/>
        <v>0</v>
      </c>
      <c r="M32" s="32">
        <f t="shared" si="12"/>
        <v>0</v>
      </c>
      <c r="N32" s="32">
        <f t="shared" si="12"/>
        <v>0</v>
      </c>
      <c r="O32" s="32">
        <f t="shared" si="12"/>
        <v>0</v>
      </c>
      <c r="P32" s="32">
        <f t="shared" si="12"/>
        <v>0</v>
      </c>
      <c r="Q32" s="32">
        <f t="shared" si="12"/>
        <v>0</v>
      </c>
      <c r="R32" s="32">
        <f t="shared" si="12"/>
        <v>0</v>
      </c>
      <c r="S32" s="32">
        <f t="shared" si="12"/>
        <v>0</v>
      </c>
      <c r="T32" s="32">
        <f t="shared" si="12"/>
        <v>0</v>
      </c>
      <c r="U32" s="32">
        <f t="shared" si="12"/>
        <v>0</v>
      </c>
      <c r="V32" s="32">
        <f t="shared" si="12"/>
        <v>0</v>
      </c>
      <c r="W32" s="32">
        <f t="shared" si="12"/>
        <v>0</v>
      </c>
      <c r="X32" s="32">
        <f t="shared" si="12"/>
        <v>0</v>
      </c>
      <c r="Y32" s="32">
        <f t="shared" si="12"/>
        <v>0</v>
      </c>
      <c r="Z32" s="32">
        <f t="shared" si="12"/>
        <v>0</v>
      </c>
      <c r="AA32" s="32">
        <f t="shared" si="12"/>
        <v>0</v>
      </c>
      <c r="AB32" s="32">
        <f t="shared" si="12"/>
        <v>0</v>
      </c>
      <c r="AC32" s="32">
        <f t="shared" si="12"/>
        <v>0</v>
      </c>
      <c r="AD32" s="32">
        <f t="shared" si="12"/>
        <v>0</v>
      </c>
      <c r="AE32" s="32">
        <f t="shared" si="12"/>
        <v>0</v>
      </c>
      <c r="AF32" s="114">
        <f t="shared" si="12"/>
        <v>0</v>
      </c>
    </row>
    <row r="33" spans="1:32" ht="43.5" x14ac:dyDescent="0.35">
      <c r="A33" s="69" t="s">
        <v>193</v>
      </c>
      <c r="B33" s="12">
        <f t="shared" ref="B33:AF33" si="13">((1-EXP(-$C$48))/$C$48)*(B37*$E$42*$B$41)</f>
        <v>0</v>
      </c>
      <c r="C33" s="12">
        <f t="shared" si="13"/>
        <v>0</v>
      </c>
      <c r="D33" s="12">
        <f t="shared" si="13"/>
        <v>0</v>
      </c>
      <c r="E33" s="12">
        <f t="shared" si="13"/>
        <v>0</v>
      </c>
      <c r="F33" s="12">
        <f t="shared" si="13"/>
        <v>0</v>
      </c>
      <c r="G33" s="12">
        <f t="shared" si="13"/>
        <v>0</v>
      </c>
      <c r="H33" s="12">
        <f t="shared" si="13"/>
        <v>0</v>
      </c>
      <c r="I33" s="12">
        <f t="shared" si="13"/>
        <v>0</v>
      </c>
      <c r="J33" s="12">
        <f t="shared" si="13"/>
        <v>0</v>
      </c>
      <c r="K33" s="12">
        <f t="shared" si="13"/>
        <v>0</v>
      </c>
      <c r="L33" s="12">
        <f t="shared" si="13"/>
        <v>0</v>
      </c>
      <c r="M33" s="12">
        <f t="shared" si="13"/>
        <v>0</v>
      </c>
      <c r="N33" s="12">
        <f t="shared" si="13"/>
        <v>0</v>
      </c>
      <c r="O33" s="12">
        <f t="shared" si="13"/>
        <v>0</v>
      </c>
      <c r="P33" s="12">
        <f t="shared" si="13"/>
        <v>0</v>
      </c>
      <c r="Q33" s="12">
        <f t="shared" si="13"/>
        <v>0</v>
      </c>
      <c r="R33" s="12">
        <f t="shared" si="13"/>
        <v>0</v>
      </c>
      <c r="S33" s="12">
        <f t="shared" si="13"/>
        <v>0</v>
      </c>
      <c r="T33" s="12">
        <f t="shared" si="13"/>
        <v>0</v>
      </c>
      <c r="U33" s="12">
        <f t="shared" si="13"/>
        <v>0</v>
      </c>
      <c r="V33" s="12">
        <f t="shared" si="13"/>
        <v>0</v>
      </c>
      <c r="W33" s="12">
        <f t="shared" si="13"/>
        <v>0</v>
      </c>
      <c r="X33" s="12">
        <f t="shared" si="13"/>
        <v>0</v>
      </c>
      <c r="Y33" s="12">
        <f t="shared" si="13"/>
        <v>0</v>
      </c>
      <c r="Z33" s="12">
        <f t="shared" si="13"/>
        <v>0</v>
      </c>
      <c r="AA33" s="12">
        <f t="shared" si="13"/>
        <v>0</v>
      </c>
      <c r="AB33" s="12">
        <f t="shared" si="13"/>
        <v>0</v>
      </c>
      <c r="AC33" s="12">
        <f t="shared" si="13"/>
        <v>0</v>
      </c>
      <c r="AD33" s="12">
        <f t="shared" si="13"/>
        <v>0</v>
      </c>
      <c r="AE33" s="101">
        <f t="shared" si="13"/>
        <v>5.1626004470926512</v>
      </c>
      <c r="AF33" s="28">
        <f t="shared" si="13"/>
        <v>0</v>
      </c>
    </row>
    <row r="34" spans="1:32" x14ac:dyDescent="0.35">
      <c r="A34" s="70" t="s">
        <v>194</v>
      </c>
      <c r="B34" s="12">
        <v>0</v>
      </c>
      <c r="C34" s="32">
        <f>C35+B36</f>
        <v>0</v>
      </c>
      <c r="D34" s="32">
        <f>D35+C36</f>
        <v>0</v>
      </c>
      <c r="E34" s="32">
        <f t="shared" ref="E34:AF34" si="14">E35+D36</f>
        <v>0</v>
      </c>
      <c r="F34" s="32">
        <f t="shared" si="14"/>
        <v>0</v>
      </c>
      <c r="G34" s="32">
        <f t="shared" si="14"/>
        <v>0</v>
      </c>
      <c r="H34" s="32">
        <f t="shared" si="14"/>
        <v>0</v>
      </c>
      <c r="I34" s="32">
        <f t="shared" si="14"/>
        <v>0</v>
      </c>
      <c r="J34" s="32">
        <f t="shared" si="14"/>
        <v>0</v>
      </c>
      <c r="K34" s="32">
        <f t="shared" si="14"/>
        <v>0</v>
      </c>
      <c r="L34" s="32">
        <f t="shared" si="14"/>
        <v>0</v>
      </c>
      <c r="M34" s="32">
        <f t="shared" si="14"/>
        <v>0</v>
      </c>
      <c r="N34" s="32">
        <f>N35+M36</f>
        <v>0</v>
      </c>
      <c r="O34" s="32">
        <f t="shared" si="14"/>
        <v>0</v>
      </c>
      <c r="P34" s="32">
        <f t="shared" si="14"/>
        <v>0</v>
      </c>
      <c r="Q34" s="32">
        <f t="shared" si="14"/>
        <v>0</v>
      </c>
      <c r="R34" s="32">
        <f t="shared" si="14"/>
        <v>0</v>
      </c>
      <c r="S34" s="32">
        <f t="shared" si="14"/>
        <v>0</v>
      </c>
      <c r="T34" s="32">
        <f t="shared" si="14"/>
        <v>0</v>
      </c>
      <c r="U34" s="32">
        <f t="shared" si="14"/>
        <v>0</v>
      </c>
      <c r="V34" s="32">
        <f t="shared" si="14"/>
        <v>0</v>
      </c>
      <c r="W34" s="32">
        <f t="shared" si="14"/>
        <v>0</v>
      </c>
      <c r="X34" s="32">
        <f t="shared" si="14"/>
        <v>0</v>
      </c>
      <c r="Y34" s="32">
        <f t="shared" si="14"/>
        <v>0</v>
      </c>
      <c r="Z34" s="32">
        <f t="shared" si="14"/>
        <v>0</v>
      </c>
      <c r="AA34" s="32">
        <f t="shared" si="14"/>
        <v>0</v>
      </c>
      <c r="AB34" s="32">
        <f t="shared" si="14"/>
        <v>0</v>
      </c>
      <c r="AC34" s="32">
        <f t="shared" si="14"/>
        <v>0</v>
      </c>
      <c r="AD34" s="32">
        <f t="shared" si="14"/>
        <v>0</v>
      </c>
      <c r="AE34" s="32">
        <f t="shared" si="14"/>
        <v>0</v>
      </c>
      <c r="AF34" s="114">
        <f t="shared" si="14"/>
        <v>0</v>
      </c>
    </row>
    <row r="35" spans="1:32" ht="29" x14ac:dyDescent="0.35">
      <c r="A35" s="70" t="s">
        <v>195</v>
      </c>
      <c r="B35" s="12">
        <v>0</v>
      </c>
      <c r="C35" s="32">
        <f t="shared" ref="C35:AF35" si="15">(EXP(-$C$49))*B34</f>
        <v>0</v>
      </c>
      <c r="D35" s="32">
        <f t="shared" si="15"/>
        <v>0</v>
      </c>
      <c r="E35" s="32">
        <f t="shared" si="15"/>
        <v>0</v>
      </c>
      <c r="F35" s="32">
        <f t="shared" si="15"/>
        <v>0</v>
      </c>
      <c r="G35" s="32">
        <f t="shared" si="15"/>
        <v>0</v>
      </c>
      <c r="H35" s="32">
        <f t="shared" si="15"/>
        <v>0</v>
      </c>
      <c r="I35" s="32">
        <f t="shared" si="15"/>
        <v>0</v>
      </c>
      <c r="J35" s="32">
        <f t="shared" si="15"/>
        <v>0</v>
      </c>
      <c r="K35" s="32">
        <f t="shared" si="15"/>
        <v>0</v>
      </c>
      <c r="L35" s="32">
        <f t="shared" si="15"/>
        <v>0</v>
      </c>
      <c r="M35" s="32">
        <f t="shared" si="15"/>
        <v>0</v>
      </c>
      <c r="N35" s="32">
        <f t="shared" si="15"/>
        <v>0</v>
      </c>
      <c r="O35" s="32">
        <f t="shared" si="15"/>
        <v>0</v>
      </c>
      <c r="P35" s="32">
        <f t="shared" si="15"/>
        <v>0</v>
      </c>
      <c r="Q35" s="32">
        <f t="shared" si="15"/>
        <v>0</v>
      </c>
      <c r="R35" s="32">
        <f t="shared" si="15"/>
        <v>0</v>
      </c>
      <c r="S35" s="32">
        <f t="shared" si="15"/>
        <v>0</v>
      </c>
      <c r="T35" s="32">
        <f t="shared" si="15"/>
        <v>0</v>
      </c>
      <c r="U35" s="32">
        <f t="shared" si="15"/>
        <v>0</v>
      </c>
      <c r="V35" s="32">
        <f t="shared" si="15"/>
        <v>0</v>
      </c>
      <c r="W35" s="32">
        <f t="shared" si="15"/>
        <v>0</v>
      </c>
      <c r="X35" s="32">
        <f t="shared" si="15"/>
        <v>0</v>
      </c>
      <c r="Y35" s="32">
        <f t="shared" si="15"/>
        <v>0</v>
      </c>
      <c r="Z35" s="32">
        <f t="shared" si="15"/>
        <v>0</v>
      </c>
      <c r="AA35" s="32">
        <f t="shared" si="15"/>
        <v>0</v>
      </c>
      <c r="AB35" s="32">
        <f t="shared" si="15"/>
        <v>0</v>
      </c>
      <c r="AC35" s="32">
        <f t="shared" si="15"/>
        <v>0</v>
      </c>
      <c r="AD35" s="32">
        <f t="shared" si="15"/>
        <v>0</v>
      </c>
      <c r="AE35" s="32">
        <f t="shared" si="15"/>
        <v>0</v>
      </c>
      <c r="AF35" s="114">
        <f t="shared" si="15"/>
        <v>0</v>
      </c>
    </row>
    <row r="36" spans="1:32" ht="43.5" x14ac:dyDescent="0.35">
      <c r="A36" s="70" t="s">
        <v>196</v>
      </c>
      <c r="B36" s="12">
        <f t="shared" ref="B36:AF36" si="16">((1-EXP(-$C$49))/$C$49)*(B38*$E$42*$B$41)</f>
        <v>0</v>
      </c>
      <c r="C36" s="12">
        <f t="shared" si="16"/>
        <v>0</v>
      </c>
      <c r="D36" s="12">
        <f t="shared" si="16"/>
        <v>0</v>
      </c>
      <c r="E36" s="12">
        <f t="shared" si="16"/>
        <v>0</v>
      </c>
      <c r="F36" s="12">
        <f t="shared" si="16"/>
        <v>0</v>
      </c>
      <c r="G36" s="12">
        <f t="shared" si="16"/>
        <v>0</v>
      </c>
      <c r="H36" s="12">
        <f t="shared" si="16"/>
        <v>0</v>
      </c>
      <c r="I36" s="12">
        <f t="shared" si="16"/>
        <v>0</v>
      </c>
      <c r="J36" s="12">
        <f t="shared" si="16"/>
        <v>0</v>
      </c>
      <c r="K36" s="12">
        <f t="shared" si="16"/>
        <v>0</v>
      </c>
      <c r="L36" s="12">
        <f t="shared" si="16"/>
        <v>0</v>
      </c>
      <c r="M36" s="12">
        <f t="shared" si="16"/>
        <v>0</v>
      </c>
      <c r="N36" s="12">
        <f t="shared" si="16"/>
        <v>0</v>
      </c>
      <c r="O36" s="12">
        <f t="shared" si="16"/>
        <v>0</v>
      </c>
      <c r="P36" s="12">
        <f t="shared" si="16"/>
        <v>0</v>
      </c>
      <c r="Q36" s="12">
        <f t="shared" si="16"/>
        <v>0</v>
      </c>
      <c r="R36" s="12">
        <f t="shared" si="16"/>
        <v>0</v>
      </c>
      <c r="S36" s="12">
        <f t="shared" si="16"/>
        <v>0</v>
      </c>
      <c r="T36" s="12">
        <f t="shared" si="16"/>
        <v>0</v>
      </c>
      <c r="U36" s="12">
        <f t="shared" si="16"/>
        <v>0</v>
      </c>
      <c r="V36" s="12">
        <f t="shared" si="16"/>
        <v>0</v>
      </c>
      <c r="W36" s="12">
        <f t="shared" si="16"/>
        <v>0</v>
      </c>
      <c r="X36" s="12">
        <f t="shared" si="16"/>
        <v>0</v>
      </c>
      <c r="Y36" s="12">
        <f t="shared" si="16"/>
        <v>0</v>
      </c>
      <c r="Z36" s="12">
        <f t="shared" si="16"/>
        <v>0</v>
      </c>
      <c r="AA36" s="12">
        <f t="shared" si="16"/>
        <v>0</v>
      </c>
      <c r="AB36" s="12">
        <f t="shared" si="16"/>
        <v>0</v>
      </c>
      <c r="AC36" s="12">
        <f t="shared" si="16"/>
        <v>0</v>
      </c>
      <c r="AD36" s="12">
        <f t="shared" si="16"/>
        <v>0</v>
      </c>
      <c r="AE36" s="12">
        <f t="shared" si="16"/>
        <v>0</v>
      </c>
      <c r="AF36" s="28">
        <f t="shared" si="16"/>
        <v>0</v>
      </c>
    </row>
    <row r="37" spans="1:32" ht="34.5" customHeight="1" x14ac:dyDescent="0.35">
      <c r="A37" s="18" t="s">
        <v>215</v>
      </c>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v>29</v>
      </c>
      <c r="AF37" s="115"/>
    </row>
    <row r="38" spans="1:32" x14ac:dyDescent="0.35">
      <c r="A38" s="18" t="s">
        <v>216</v>
      </c>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15"/>
    </row>
    <row r="39" spans="1:32" ht="15" thickBot="1" x14ac:dyDescent="0.4">
      <c r="A39" s="33" t="s">
        <v>199</v>
      </c>
      <c r="B39" s="12">
        <f t="shared" ref="B39:AF39" si="17">B16-B30</f>
        <v>0</v>
      </c>
      <c r="C39" s="34">
        <f t="shared" si="17"/>
        <v>0</v>
      </c>
      <c r="D39" s="24">
        <f t="shared" si="17"/>
        <v>0</v>
      </c>
      <c r="E39" s="34">
        <f t="shared" si="17"/>
        <v>0</v>
      </c>
      <c r="F39" s="24">
        <f t="shared" si="17"/>
        <v>0</v>
      </c>
      <c r="G39" s="24">
        <f t="shared" si="17"/>
        <v>0</v>
      </c>
      <c r="H39" s="24">
        <f t="shared" si="17"/>
        <v>0</v>
      </c>
      <c r="I39" s="24">
        <f t="shared" si="17"/>
        <v>0</v>
      </c>
      <c r="J39" s="24">
        <f t="shared" si="17"/>
        <v>0</v>
      </c>
      <c r="K39" s="24">
        <f t="shared" si="17"/>
        <v>0</v>
      </c>
      <c r="L39" s="24">
        <f t="shared" si="17"/>
        <v>0</v>
      </c>
      <c r="M39" s="24">
        <f t="shared" si="17"/>
        <v>0</v>
      </c>
      <c r="N39" s="24">
        <f t="shared" si="17"/>
        <v>0</v>
      </c>
      <c r="O39" s="24">
        <f t="shared" si="17"/>
        <v>0</v>
      </c>
      <c r="P39" s="24">
        <f t="shared" si="17"/>
        <v>0</v>
      </c>
      <c r="Q39" s="24">
        <f t="shared" si="17"/>
        <v>0</v>
      </c>
      <c r="R39" s="24">
        <f t="shared" si="17"/>
        <v>0</v>
      </c>
      <c r="S39" s="24">
        <f t="shared" si="17"/>
        <v>0</v>
      </c>
      <c r="T39" s="24">
        <f t="shared" si="17"/>
        <v>0</v>
      </c>
      <c r="U39" s="24">
        <f t="shared" si="17"/>
        <v>0</v>
      </c>
      <c r="V39" s="24">
        <f t="shared" si="17"/>
        <v>0</v>
      </c>
      <c r="W39" s="24">
        <f t="shared" si="17"/>
        <v>0</v>
      </c>
      <c r="X39" s="24">
        <f t="shared" si="17"/>
        <v>0</v>
      </c>
      <c r="Y39" s="24">
        <f t="shared" si="17"/>
        <v>0</v>
      </c>
      <c r="Z39" s="24">
        <f t="shared" si="17"/>
        <v>0</v>
      </c>
      <c r="AA39" s="119">
        <f t="shared" si="17"/>
        <v>0</v>
      </c>
      <c r="AB39" s="119">
        <f t="shared" si="17"/>
        <v>3.6300401301780925</v>
      </c>
      <c r="AC39" s="119">
        <f t="shared" si="17"/>
        <v>2.8984408019136567</v>
      </c>
      <c r="AD39" s="119">
        <f t="shared" si="17"/>
        <v>2.3746191916295598</v>
      </c>
      <c r="AE39" s="119">
        <f t="shared" si="17"/>
        <v>1.9978461299476469</v>
      </c>
      <c r="AF39" s="145">
        <f t="shared" si="17"/>
        <v>-3.4374233382039101</v>
      </c>
    </row>
    <row r="40" spans="1:32" x14ac:dyDescent="0.35">
      <c r="A40" s="155" t="s">
        <v>11</v>
      </c>
      <c r="B40" s="170"/>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row>
    <row r="41" spans="1:32" ht="29.5" thickBot="1" x14ac:dyDescent="0.4">
      <c r="A41" s="3" t="s">
        <v>4</v>
      </c>
      <c r="B41" s="28">
        <v>0.47499999999999998</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ht="29.5" thickBot="1" x14ac:dyDescent="0.4">
      <c r="A42" s="3" t="s">
        <v>6</v>
      </c>
      <c r="B42" s="23" t="s">
        <v>40</v>
      </c>
      <c r="C42" s="25">
        <f>IF(B42="Alisier torminal",0.62,IF(B42="Arbousier",0.64,IF(B42="Aulne vert",0.42,IF(B42="Grands aulnes",0.42,IF(B42="Bouleaux",0.52,IF(B42="Cèdre de l’Atlas",0.36,IF(B42="Charme",0.61,IF(B42="Charme-houblon",0.66,IF(B42="Châtaignier",0.47,IF(B42="Chêne chevelu",0.67,IF(B42="Chêne-liège",0.7,IF(B42="Chêne pédonculé",0.54,IF(B42="Chêne pubescent",0.65,IF(B42="Chêne rouge d’Amérique",0.56,IF(B42="Chêne rouvre (sessile)",0.58,IF(B42="Chêne tauzin",0.64,IF(B42="Chêne vert",0.73,IF(B42="Chênes indifférenciés",0.56,IF(B42="Cornouiller mâle",0.74,IF(B42="Cyprès",0.4,IF(B42="Cytise aubour",0.6,IF(B42="Douglas",0.43,IF(B42="Epicéa commun",0.37,IF(B42="Epicéa de Sitka",0.36,IF(B42="Grands érables",0.51,IF(B42="Petits érables",0.56,IF(B42="Eucalyptus",0.56,IF(B42="Genévrier thurifère",0.48,IF(B42="Hêtre",0.55,IF(B42="Frênes",0.56,IF(B42="Fruitiers",0.58,IF(B42="If",0.58,IF(B42="Mélèze d’Europe",0.48,IF(B42="Mélèze du Japon",0.42,IF(B42="Merisier",0.5,IF(B42="Micocoulier",0.55,IF(B42="Mûrier",0.53,IF(B42="Noisetier",0.52,IF(B42="Noyer",0.52,IF(B42="Olivier",0.75,IF(B42="Ormes",0.52,IF(B42="Peupliers cultivés",0.35,IF(B42="Peupliers non cultivés",0.37,IF(B42="Pin d'Alep",0.45,IF(B42="Pin cembro",0.39,IF(B42="Pin à crochets",0.44,IF(B42="Pin laricio",0.46,IF(B42="Pin maritime",0.46,IF(B42="Pin mugho",0.44,IF(B42="Pin noir d'Autriche",0.46,IF(B42="Pin pignon",0.48,IF(B42="Pin sylvestre",0.44,IF(B42="Pin Weymouth",0.34,IF(B42="Platanes",0.5,IF(B42="Robinier faux acacia",0.58,IF(B42="Sapin méditerranéen",0.37,IF(B42="Sapin de Nordmann",0.37,IF(B42="Sapin pectiné",0.38,IF(B42="Sapin de Vancouver",0.36,IF(B42="Saules",0.37,IF(B42="Tamaris",0.53,IF(B42="Tilleuls",0.43,IF(B42="Tremble",0.38,IF(B42="Conifères (moyenne)",0.42,IF(B42="Feuillus (moyenne)",0.57,0)))))))))))))))))))))))))))))))))))))))))))))))))))))))))))))))))</f>
        <v>0.43</v>
      </c>
      <c r="D42" s="26" t="s">
        <v>70</v>
      </c>
      <c r="E42" s="27">
        <f>IF(D42="Alisier torminal",0.62,IF(D42="Arbousier",0.64,IF(D42="Aulne vert",0.42,IF(D42="Grands aulnes",0.42,IF(D42="Bouleaux",0.52,IF(D42="Cèdre de l’Atlas",0.36,IF(D42="Charme",0.61,IF(D42="Charme-houblon",0.66,IF(D42="Châtaignier",0.47,IF(D42="Chêne chevelu",0.67,IF(D42="Chêne-liège",0.7,IF(D42="Chêne pédonculé",0.54,IF(D42="Chêne pubescent",0.65,IF(D42="Chêne rouge d’Amérique",0.56,IF(D42="Chêne rouvre (sessile)",0.58,IF(D42="Chêne tauzin",0.64,IF(D42="Chêne vert",0.73,IF(D42="Chênes indifférenciés",0.56,IF(D42="Cornouiller mâle",0.74,IF(D42="Cyprès",0.4,IF(D42="Cytise aubour",0.6,IF(D42="Douglas",0.43,IF(D42="Epicéa commun",0.37,IF(D42="Epicéa de Sitka",0.36,IF(D42="Grands érables",0.51,IF(D42="Petits érables",0.56,IF(D42="Eucalyptus",0.56,IF(D42="Genévrier thurifère",0.48,IF(D42="Hêtre",0.55,IF(D42="Frênes",0.56,IF(D42="Fruitiers",0.58,IF(D42="If",0.58,IF(D42="Mélèze d’Europe",0.48,IF(D42="Mélèze du Japon",0.42,IF(D42="Merisier",0.5,IF(D42="Micocoulier",0.55,IF(D42="Mûrier",0.53,IF(D42="Noisetier",0.52,IF(D42="Noyer",0.52,IF(D42="Olivier",0.75,IF(D42="Ormes",0.52,IF(D42="Peupliers cultivés",0.35,IF(D42="Peupliers non cultivés",0.37,IF(D42="Pin d'Alep",0.45,IF(D42="Pin cembro",0.39,IF(D42="Pin à crochets",0.44,IF(D42="Pin laricio",0.46,IF(D42="Pin maritime",0.46,IF(D42="Pin mugho",0.44,IF(D42="Pin noir d'Autriche",0.46,IF(D42="Pin pignon",0.48,IF(D42="Pin sylvestre",0.44,IF(D42="Pin Weymouth",0.34,IF(D42="Platanes",0.5,IF(D42="Robinier faux acacia",0.58,IF(D42="Sapin méditerranéen",0.37,IF(D42="Sapin de Nordmann",0.37,IF(D42="Sapin pectiné",0.38,IF(D42="Sapin de Vancouver",0.36,IF(D42="Saules",0.37,IF(D42="Tamaris",0.53,IF(D42="Tilleuls",0.43,IF(D42="Tremble",0.38,IF(D42="Conifères (moyenne)",0.42,IF(D42="Feuillus (moyenne)",0.57,0)))))))))))))))))))))))))))))))))))))))))))))))))))))))))))))))))</f>
        <v>0.38</v>
      </c>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ht="14.5" customHeight="1" x14ac:dyDescent="0.35">
      <c r="A43" s="157" t="s">
        <v>91</v>
      </c>
      <c r="B43" s="12" t="s">
        <v>94</v>
      </c>
      <c r="C43" s="28">
        <v>35</v>
      </c>
      <c r="D43" s="15"/>
      <c r="E43" s="15"/>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x14ac:dyDescent="0.35">
      <c r="A44" s="158"/>
      <c r="B44" s="12" t="s">
        <v>95</v>
      </c>
      <c r="C44" s="28">
        <v>25</v>
      </c>
      <c r="D44" s="15"/>
      <c r="E44" s="15"/>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x14ac:dyDescent="0.35">
      <c r="A45" s="158"/>
      <c r="B45" s="12" t="s">
        <v>96</v>
      </c>
      <c r="C45" s="28">
        <v>2</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x14ac:dyDescent="0.35">
      <c r="A46" s="160"/>
      <c r="B46" s="29" t="s">
        <v>150</v>
      </c>
      <c r="C46" s="63">
        <v>5</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ht="29" customHeight="1" x14ac:dyDescent="0.35">
      <c r="A47" s="157" t="s">
        <v>97</v>
      </c>
      <c r="B47" s="29" t="s">
        <v>94</v>
      </c>
      <c r="C47" s="30">
        <f>LN(2)/C43</f>
        <v>1.980420515885558E-2</v>
      </c>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row>
    <row r="48" spans="1:32" x14ac:dyDescent="0.35">
      <c r="A48" s="158"/>
      <c r="B48" s="12" t="s">
        <v>95</v>
      </c>
      <c r="C48" s="30">
        <f>LN(2)/C44</f>
        <v>2.7725887222397813E-2</v>
      </c>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row>
    <row r="49" spans="1:32" x14ac:dyDescent="0.35">
      <c r="A49" s="158"/>
      <c r="B49" s="64" t="s">
        <v>96</v>
      </c>
      <c r="C49" s="65">
        <f>LN(2)/C45</f>
        <v>0.34657359027997264</v>
      </c>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row>
    <row r="50" spans="1:32" ht="15" thickBot="1" x14ac:dyDescent="0.4">
      <c r="A50" s="159"/>
      <c r="B50" s="24" t="s">
        <v>150</v>
      </c>
      <c r="C50" s="31">
        <f>LN(2)/C46</f>
        <v>0.13862943611198905</v>
      </c>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row>
    <row r="51" spans="1:32" x14ac:dyDescent="0.35">
      <c r="A51" s="8"/>
      <c r="B51" s="116"/>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row>
    <row r="52" spans="1:32" x14ac:dyDescent="0.35">
      <c r="A52" s="8"/>
      <c r="B52" s="116"/>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row>
  </sheetData>
  <mergeCells count="7">
    <mergeCell ref="A47:A50"/>
    <mergeCell ref="A43:A46"/>
    <mergeCell ref="A9:B9"/>
    <mergeCell ref="A13:AF13"/>
    <mergeCell ref="A15:AF15"/>
    <mergeCell ref="A29:AF29"/>
    <mergeCell ref="A40:B40"/>
  </mergeCells>
  <conditionalFormatting sqref="B30:AF38 B16:AF28">
    <cfRule type="cellIs" dxfId="0" priority="2" operator="greaterThan">
      <formula>0</formula>
    </cfRule>
  </conditionalFormatting>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D42:D44</xm:sqref>
        </x14:dataValidation>
        <x14:dataValidation type="list" showInputMessage="1" showErrorMessage="1" prompt="Choisir l'essence pour avoir la di pour le scénario de projet">
          <x14:formula1>
            <xm:f>'Listes choix'!$C$2:$C$66</xm:f>
          </x14:formula1>
          <xm:sqref>B42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34"/>
  <sheetViews>
    <sheetView zoomScale="85" workbookViewId="0">
      <selection activeCell="B11" sqref="B11"/>
    </sheetView>
  </sheetViews>
  <sheetFormatPr baseColWidth="10" defaultRowHeight="14.5" x14ac:dyDescent="0.35"/>
  <cols>
    <col min="1" max="1" width="38.08984375" style="1" customWidth="1"/>
    <col min="2" max="2" width="27.08984375" customWidth="1"/>
    <col min="4" max="4" width="13.1796875" customWidth="1"/>
  </cols>
  <sheetData>
    <row r="4" spans="1:32" ht="16" thickBot="1" x14ac:dyDescent="0.4">
      <c r="A4" s="19"/>
      <c r="B4" s="7"/>
    </row>
    <row r="5" spans="1:32" ht="16" thickBot="1" x14ac:dyDescent="0.4">
      <c r="A5" s="20" t="s">
        <v>181</v>
      </c>
      <c r="B5" s="111">
        <f>SUM(B25:AE25)</f>
        <v>4.7299999999999986</v>
      </c>
    </row>
    <row r="6" spans="1:32" ht="16" thickBot="1" x14ac:dyDescent="0.4">
      <c r="A6" s="20" t="s">
        <v>98</v>
      </c>
      <c r="B6" s="111">
        <f>B5*B10</f>
        <v>19.345699999999994</v>
      </c>
    </row>
    <row r="8" spans="1:32" ht="15" thickBot="1" x14ac:dyDescent="0.4"/>
    <row r="9" spans="1:32" ht="15" thickBot="1" x14ac:dyDescent="0.4">
      <c r="A9" s="153" t="s">
        <v>14</v>
      </c>
      <c r="B9" s="154"/>
    </row>
    <row r="10" spans="1:32" x14ac:dyDescent="0.35">
      <c r="A10" s="2" t="s">
        <v>7</v>
      </c>
      <c r="B10" s="99">
        <v>4.09</v>
      </c>
    </row>
    <row r="11" spans="1:32" x14ac:dyDescent="0.35">
      <c r="A11" s="103" t="s">
        <v>17</v>
      </c>
      <c r="B11" s="108">
        <v>30</v>
      </c>
    </row>
    <row r="12" spans="1:32" x14ac:dyDescent="0.35">
      <c r="A12" s="3" t="s">
        <v>110</v>
      </c>
      <c r="B12" s="40" t="s">
        <v>109</v>
      </c>
    </row>
    <row r="13" spans="1:32" ht="29" x14ac:dyDescent="0.35">
      <c r="A13" s="3" t="s">
        <v>221</v>
      </c>
      <c r="B13" s="40" t="s">
        <v>115</v>
      </c>
    </row>
    <row r="14" spans="1:32" ht="36" customHeight="1" x14ac:dyDescent="0.35">
      <c r="A14" s="3" t="s">
        <v>162</v>
      </c>
      <c r="B14" s="28">
        <f>IF(B12="Feuillus",C31,IF(B12="Peuplier",C32,IF(B12="Résineux",C34,IF(B12="Pin maritime en gestion dynamique (3 éclaircies durant les 30 1ères années)",C33,0))))</f>
        <v>0.43</v>
      </c>
    </row>
    <row r="15" spans="1:32" ht="29.5" thickBot="1" x14ac:dyDescent="0.4">
      <c r="A15" s="4" t="s">
        <v>113</v>
      </c>
      <c r="B15" s="44">
        <f>IF(B13="Feuillus",0,IF(B13="Résineux pionniers (PM, PA, PS…)",0.43,0))</f>
        <v>0.43</v>
      </c>
    </row>
    <row r="16" spans="1:32" ht="15" thickBot="1" x14ac:dyDescent="0.4">
      <c r="AF16" s="7"/>
    </row>
    <row r="17" spans="1:177" s="5" customFormat="1" ht="15.5" x14ac:dyDescent="0.35">
      <c r="A17" s="161" t="s">
        <v>99</v>
      </c>
      <c r="B17" s="162"/>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3"/>
      <c r="AF17" s="19"/>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x14ac:dyDescent="0.35">
      <c r="A18" s="3" t="s">
        <v>18</v>
      </c>
      <c r="B18" s="12">
        <v>1</v>
      </c>
      <c r="C18" s="12">
        <v>2</v>
      </c>
      <c r="D18" s="12">
        <v>3</v>
      </c>
      <c r="E18" s="12">
        <v>4</v>
      </c>
      <c r="F18" s="12">
        <v>5</v>
      </c>
      <c r="G18" s="12">
        <v>6</v>
      </c>
      <c r="H18" s="12">
        <v>7</v>
      </c>
      <c r="I18" s="12">
        <v>8</v>
      </c>
      <c r="J18" s="12">
        <v>9</v>
      </c>
      <c r="K18" s="12">
        <v>10</v>
      </c>
      <c r="L18" s="12">
        <v>11</v>
      </c>
      <c r="M18" s="12">
        <v>12</v>
      </c>
      <c r="N18" s="12">
        <v>13</v>
      </c>
      <c r="O18" s="12">
        <v>14</v>
      </c>
      <c r="P18" s="12">
        <v>15</v>
      </c>
      <c r="Q18" s="12">
        <v>16</v>
      </c>
      <c r="R18" s="12">
        <v>17</v>
      </c>
      <c r="S18" s="12">
        <v>18</v>
      </c>
      <c r="T18" s="12">
        <v>19</v>
      </c>
      <c r="U18" s="12">
        <v>20</v>
      </c>
      <c r="V18" s="12">
        <v>21</v>
      </c>
      <c r="W18" s="12">
        <v>22</v>
      </c>
      <c r="X18" s="12">
        <v>23</v>
      </c>
      <c r="Y18" s="12">
        <v>24</v>
      </c>
      <c r="Z18" s="135">
        <v>25</v>
      </c>
      <c r="AA18" s="12">
        <v>26</v>
      </c>
      <c r="AB18" s="12">
        <v>27</v>
      </c>
      <c r="AC18" s="12">
        <v>28</v>
      </c>
      <c r="AD18" s="12">
        <v>29</v>
      </c>
      <c r="AE18" s="28">
        <v>30</v>
      </c>
      <c r="AF18" s="15"/>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s="5" customFormat="1" x14ac:dyDescent="0.35">
      <c r="A19" s="167" t="s">
        <v>3</v>
      </c>
      <c r="B19" s="168"/>
      <c r="C19" s="168"/>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9"/>
      <c r="AF19" s="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72" t="s">
        <v>200</v>
      </c>
      <c r="B20" s="71">
        <f>$B$14*B21</f>
        <v>0</v>
      </c>
      <c r="C20" s="71">
        <f>$B$14*C21</f>
        <v>0</v>
      </c>
      <c r="D20" s="71">
        <f>$B$14*D21</f>
        <v>0</v>
      </c>
      <c r="E20" s="71">
        <f>$B$14*E21</f>
        <v>0</v>
      </c>
      <c r="F20" s="71">
        <f t="shared" ref="F20:AD20" si="0">$B$14*F21</f>
        <v>0</v>
      </c>
      <c r="G20" s="71">
        <f t="shared" si="0"/>
        <v>0</v>
      </c>
      <c r="H20" s="71">
        <f t="shared" si="0"/>
        <v>0</v>
      </c>
      <c r="I20" s="71">
        <f t="shared" si="0"/>
        <v>0</v>
      </c>
      <c r="J20" s="71">
        <f t="shared" si="0"/>
        <v>0</v>
      </c>
      <c r="K20" s="71">
        <f t="shared" si="0"/>
        <v>0</v>
      </c>
      <c r="L20" s="71">
        <f t="shared" si="0"/>
        <v>0</v>
      </c>
      <c r="M20" s="71">
        <f t="shared" si="0"/>
        <v>0</v>
      </c>
      <c r="N20" s="71">
        <f t="shared" si="0"/>
        <v>0</v>
      </c>
      <c r="O20" s="71">
        <f t="shared" si="0"/>
        <v>0</v>
      </c>
      <c r="P20" s="71">
        <f t="shared" si="0"/>
        <v>0</v>
      </c>
      <c r="Q20" s="71">
        <f t="shared" si="0"/>
        <v>0</v>
      </c>
      <c r="R20" s="71">
        <f t="shared" si="0"/>
        <v>0</v>
      </c>
      <c r="S20" s="71">
        <f t="shared" si="0"/>
        <v>0</v>
      </c>
      <c r="T20" s="71">
        <f t="shared" si="0"/>
        <v>0</v>
      </c>
      <c r="U20" s="71">
        <f t="shared" si="0"/>
        <v>0</v>
      </c>
      <c r="V20" s="71">
        <f t="shared" si="0"/>
        <v>0</v>
      </c>
      <c r="W20" s="71">
        <f t="shared" si="0"/>
        <v>0</v>
      </c>
      <c r="X20" s="71">
        <f t="shared" si="0"/>
        <v>0</v>
      </c>
      <c r="Y20" s="71">
        <f t="shared" si="0"/>
        <v>0</v>
      </c>
      <c r="Z20" s="71">
        <f t="shared" si="0"/>
        <v>17.2</v>
      </c>
      <c r="AA20" s="71">
        <f t="shared" si="0"/>
        <v>0</v>
      </c>
      <c r="AB20" s="71">
        <f t="shared" si="0"/>
        <v>0</v>
      </c>
      <c r="AC20" s="71">
        <f t="shared" si="0"/>
        <v>0</v>
      </c>
      <c r="AD20" s="71">
        <f t="shared" si="0"/>
        <v>0</v>
      </c>
      <c r="AE20" s="73">
        <f>$B$14*AE21</f>
        <v>0</v>
      </c>
      <c r="AF20" s="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201</v>
      </c>
      <c r="B21" s="17"/>
      <c r="C21" s="17"/>
      <c r="D21" s="39"/>
      <c r="E21" s="39"/>
      <c r="F21" s="39"/>
      <c r="G21" s="39"/>
      <c r="H21" s="39"/>
      <c r="I21" s="39"/>
      <c r="J21" s="39"/>
      <c r="K21" s="39"/>
      <c r="L21" s="39"/>
      <c r="M21" s="39"/>
      <c r="N21" s="39"/>
      <c r="O21" s="39"/>
      <c r="P21" s="39"/>
      <c r="Q21" s="39"/>
      <c r="R21" s="39"/>
      <c r="S21" s="39"/>
      <c r="T21" s="39"/>
      <c r="U21" s="39"/>
      <c r="V21" s="39"/>
      <c r="W21" s="39"/>
      <c r="X21" s="39"/>
      <c r="Y21" s="39"/>
      <c r="Z21" s="39">
        <v>40</v>
      </c>
      <c r="AA21" s="39"/>
      <c r="AB21" s="39"/>
      <c r="AC21" s="39"/>
      <c r="AD21" s="39"/>
      <c r="AE21" s="62"/>
      <c r="AF21" s="43"/>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167" t="s">
        <v>2</v>
      </c>
      <c r="B22" s="168"/>
      <c r="C22" s="168"/>
      <c r="D22" s="168"/>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9"/>
      <c r="AF22" s="6"/>
    </row>
    <row r="23" spans="1:177" x14ac:dyDescent="0.35">
      <c r="A23" s="72" t="s">
        <v>203</v>
      </c>
      <c r="B23" s="71">
        <f>$B$15*B24</f>
        <v>0</v>
      </c>
      <c r="C23" s="71">
        <f>$B$15*C24</f>
        <v>0</v>
      </c>
      <c r="D23" s="71">
        <f t="shared" ref="D23:AD23" si="1">$B$15*D24</f>
        <v>0</v>
      </c>
      <c r="E23" s="71">
        <f t="shared" si="1"/>
        <v>0</v>
      </c>
      <c r="F23" s="71">
        <f t="shared" si="1"/>
        <v>0</v>
      </c>
      <c r="G23" s="71">
        <f t="shared" si="1"/>
        <v>0</v>
      </c>
      <c r="H23" s="71">
        <f t="shared" si="1"/>
        <v>0</v>
      </c>
      <c r="I23" s="71">
        <f t="shared" si="1"/>
        <v>0</v>
      </c>
      <c r="J23" s="71">
        <f t="shared" si="1"/>
        <v>0</v>
      </c>
      <c r="K23" s="71">
        <f t="shared" si="1"/>
        <v>0</v>
      </c>
      <c r="L23" s="71">
        <f t="shared" si="1"/>
        <v>0</v>
      </c>
      <c r="M23" s="71">
        <f t="shared" si="1"/>
        <v>0</v>
      </c>
      <c r="N23" s="71">
        <f t="shared" si="1"/>
        <v>0</v>
      </c>
      <c r="O23" s="71">
        <f t="shared" si="1"/>
        <v>0</v>
      </c>
      <c r="P23" s="71">
        <f t="shared" si="1"/>
        <v>0</v>
      </c>
      <c r="Q23" s="71">
        <f t="shared" si="1"/>
        <v>0</v>
      </c>
      <c r="R23" s="71">
        <f t="shared" si="1"/>
        <v>0</v>
      </c>
      <c r="S23" s="71">
        <f t="shared" si="1"/>
        <v>0</v>
      </c>
      <c r="T23" s="71">
        <f t="shared" si="1"/>
        <v>0</v>
      </c>
      <c r="U23" s="71">
        <f t="shared" si="1"/>
        <v>0</v>
      </c>
      <c r="V23" s="71">
        <f t="shared" si="1"/>
        <v>0</v>
      </c>
      <c r="W23" s="71">
        <f t="shared" si="1"/>
        <v>0</v>
      </c>
      <c r="X23" s="71">
        <f t="shared" si="1"/>
        <v>0</v>
      </c>
      <c r="Y23" s="71">
        <f t="shared" si="1"/>
        <v>0</v>
      </c>
      <c r="Z23" s="71">
        <f t="shared" si="1"/>
        <v>0</v>
      </c>
      <c r="AA23" s="71">
        <f t="shared" si="1"/>
        <v>0</v>
      </c>
      <c r="AB23" s="71">
        <f t="shared" si="1"/>
        <v>0</v>
      </c>
      <c r="AC23" s="71">
        <f t="shared" si="1"/>
        <v>0</v>
      </c>
      <c r="AD23" s="71">
        <f t="shared" si="1"/>
        <v>12.47</v>
      </c>
      <c r="AE23" s="73">
        <f>$B$15*AE24</f>
        <v>0</v>
      </c>
      <c r="AF23" s="6"/>
    </row>
    <row r="24" spans="1:177" x14ac:dyDescent="0.35">
      <c r="A24" s="3" t="s">
        <v>202</v>
      </c>
      <c r="B24" s="17"/>
      <c r="C24" s="17"/>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v>29</v>
      </c>
      <c r="AE24" s="62"/>
      <c r="AF24" s="43"/>
    </row>
    <row r="25" spans="1:177" ht="29.5" thickBot="1" x14ac:dyDescent="0.4">
      <c r="A25" s="45" t="s">
        <v>204</v>
      </c>
      <c r="B25" s="12">
        <f>B20-B23</f>
        <v>0</v>
      </c>
      <c r="C25" s="24">
        <f>C20-C23</f>
        <v>0</v>
      </c>
      <c r="D25" s="24">
        <f t="shared" ref="D25:AD25" si="2">D20-D23</f>
        <v>0</v>
      </c>
      <c r="E25" s="24">
        <f t="shared" si="2"/>
        <v>0</v>
      </c>
      <c r="F25" s="24">
        <f t="shared" si="2"/>
        <v>0</v>
      </c>
      <c r="G25" s="24">
        <f t="shared" si="2"/>
        <v>0</v>
      </c>
      <c r="H25" s="24">
        <f t="shared" si="2"/>
        <v>0</v>
      </c>
      <c r="I25" s="24">
        <f t="shared" si="2"/>
        <v>0</v>
      </c>
      <c r="J25" s="24">
        <f t="shared" si="2"/>
        <v>0</v>
      </c>
      <c r="K25" s="24">
        <f t="shared" si="2"/>
        <v>0</v>
      </c>
      <c r="L25" s="24">
        <f t="shared" si="2"/>
        <v>0</v>
      </c>
      <c r="M25" s="24">
        <f t="shared" si="2"/>
        <v>0</v>
      </c>
      <c r="N25" s="24">
        <f t="shared" si="2"/>
        <v>0</v>
      </c>
      <c r="O25" s="24">
        <f t="shared" si="2"/>
        <v>0</v>
      </c>
      <c r="P25" s="24">
        <f t="shared" si="2"/>
        <v>0</v>
      </c>
      <c r="Q25" s="24">
        <f t="shared" si="2"/>
        <v>0</v>
      </c>
      <c r="R25" s="24">
        <f t="shared" si="2"/>
        <v>0</v>
      </c>
      <c r="S25" s="24">
        <f t="shared" si="2"/>
        <v>0</v>
      </c>
      <c r="T25" s="24">
        <f t="shared" si="2"/>
        <v>0</v>
      </c>
      <c r="U25" s="24">
        <f t="shared" si="2"/>
        <v>0</v>
      </c>
      <c r="V25" s="24">
        <f t="shared" si="2"/>
        <v>0</v>
      </c>
      <c r="W25" s="24">
        <f t="shared" si="2"/>
        <v>0</v>
      </c>
      <c r="X25" s="24">
        <f t="shared" si="2"/>
        <v>0</v>
      </c>
      <c r="Y25" s="24">
        <f t="shared" si="2"/>
        <v>0</v>
      </c>
      <c r="Z25" s="24">
        <f t="shared" si="2"/>
        <v>17.2</v>
      </c>
      <c r="AA25" s="24">
        <f t="shared" si="2"/>
        <v>0</v>
      </c>
      <c r="AB25" s="24">
        <f t="shared" si="2"/>
        <v>0</v>
      </c>
      <c r="AC25" s="24">
        <f t="shared" si="2"/>
        <v>0</v>
      </c>
      <c r="AD25" s="24">
        <f t="shared" si="2"/>
        <v>-12.47</v>
      </c>
      <c r="AE25" s="44">
        <f>AE20-AE23</f>
        <v>0</v>
      </c>
      <c r="AF25" s="15"/>
    </row>
    <row r="26" spans="1:177" ht="15" thickBot="1" x14ac:dyDescent="0.4">
      <c r="A26" s="155" t="s">
        <v>11</v>
      </c>
      <c r="B26" s="170"/>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row>
    <row r="27" spans="1:177" x14ac:dyDescent="0.35">
      <c r="A27" s="157" t="s">
        <v>100</v>
      </c>
      <c r="B27" s="12" t="s">
        <v>101</v>
      </c>
      <c r="C27" s="37">
        <v>1.52</v>
      </c>
      <c r="D27" s="15"/>
      <c r="E27" s="15"/>
      <c r="F27" s="7"/>
      <c r="G27" s="7"/>
      <c r="H27" s="7"/>
      <c r="I27" s="7"/>
      <c r="J27" s="7"/>
      <c r="K27" s="7"/>
      <c r="L27" s="7"/>
      <c r="M27" s="7"/>
      <c r="N27" s="7"/>
      <c r="O27" s="7"/>
      <c r="P27" s="7"/>
      <c r="Q27" s="7"/>
      <c r="R27" s="7"/>
      <c r="S27" s="7"/>
      <c r="T27" s="7"/>
      <c r="U27" s="7"/>
      <c r="V27" s="7"/>
      <c r="W27" s="7"/>
      <c r="X27" s="7"/>
      <c r="Y27" s="7"/>
      <c r="Z27" s="7"/>
      <c r="AA27" s="7"/>
      <c r="AB27" s="7"/>
      <c r="AC27" s="7"/>
      <c r="AD27" s="7"/>
      <c r="AE27" s="7"/>
      <c r="AF27" s="7"/>
    </row>
    <row r="28" spans="1:177" x14ac:dyDescent="0.35">
      <c r="A28" s="158"/>
      <c r="B28" s="12" t="s">
        <v>103</v>
      </c>
      <c r="C28" s="28">
        <v>0</v>
      </c>
      <c r="D28" s="15"/>
      <c r="E28" s="15"/>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1:177" x14ac:dyDescent="0.35">
      <c r="A29" s="158"/>
      <c r="B29" s="12" t="s">
        <v>104</v>
      </c>
      <c r="C29" s="28">
        <v>0.77</v>
      </c>
      <c r="D29" s="15"/>
      <c r="E29" s="15"/>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1:177" x14ac:dyDescent="0.35">
      <c r="A30" s="158"/>
      <c r="B30" s="12" t="s">
        <v>102</v>
      </c>
      <c r="C30" s="28">
        <v>0.25</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1:177" x14ac:dyDescent="0.35">
      <c r="A31" s="171" t="s">
        <v>105</v>
      </c>
      <c r="B31" s="29" t="s">
        <v>106</v>
      </c>
      <c r="C31" s="41">
        <v>0.25</v>
      </c>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row>
    <row r="32" spans="1:177" x14ac:dyDescent="0.35">
      <c r="A32" s="171"/>
      <c r="B32" s="29" t="s">
        <v>107</v>
      </c>
      <c r="C32" s="41">
        <v>1.03</v>
      </c>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row>
    <row r="33" spans="1:31" ht="29" x14ac:dyDescent="0.35">
      <c r="A33" s="171"/>
      <c r="B33" s="38" t="s">
        <v>108</v>
      </c>
      <c r="C33" s="41">
        <v>0.59</v>
      </c>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row>
    <row r="34" spans="1:31" ht="15" thickBot="1" x14ac:dyDescent="0.4">
      <c r="A34" s="172"/>
      <c r="B34" s="24" t="s">
        <v>109</v>
      </c>
      <c r="C34" s="42">
        <v>0.43</v>
      </c>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row>
  </sheetData>
  <mergeCells count="7">
    <mergeCell ref="A31:A34"/>
    <mergeCell ref="A9:B9"/>
    <mergeCell ref="A26:B26"/>
    <mergeCell ref="A27:A30"/>
    <mergeCell ref="A17:AE17"/>
    <mergeCell ref="A19:AE19"/>
    <mergeCell ref="A22:AE22"/>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Choisir l'essence pour avoir la di pour le scénario de référence">
          <x14:formula1>
            <xm:f>'Listes choix'!$C$2:$C$66</xm:f>
          </x14:formula1>
          <xm:sqref>D27:D29</xm:sqref>
        </x14:dataValidation>
        <x14:dataValidation type="list" showInputMessage="1" showErrorMessage="1" prompt="Choisir un type de reboisement pour le calcul du CS projet">
          <x14:formula1>
            <xm:f>'Listes choix'!$G$2:$G$5</xm:f>
          </x14:formula1>
          <xm:sqref>B12</xm:sqref>
        </x14:dataValidation>
        <x14:dataValidation type="list" showInputMessage="1" showErrorMessage="1" prompt="Choisir un type de friche pour le calcul du CS référence">
          <x14:formula1>
            <xm:f>'Listes choix'!$H$2:$H$3</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abSelected="1" zoomScale="91" workbookViewId="0">
      <selection activeCell="B21" sqref="B21"/>
    </sheetView>
  </sheetViews>
  <sheetFormatPr baseColWidth="10" defaultRowHeight="14.5" x14ac:dyDescent="0.35"/>
  <cols>
    <col min="1" max="1" width="55.90625" customWidth="1"/>
    <col min="2" max="2" width="29.7265625" customWidth="1"/>
    <col min="3" max="3" width="22.54296875" customWidth="1"/>
    <col min="4" max="4" width="12.54296875" bestFit="1" customWidth="1"/>
  </cols>
  <sheetData>
    <row r="1" spans="1:4" ht="15" thickBot="1" x14ac:dyDescent="0.4"/>
    <row r="2" spans="1:4" ht="16" thickBot="1" x14ac:dyDescent="0.4">
      <c r="A2" s="46" t="s">
        <v>117</v>
      </c>
      <c r="B2" s="138" t="s">
        <v>116</v>
      </c>
      <c r="C2" s="140"/>
      <c r="D2" s="139"/>
    </row>
    <row r="3" spans="1:4" ht="15.5" x14ac:dyDescent="0.35">
      <c r="A3" s="35" t="s">
        <v>118</v>
      </c>
      <c r="B3" s="141">
        <f>SUM(B4,B6)</f>
        <v>1770.3495654746284</v>
      </c>
      <c r="C3" s="140"/>
      <c r="D3" s="139"/>
    </row>
    <row r="4" spans="1:4" ht="15.5" x14ac:dyDescent="0.35">
      <c r="A4" s="47" t="s">
        <v>119</v>
      </c>
      <c r="B4" s="142">
        <f>REAforêtMReboisement!B6</f>
        <v>1766.61863329722</v>
      </c>
      <c r="C4" s="140"/>
      <c r="D4" s="139"/>
    </row>
    <row r="5" spans="1:4" ht="15.5" x14ac:dyDescent="0.35">
      <c r="A5" s="112" t="s">
        <v>123</v>
      </c>
      <c r="B5" s="142">
        <f>B4*(1-C15)*(1-C16)*(1-C17)*(1-C18)</f>
        <v>1271.9654159739985</v>
      </c>
      <c r="C5" s="140"/>
      <c r="D5" s="139"/>
    </row>
    <row r="6" spans="1:4" ht="15.5" x14ac:dyDescent="0.35">
      <c r="A6" s="47" t="s">
        <v>120</v>
      </c>
      <c r="B6" s="142">
        <f>REAproduitsMReboisement!B6</f>
        <v>3.7309321774085817</v>
      </c>
      <c r="C6" s="140"/>
      <c r="D6" s="139"/>
    </row>
    <row r="7" spans="1:4" ht="15.5" x14ac:dyDescent="0.35">
      <c r="A7" s="112" t="s">
        <v>124</v>
      </c>
      <c r="B7" s="142">
        <f>B6*(1-C15)*(1-C16)*(1-C17)*(1-C18)</f>
        <v>2.6862711677341791</v>
      </c>
      <c r="C7" s="140"/>
      <c r="D7" s="139"/>
    </row>
    <row r="8" spans="1:4" ht="15.5" x14ac:dyDescent="0.35">
      <c r="A8" s="47" t="s">
        <v>121</v>
      </c>
      <c r="B8" s="142">
        <f>REEsubsMReboisement!B6</f>
        <v>19.345699999999994</v>
      </c>
      <c r="C8" s="140"/>
      <c r="D8" s="139"/>
    </row>
    <row r="9" spans="1:4" ht="16" thickBot="1" x14ac:dyDescent="0.4">
      <c r="A9" s="113" t="s">
        <v>125</v>
      </c>
      <c r="B9" s="143">
        <f>B8*(1-C15)*(1-C16)*(1-C17)*(1-C18)</f>
        <v>13.928903999999996</v>
      </c>
      <c r="C9" s="140"/>
      <c r="D9" s="139"/>
    </row>
    <row r="10" spans="1:4" ht="15.5" x14ac:dyDescent="0.35">
      <c r="A10" s="48" t="s">
        <v>122</v>
      </c>
      <c r="B10" s="144">
        <f>SUM(B3,B8)</f>
        <v>1789.6952654746285</v>
      </c>
      <c r="C10" s="61"/>
      <c r="D10" s="15"/>
    </row>
    <row r="11" spans="1:4" ht="16" thickBot="1" x14ac:dyDescent="0.4">
      <c r="A11" s="49" t="s">
        <v>126</v>
      </c>
      <c r="B11" s="147">
        <f>SUM(B5,B7,B9)</f>
        <v>1288.5805911417328</v>
      </c>
      <c r="C11" s="61"/>
      <c r="D11" s="15"/>
    </row>
    <row r="13" spans="1:4" ht="15" thickBot="1" x14ac:dyDescent="0.4"/>
    <row r="14" spans="1:4" ht="16" thickBot="1" x14ac:dyDescent="0.4">
      <c r="A14" s="51" t="s">
        <v>127</v>
      </c>
      <c r="B14" s="74" t="s">
        <v>128</v>
      </c>
      <c r="C14" s="98" t="s">
        <v>135</v>
      </c>
    </row>
    <row r="15" spans="1:4" x14ac:dyDescent="0.35">
      <c r="A15" s="122" t="s">
        <v>223</v>
      </c>
      <c r="B15" s="54" t="s">
        <v>178</v>
      </c>
      <c r="C15" s="56">
        <f>IF(B15="Réalisée",0,IF(B15="Pas réalisée",0.2,""))</f>
        <v>0.2</v>
      </c>
    </row>
    <row r="16" spans="1:4" x14ac:dyDescent="0.35">
      <c r="A16" s="22" t="s">
        <v>224</v>
      </c>
      <c r="B16" s="53" t="s">
        <v>132</v>
      </c>
      <c r="C16" s="57">
        <v>0.1</v>
      </c>
      <c r="D16" s="50"/>
    </row>
    <row r="17" spans="1:5" ht="29" x14ac:dyDescent="0.35">
      <c r="A17" s="125" t="s">
        <v>154</v>
      </c>
      <c r="B17" s="55" t="s">
        <v>143</v>
      </c>
      <c r="C17" s="57">
        <f>IF(B17="Départements sans risque ou risque négligeable",0,IF(B17="Départements avec risque très faible ou faible",0.05,IF(B17="Départements avec risque moyen",0.1,IF(B17="Départements avec risque fort ou très fort", 0.15,""))))</f>
        <v>0</v>
      </c>
      <c r="D17" s="50"/>
    </row>
    <row r="18" spans="1:5" ht="15" thickBot="1" x14ac:dyDescent="0.4">
      <c r="A18" s="126" t="s">
        <v>134</v>
      </c>
      <c r="B18" s="148" t="s">
        <v>141</v>
      </c>
      <c r="C18" s="149">
        <f>IF(B18="Démontrée",0,IF(B18="Non démontrée",0.1,""))</f>
        <v>0</v>
      </c>
    </row>
    <row r="19" spans="1:5" x14ac:dyDescent="0.35">
      <c r="A19" s="58"/>
      <c r="B19" s="15"/>
      <c r="C19" s="15"/>
      <c r="D19" s="58"/>
      <c r="E19" s="96"/>
    </row>
    <row r="20" spans="1:5" x14ac:dyDescent="0.35">
      <c r="A20" s="58"/>
      <c r="B20" s="15"/>
      <c r="C20" s="59"/>
      <c r="D20" s="58"/>
    </row>
    <row r="21" spans="1:5" x14ac:dyDescent="0.35">
      <c r="A21" s="58"/>
      <c r="B21" s="58"/>
      <c r="C21" s="58"/>
      <c r="D21" s="58"/>
    </row>
    <row r="22" spans="1:5" x14ac:dyDescent="0.35">
      <c r="A22" s="58"/>
      <c r="B22" s="58"/>
      <c r="C22" s="58"/>
      <c r="D22" s="58"/>
    </row>
    <row r="23" spans="1:5" x14ac:dyDescent="0.35">
      <c r="A23" s="58"/>
      <c r="B23" s="58"/>
      <c r="C23" s="58"/>
      <c r="D23" s="58"/>
    </row>
    <row r="24" spans="1:5" x14ac:dyDescent="0.35">
      <c r="A24" s="58"/>
      <c r="B24" s="58"/>
      <c r="C24" s="58"/>
      <c r="D24" s="58"/>
    </row>
  </sheetData>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50" customWidth="1"/>
    <col min="2" max="2" width="10.90625" style="50"/>
    <col min="3" max="3" width="22.08984375" style="50" customWidth="1"/>
    <col min="4" max="6" width="10.90625" style="50"/>
    <col min="7" max="7" width="14.90625" style="50" customWidth="1"/>
    <col min="8" max="8" width="16.7265625" style="50" customWidth="1"/>
    <col min="9" max="9" width="22.26953125" style="50" customWidth="1"/>
    <col min="10" max="10" width="25" style="50" customWidth="1"/>
    <col min="11" max="11" width="26.90625" style="50" customWidth="1"/>
    <col min="12" max="15" width="10.90625" style="50"/>
    <col min="16" max="16" width="13.6328125" style="50" customWidth="1"/>
    <col min="17" max="16384" width="10.90625" style="50"/>
  </cols>
  <sheetData>
    <row r="1" spans="1:20" ht="44" thickBot="1" x14ac:dyDescent="0.4">
      <c r="A1" s="78" t="s">
        <v>9</v>
      </c>
      <c r="B1" s="78" t="s">
        <v>19</v>
      </c>
      <c r="C1" s="82" t="s">
        <v>57</v>
      </c>
      <c r="D1" s="83" t="s">
        <v>22</v>
      </c>
      <c r="E1" s="82" t="s">
        <v>92</v>
      </c>
      <c r="F1" s="82" t="s">
        <v>93</v>
      </c>
      <c r="G1" s="82" t="s">
        <v>111</v>
      </c>
      <c r="H1" s="82" t="s">
        <v>114</v>
      </c>
      <c r="I1" s="91" t="s">
        <v>127</v>
      </c>
      <c r="J1" s="173" t="s">
        <v>128</v>
      </c>
      <c r="K1" s="174"/>
      <c r="L1" s="10"/>
      <c r="M1" s="10"/>
      <c r="N1" s="82" t="s">
        <v>57</v>
      </c>
      <c r="O1" s="82" t="s">
        <v>151</v>
      </c>
      <c r="P1" s="83" t="s">
        <v>154</v>
      </c>
      <c r="Q1" s="175" t="s">
        <v>164</v>
      </c>
      <c r="R1" s="176"/>
      <c r="S1" s="177"/>
      <c r="T1" s="82" t="s">
        <v>218</v>
      </c>
    </row>
    <row r="2" spans="1:20" ht="87.5" thickBot="1" x14ac:dyDescent="0.4">
      <c r="A2" s="75" t="s">
        <v>157</v>
      </c>
      <c r="B2" s="80" t="s">
        <v>21</v>
      </c>
      <c r="C2" s="84" t="s">
        <v>23</v>
      </c>
      <c r="D2" s="87">
        <v>0.62</v>
      </c>
      <c r="E2" s="84" t="s">
        <v>94</v>
      </c>
      <c r="F2" s="87">
        <v>35</v>
      </c>
      <c r="G2" s="80" t="s">
        <v>20</v>
      </c>
      <c r="H2" s="80" t="s">
        <v>20</v>
      </c>
      <c r="I2" s="84" t="s">
        <v>129</v>
      </c>
      <c r="J2" s="92" t="s">
        <v>136</v>
      </c>
      <c r="K2" s="92" t="s">
        <v>178</v>
      </c>
      <c r="L2" s="95" t="s">
        <v>136</v>
      </c>
      <c r="M2" s="94" t="s">
        <v>178</v>
      </c>
      <c r="N2" s="80" t="s">
        <v>23</v>
      </c>
      <c r="O2" s="80" t="s">
        <v>152</v>
      </c>
      <c r="P2" s="79" t="s">
        <v>155</v>
      </c>
      <c r="Q2" s="82" t="s">
        <v>163</v>
      </c>
      <c r="R2" s="82" t="s">
        <v>165</v>
      </c>
      <c r="S2" s="121" t="s">
        <v>166</v>
      </c>
      <c r="T2" s="52" t="s">
        <v>219</v>
      </c>
    </row>
    <row r="3" spans="1:20" ht="102" thickBot="1" x14ac:dyDescent="0.4">
      <c r="A3" s="76" t="s">
        <v>158</v>
      </c>
      <c r="B3" s="81" t="s">
        <v>20</v>
      </c>
      <c r="C3" s="66" t="s">
        <v>79</v>
      </c>
      <c r="D3" s="88">
        <v>0.64</v>
      </c>
      <c r="E3" s="66" t="s">
        <v>95</v>
      </c>
      <c r="F3" s="88">
        <v>25</v>
      </c>
      <c r="G3" s="90" t="s">
        <v>107</v>
      </c>
      <c r="H3" s="81" t="s">
        <v>115</v>
      </c>
      <c r="I3" s="66" t="s">
        <v>130</v>
      </c>
      <c r="J3" s="52" t="s">
        <v>142</v>
      </c>
      <c r="K3" s="85" t="s">
        <v>144</v>
      </c>
      <c r="L3" s="10"/>
      <c r="M3" s="10"/>
      <c r="N3" s="90" t="s">
        <v>24</v>
      </c>
      <c r="O3" s="90" t="s">
        <v>28</v>
      </c>
      <c r="P3" s="81" t="s">
        <v>139</v>
      </c>
      <c r="Q3" s="80" t="s">
        <v>167</v>
      </c>
      <c r="R3" s="80" t="s">
        <v>176</v>
      </c>
      <c r="S3" s="80" t="s">
        <v>170</v>
      </c>
      <c r="T3" s="52" t="s">
        <v>220</v>
      </c>
    </row>
    <row r="4" spans="1:20" ht="87.5" thickBot="1" x14ac:dyDescent="0.4">
      <c r="A4" s="76" t="s">
        <v>159</v>
      </c>
      <c r="B4" s="10"/>
      <c r="C4" s="66" t="s">
        <v>24</v>
      </c>
      <c r="D4" s="88">
        <v>0.42</v>
      </c>
      <c r="E4" s="67" t="s">
        <v>96</v>
      </c>
      <c r="F4" s="89">
        <v>2</v>
      </c>
      <c r="G4" s="76" t="s">
        <v>109</v>
      </c>
      <c r="H4" s="10"/>
      <c r="I4" s="66" t="s">
        <v>131</v>
      </c>
      <c r="J4" s="52" t="s">
        <v>132</v>
      </c>
      <c r="K4" s="85" t="s">
        <v>132</v>
      </c>
      <c r="L4" s="10"/>
      <c r="M4" s="10"/>
      <c r="N4" s="90" t="s">
        <v>80</v>
      </c>
      <c r="O4" s="77" t="s">
        <v>153</v>
      </c>
      <c r="P4" s="10"/>
      <c r="Q4" s="90" t="s">
        <v>168</v>
      </c>
      <c r="R4" s="81" t="s">
        <v>169</v>
      </c>
      <c r="S4" s="76" t="s">
        <v>171</v>
      </c>
    </row>
    <row r="5" spans="1:20" ht="87.5" thickBot="1" x14ac:dyDescent="0.4">
      <c r="A5" s="77" t="s">
        <v>160</v>
      </c>
      <c r="B5" s="10"/>
      <c r="C5" s="66" t="s">
        <v>80</v>
      </c>
      <c r="D5" s="85">
        <v>0.42</v>
      </c>
      <c r="E5" s="10"/>
      <c r="F5" s="10"/>
      <c r="G5" s="77" t="s">
        <v>112</v>
      </c>
      <c r="H5" s="10"/>
      <c r="I5" s="157" t="s">
        <v>133</v>
      </c>
      <c r="J5" s="52"/>
      <c r="K5" s="85" t="s">
        <v>143</v>
      </c>
      <c r="L5" s="10"/>
      <c r="M5" s="10"/>
      <c r="N5" s="76" t="s">
        <v>26</v>
      </c>
      <c r="O5" s="10"/>
      <c r="P5" s="10"/>
      <c r="Q5" s="77" t="s">
        <v>175</v>
      </c>
      <c r="S5" s="76" t="s">
        <v>172</v>
      </c>
    </row>
    <row r="6" spans="1:20" ht="72.5" x14ac:dyDescent="0.35">
      <c r="A6" s="10"/>
      <c r="B6" s="10"/>
      <c r="C6" s="66" t="s">
        <v>81</v>
      </c>
      <c r="D6" s="85">
        <v>0.52</v>
      </c>
      <c r="E6" s="10"/>
      <c r="F6" s="10"/>
      <c r="G6" s="10"/>
      <c r="H6" s="10"/>
      <c r="I6" s="158"/>
      <c r="J6" s="52"/>
      <c r="K6" s="85" t="s">
        <v>137</v>
      </c>
      <c r="L6" s="10"/>
      <c r="M6" s="10"/>
      <c r="N6" s="76" t="s">
        <v>27</v>
      </c>
      <c r="O6" s="10"/>
      <c r="P6" s="10"/>
      <c r="S6" s="76" t="s">
        <v>173</v>
      </c>
    </row>
    <row r="7" spans="1:20" ht="101.5" x14ac:dyDescent="0.35">
      <c r="A7" s="10"/>
      <c r="B7" s="10"/>
      <c r="C7" s="66" t="s">
        <v>25</v>
      </c>
      <c r="D7" s="85">
        <v>0.36</v>
      </c>
      <c r="E7" s="10"/>
      <c r="F7" s="10"/>
      <c r="G7" s="10"/>
      <c r="H7" s="10"/>
      <c r="I7" s="158"/>
      <c r="J7" s="52"/>
      <c r="K7" s="85" t="s">
        <v>138</v>
      </c>
      <c r="L7" s="10"/>
      <c r="M7" s="10"/>
      <c r="N7" s="76" t="s">
        <v>28</v>
      </c>
      <c r="O7" s="10"/>
      <c r="P7" s="10"/>
      <c r="S7" s="97" t="s">
        <v>174</v>
      </c>
    </row>
    <row r="8" spans="1:20" ht="29.5" thickBot="1" x14ac:dyDescent="0.4">
      <c r="A8" s="10"/>
      <c r="B8" s="10"/>
      <c r="C8" s="66" t="s">
        <v>26</v>
      </c>
      <c r="D8" s="85">
        <v>0.61</v>
      </c>
      <c r="E8" s="10"/>
      <c r="F8" s="10"/>
      <c r="G8" s="10"/>
      <c r="H8" s="10"/>
      <c r="I8" s="160"/>
      <c r="J8" s="52"/>
      <c r="K8" s="85" t="s">
        <v>139</v>
      </c>
      <c r="L8" s="10"/>
      <c r="M8" s="10"/>
      <c r="N8" s="76" t="s">
        <v>29</v>
      </c>
      <c r="O8" s="10"/>
      <c r="P8" s="10"/>
      <c r="S8" s="77" t="s">
        <v>177</v>
      </c>
    </row>
    <row r="9" spans="1:20" ht="29.5" thickBot="1" x14ac:dyDescent="0.4">
      <c r="A9" s="10"/>
      <c r="B9" s="10"/>
      <c r="C9" s="66" t="s">
        <v>27</v>
      </c>
      <c r="D9" s="85">
        <v>0.66</v>
      </c>
      <c r="E9" s="10"/>
      <c r="F9" s="10"/>
      <c r="G9" s="10"/>
      <c r="H9" s="10"/>
      <c r="I9" s="67" t="s">
        <v>134</v>
      </c>
      <c r="J9" s="93" t="s">
        <v>141</v>
      </c>
      <c r="K9" s="86" t="s">
        <v>140</v>
      </c>
      <c r="L9" s="10"/>
      <c r="M9" s="10"/>
      <c r="N9" s="76" t="s">
        <v>30</v>
      </c>
      <c r="O9" s="10"/>
      <c r="P9" s="10"/>
    </row>
    <row r="10" spans="1:20" ht="29" x14ac:dyDescent="0.35">
      <c r="A10" s="10"/>
      <c r="B10" s="10"/>
      <c r="C10" s="66" t="s">
        <v>28</v>
      </c>
      <c r="D10" s="85">
        <v>0.47</v>
      </c>
      <c r="E10" s="10"/>
      <c r="F10" s="10"/>
      <c r="G10" s="10"/>
      <c r="H10" s="10"/>
      <c r="I10" s="10"/>
      <c r="J10" s="10"/>
      <c r="K10" s="10"/>
      <c r="L10" s="10"/>
      <c r="M10" s="10"/>
      <c r="N10" s="76" t="s">
        <v>31</v>
      </c>
      <c r="O10" s="10"/>
      <c r="P10" s="10"/>
    </row>
    <row r="11" spans="1:20" ht="29" x14ac:dyDescent="0.35">
      <c r="A11" s="10"/>
      <c r="B11" s="10"/>
      <c r="C11" s="66" t="s">
        <v>29</v>
      </c>
      <c r="D11" s="85">
        <v>0.67</v>
      </c>
      <c r="E11" s="10"/>
      <c r="F11" s="10"/>
      <c r="G11" s="10"/>
      <c r="H11" s="10"/>
      <c r="I11" s="10"/>
      <c r="J11" s="10"/>
      <c r="K11" s="10"/>
      <c r="L11" s="10"/>
      <c r="M11" s="10"/>
      <c r="N11" s="76" t="s">
        <v>32</v>
      </c>
      <c r="O11" s="10"/>
      <c r="P11" s="10"/>
    </row>
    <row r="12" spans="1:20" ht="43.5" x14ac:dyDescent="0.35">
      <c r="A12" s="10"/>
      <c r="B12" s="10"/>
      <c r="C12" s="66" t="s">
        <v>30</v>
      </c>
      <c r="D12" s="85">
        <v>0.7</v>
      </c>
      <c r="E12" s="10"/>
      <c r="F12" s="10"/>
      <c r="G12" s="10"/>
      <c r="H12" s="10"/>
      <c r="I12" s="10"/>
      <c r="J12" s="10"/>
      <c r="K12" s="10"/>
      <c r="L12" s="10"/>
      <c r="M12" s="10"/>
      <c r="N12" s="76" t="s">
        <v>33</v>
      </c>
      <c r="O12" s="10"/>
      <c r="P12" s="10"/>
    </row>
    <row r="13" spans="1:20" ht="29" x14ac:dyDescent="0.35">
      <c r="A13" s="10"/>
      <c r="B13" s="10"/>
      <c r="C13" s="66" t="s">
        <v>31</v>
      </c>
      <c r="D13" s="85">
        <v>0.54</v>
      </c>
      <c r="E13" s="10"/>
      <c r="F13" s="10"/>
      <c r="G13" s="10"/>
      <c r="H13" s="10"/>
      <c r="I13" s="10"/>
      <c r="J13" s="10"/>
      <c r="K13" s="10"/>
      <c r="L13" s="10"/>
      <c r="M13" s="10"/>
      <c r="N13" s="76" t="s">
        <v>34</v>
      </c>
      <c r="O13" s="10"/>
      <c r="P13" s="10"/>
    </row>
    <row r="14" spans="1:20" x14ac:dyDescent="0.35">
      <c r="A14" s="10"/>
      <c r="B14" s="10"/>
      <c r="C14" s="66" t="s">
        <v>32</v>
      </c>
      <c r="D14" s="85">
        <v>0.65</v>
      </c>
      <c r="E14" s="10"/>
      <c r="F14" s="10"/>
      <c r="G14" s="10"/>
      <c r="H14" s="10"/>
      <c r="I14" s="10"/>
      <c r="J14" s="10"/>
      <c r="K14" s="10"/>
      <c r="L14" s="10"/>
      <c r="M14" s="10"/>
      <c r="N14" s="76" t="s">
        <v>35</v>
      </c>
      <c r="O14" s="10"/>
      <c r="P14" s="10"/>
    </row>
    <row r="15" spans="1:20" ht="43.5" x14ac:dyDescent="0.35">
      <c r="A15" s="10"/>
      <c r="B15" s="10"/>
      <c r="C15" s="66" t="s">
        <v>82</v>
      </c>
      <c r="D15" s="85">
        <v>0.56000000000000005</v>
      </c>
      <c r="E15" s="10"/>
      <c r="F15" s="10"/>
      <c r="G15" s="10"/>
      <c r="H15" s="10"/>
      <c r="I15" s="10"/>
      <c r="J15" s="10"/>
      <c r="K15" s="10"/>
      <c r="L15" s="10"/>
      <c r="M15" s="10"/>
      <c r="N15" s="76" t="s">
        <v>36</v>
      </c>
      <c r="O15" s="10"/>
      <c r="P15" s="10"/>
    </row>
    <row r="16" spans="1:20" ht="29" x14ac:dyDescent="0.35">
      <c r="A16" s="10"/>
      <c r="B16" s="10"/>
      <c r="C16" s="66" t="s">
        <v>33</v>
      </c>
      <c r="D16" s="85">
        <v>0.57999999999999996</v>
      </c>
      <c r="E16" s="10"/>
      <c r="F16" s="10"/>
      <c r="G16" s="10"/>
      <c r="H16" s="10"/>
      <c r="I16" s="10"/>
      <c r="J16" s="10"/>
      <c r="K16" s="10"/>
      <c r="L16" s="10"/>
      <c r="M16" s="10"/>
      <c r="N16" s="76" t="s">
        <v>43</v>
      </c>
      <c r="O16" s="10"/>
      <c r="P16" s="10"/>
    </row>
    <row r="17" spans="1:16" ht="29" x14ac:dyDescent="0.35">
      <c r="A17" s="10"/>
      <c r="B17" s="10"/>
      <c r="C17" s="66" t="s">
        <v>34</v>
      </c>
      <c r="D17" s="85">
        <v>0.64</v>
      </c>
      <c r="E17" s="10"/>
      <c r="F17" s="10"/>
      <c r="G17" s="10"/>
      <c r="H17" s="10"/>
      <c r="I17" s="10"/>
      <c r="J17" s="10"/>
      <c r="K17" s="10"/>
      <c r="L17" s="10"/>
      <c r="M17" s="10"/>
      <c r="N17" s="76" t="s">
        <v>44</v>
      </c>
      <c r="O17" s="10"/>
      <c r="P17" s="10"/>
    </row>
    <row r="18" spans="1:16" x14ac:dyDescent="0.35">
      <c r="A18" s="10"/>
      <c r="B18" s="10"/>
      <c r="C18" s="66" t="s">
        <v>35</v>
      </c>
      <c r="D18" s="85">
        <v>0.73</v>
      </c>
      <c r="E18" s="10"/>
      <c r="F18" s="10"/>
      <c r="G18" s="10"/>
      <c r="H18" s="10"/>
      <c r="I18" s="10"/>
      <c r="J18" s="10"/>
      <c r="K18" s="10"/>
      <c r="L18" s="10"/>
      <c r="M18" s="10"/>
      <c r="N18" s="76" t="s">
        <v>46</v>
      </c>
      <c r="O18" s="10"/>
      <c r="P18" s="10"/>
    </row>
    <row r="19" spans="1:16" x14ac:dyDescent="0.35">
      <c r="A19" s="10"/>
      <c r="B19" s="10"/>
      <c r="C19" s="66" t="s">
        <v>36</v>
      </c>
      <c r="D19" s="85">
        <v>0.56000000000000005</v>
      </c>
      <c r="E19" s="10"/>
      <c r="F19" s="10"/>
      <c r="G19" s="10"/>
      <c r="H19" s="10"/>
      <c r="I19" s="10"/>
      <c r="J19" s="10"/>
      <c r="K19" s="10"/>
      <c r="L19" s="10"/>
      <c r="M19" s="10"/>
      <c r="N19" s="76" t="s">
        <v>84</v>
      </c>
      <c r="O19" s="10"/>
      <c r="P19" s="10"/>
    </row>
    <row r="20" spans="1:16" x14ac:dyDescent="0.35">
      <c r="A20" s="10"/>
      <c r="B20" s="10"/>
      <c r="C20" s="66" t="s">
        <v>37</v>
      </c>
      <c r="D20" s="85">
        <v>0.74</v>
      </c>
      <c r="E20" s="10"/>
      <c r="F20" s="10"/>
      <c r="G20" s="10"/>
      <c r="H20" s="10"/>
      <c r="I20" s="10"/>
      <c r="J20" s="10"/>
      <c r="K20" s="10"/>
      <c r="L20" s="10"/>
      <c r="M20" s="10"/>
      <c r="N20" s="76" t="s">
        <v>87</v>
      </c>
      <c r="O20" s="10"/>
      <c r="P20" s="10"/>
    </row>
    <row r="21" spans="1:16" x14ac:dyDescent="0.35">
      <c r="A21" s="10"/>
      <c r="B21" s="10"/>
      <c r="C21" s="66" t="s">
        <v>38</v>
      </c>
      <c r="D21" s="85">
        <v>0.4</v>
      </c>
      <c r="E21" s="10"/>
      <c r="F21" s="10"/>
      <c r="G21" s="10"/>
      <c r="H21" s="10"/>
      <c r="I21" s="10"/>
      <c r="J21" s="10"/>
      <c r="K21" s="10"/>
      <c r="L21" s="10"/>
      <c r="M21" s="10"/>
      <c r="N21" s="76" t="s">
        <v>54</v>
      </c>
      <c r="O21" s="10"/>
      <c r="P21" s="10"/>
    </row>
    <row r="22" spans="1:16" x14ac:dyDescent="0.35">
      <c r="A22" s="10"/>
      <c r="B22" s="10"/>
      <c r="C22" s="66" t="s">
        <v>39</v>
      </c>
      <c r="D22" s="85">
        <v>0.6</v>
      </c>
      <c r="E22" s="10"/>
      <c r="F22" s="10"/>
      <c r="G22" s="10"/>
      <c r="H22" s="10"/>
      <c r="I22" s="10"/>
      <c r="J22" s="10"/>
      <c r="K22" s="10"/>
      <c r="L22" s="10"/>
      <c r="M22" s="10"/>
      <c r="N22" s="76" t="s">
        <v>67</v>
      </c>
      <c r="O22" s="10"/>
      <c r="P22" s="10"/>
    </row>
    <row r="23" spans="1:16" ht="29" x14ac:dyDescent="0.35">
      <c r="A23" s="10"/>
      <c r="B23" s="10"/>
      <c r="C23" s="66" t="s">
        <v>40</v>
      </c>
      <c r="D23" s="85">
        <v>0.43</v>
      </c>
      <c r="E23" s="10"/>
      <c r="F23" s="10"/>
      <c r="G23" s="10"/>
      <c r="H23" s="10"/>
      <c r="I23" s="10"/>
      <c r="J23" s="10"/>
      <c r="K23" s="10"/>
      <c r="L23" s="10"/>
      <c r="M23" s="10"/>
      <c r="N23" s="76" t="s">
        <v>88</v>
      </c>
      <c r="O23" s="10"/>
      <c r="P23" s="10"/>
    </row>
    <row r="24" spans="1:16" x14ac:dyDescent="0.35">
      <c r="A24" s="10"/>
      <c r="B24" s="10"/>
      <c r="C24" s="66" t="s">
        <v>41</v>
      </c>
      <c r="D24" s="85">
        <v>0.37</v>
      </c>
      <c r="E24" s="10"/>
      <c r="F24" s="10"/>
      <c r="G24" s="10"/>
      <c r="H24" s="10"/>
      <c r="I24" s="10"/>
      <c r="J24" s="10"/>
      <c r="K24" s="10"/>
      <c r="L24" s="10"/>
      <c r="M24" s="10"/>
      <c r="N24" s="76" t="s">
        <v>74</v>
      </c>
      <c r="O24" s="10"/>
      <c r="P24" s="10"/>
    </row>
    <row r="25" spans="1:16" ht="29.5" thickBot="1" x14ac:dyDescent="0.4">
      <c r="A25" s="10"/>
      <c r="B25" s="10"/>
      <c r="C25" s="66" t="s">
        <v>42</v>
      </c>
      <c r="D25" s="85">
        <v>0.36</v>
      </c>
      <c r="E25" s="10"/>
      <c r="F25" s="10"/>
      <c r="G25" s="10"/>
      <c r="H25" s="10"/>
      <c r="I25" s="10"/>
      <c r="J25" s="10"/>
      <c r="K25" s="10"/>
      <c r="L25" s="10"/>
      <c r="M25" s="10"/>
      <c r="N25" s="77" t="s">
        <v>77</v>
      </c>
      <c r="O25" s="10"/>
      <c r="P25" s="10"/>
    </row>
    <row r="26" spans="1:16" x14ac:dyDescent="0.35">
      <c r="A26" s="10"/>
      <c r="B26" s="10"/>
      <c r="C26" s="66" t="s">
        <v>43</v>
      </c>
      <c r="D26" s="85">
        <v>0.51</v>
      </c>
      <c r="E26" s="10"/>
      <c r="F26" s="10"/>
      <c r="G26" s="10"/>
      <c r="H26" s="10"/>
      <c r="I26" s="10"/>
      <c r="J26" s="10"/>
      <c r="K26" s="10"/>
      <c r="L26" s="10"/>
      <c r="M26" s="10"/>
      <c r="N26" s="10"/>
      <c r="O26" s="10"/>
      <c r="P26" s="10"/>
    </row>
    <row r="27" spans="1:16" x14ac:dyDescent="0.35">
      <c r="A27" s="10"/>
      <c r="B27" s="10"/>
      <c r="C27" s="66" t="s">
        <v>44</v>
      </c>
      <c r="D27" s="85">
        <v>0.56000000000000005</v>
      </c>
      <c r="E27" s="10"/>
      <c r="F27" s="10"/>
      <c r="G27" s="10"/>
      <c r="H27" s="10"/>
      <c r="I27" s="10"/>
      <c r="J27" s="10"/>
      <c r="K27" s="10"/>
      <c r="L27" s="10"/>
      <c r="M27" s="10"/>
      <c r="N27" s="10"/>
      <c r="O27" s="10"/>
      <c r="P27" s="10"/>
    </row>
    <row r="28" spans="1:16" x14ac:dyDescent="0.35">
      <c r="A28" s="10"/>
      <c r="B28" s="10"/>
      <c r="C28" s="66" t="s">
        <v>45</v>
      </c>
      <c r="D28" s="85">
        <v>0.56000000000000005</v>
      </c>
      <c r="E28" s="10"/>
      <c r="F28" s="10"/>
      <c r="G28" s="10"/>
      <c r="H28" s="10"/>
      <c r="I28" s="10"/>
      <c r="J28" s="10"/>
      <c r="K28" s="10"/>
      <c r="L28" s="10"/>
      <c r="M28" s="10"/>
      <c r="N28" s="10"/>
      <c r="O28" s="10"/>
      <c r="P28" s="10"/>
    </row>
    <row r="29" spans="1:16" x14ac:dyDescent="0.35">
      <c r="A29" s="10"/>
      <c r="B29" s="10"/>
      <c r="C29" s="66" t="s">
        <v>83</v>
      </c>
      <c r="D29" s="85">
        <v>0.48</v>
      </c>
      <c r="E29" s="10"/>
      <c r="F29" s="10"/>
      <c r="G29" s="10"/>
      <c r="H29" s="10"/>
      <c r="I29" s="10"/>
      <c r="J29" s="10"/>
      <c r="K29" s="10"/>
      <c r="L29" s="10"/>
      <c r="M29" s="10"/>
      <c r="N29" s="10"/>
      <c r="O29" s="10"/>
      <c r="P29" s="10"/>
    </row>
    <row r="30" spans="1:16" x14ac:dyDescent="0.35">
      <c r="A30" s="10"/>
      <c r="B30" s="10"/>
      <c r="C30" s="66" t="s">
        <v>46</v>
      </c>
      <c r="D30" s="85">
        <v>0.55000000000000004</v>
      </c>
      <c r="E30" s="10"/>
      <c r="F30" s="10"/>
      <c r="G30" s="10"/>
      <c r="H30" s="10"/>
      <c r="I30" s="10"/>
      <c r="J30" s="10"/>
      <c r="K30" s="10"/>
      <c r="L30" s="10"/>
      <c r="M30" s="10"/>
      <c r="N30" s="10"/>
      <c r="O30" s="10"/>
      <c r="P30" s="10"/>
    </row>
    <row r="31" spans="1:16" x14ac:dyDescent="0.35">
      <c r="A31" s="10"/>
      <c r="B31" s="10"/>
      <c r="C31" s="66" t="s">
        <v>84</v>
      </c>
      <c r="D31" s="85">
        <v>0.56000000000000005</v>
      </c>
      <c r="E31" s="10"/>
      <c r="F31" s="10"/>
      <c r="G31" s="10"/>
      <c r="H31" s="10"/>
      <c r="I31" s="10"/>
      <c r="J31" s="10"/>
      <c r="K31" s="10"/>
      <c r="L31" s="10"/>
      <c r="M31" s="10"/>
      <c r="N31" s="10"/>
      <c r="O31" s="10"/>
      <c r="P31" s="10"/>
    </row>
    <row r="32" spans="1:16" x14ac:dyDescent="0.35">
      <c r="A32" s="10"/>
      <c r="B32" s="10"/>
      <c r="C32" s="66" t="s">
        <v>47</v>
      </c>
      <c r="D32" s="85">
        <v>0.57999999999999996</v>
      </c>
      <c r="E32" s="10"/>
      <c r="F32" s="10"/>
      <c r="G32" s="10"/>
      <c r="H32" s="10"/>
      <c r="I32" s="10"/>
      <c r="J32" s="10"/>
      <c r="K32" s="10"/>
      <c r="L32" s="10"/>
      <c r="M32" s="10"/>
      <c r="N32" s="10"/>
      <c r="O32" s="10"/>
      <c r="P32" s="10"/>
    </row>
    <row r="33" spans="1:16" x14ac:dyDescent="0.35">
      <c r="A33" s="10"/>
      <c r="B33" s="10"/>
      <c r="C33" s="66" t="s">
        <v>48</v>
      </c>
      <c r="D33" s="85">
        <v>0.57999999999999996</v>
      </c>
      <c r="E33" s="10"/>
      <c r="F33" s="10"/>
      <c r="G33" s="10"/>
      <c r="H33" s="10"/>
      <c r="I33" s="10"/>
      <c r="J33" s="10"/>
      <c r="K33" s="10"/>
      <c r="L33" s="10"/>
      <c r="M33" s="10"/>
      <c r="N33" s="10"/>
      <c r="O33" s="10"/>
      <c r="P33" s="10"/>
    </row>
    <row r="34" spans="1:16" x14ac:dyDescent="0.35">
      <c r="A34" s="10"/>
      <c r="B34" s="10"/>
      <c r="C34" s="66" t="s">
        <v>49</v>
      </c>
      <c r="D34" s="85">
        <v>0.48</v>
      </c>
      <c r="E34" s="10"/>
      <c r="F34" s="10"/>
      <c r="G34" s="10"/>
      <c r="H34" s="10"/>
      <c r="I34" s="10"/>
      <c r="J34" s="10"/>
      <c r="K34" s="10"/>
      <c r="L34" s="10"/>
      <c r="M34" s="10"/>
      <c r="N34" s="10"/>
      <c r="O34" s="10"/>
      <c r="P34" s="10"/>
    </row>
    <row r="35" spans="1:16" x14ac:dyDescent="0.35">
      <c r="A35" s="10"/>
      <c r="B35" s="10"/>
      <c r="C35" s="66" t="s">
        <v>50</v>
      </c>
      <c r="D35" s="85">
        <v>0.42</v>
      </c>
      <c r="E35" s="10"/>
      <c r="F35" s="10"/>
      <c r="G35" s="10"/>
      <c r="H35" s="10"/>
      <c r="I35" s="10"/>
      <c r="J35" s="10"/>
      <c r="K35" s="10"/>
      <c r="L35" s="10"/>
      <c r="M35" s="10"/>
      <c r="N35" s="10"/>
      <c r="O35" s="10"/>
      <c r="P35" s="10"/>
    </row>
    <row r="36" spans="1:16" x14ac:dyDescent="0.35">
      <c r="A36" s="10"/>
      <c r="B36" s="10"/>
      <c r="C36" s="66" t="s">
        <v>85</v>
      </c>
      <c r="D36" s="85">
        <v>0.5</v>
      </c>
      <c r="E36" s="10"/>
      <c r="F36" s="10"/>
      <c r="G36" s="10"/>
      <c r="H36" s="10"/>
      <c r="I36" s="10"/>
      <c r="J36" s="10"/>
      <c r="K36" s="10"/>
      <c r="L36" s="10"/>
      <c r="M36" s="10"/>
      <c r="N36" s="10"/>
      <c r="O36" s="10"/>
      <c r="P36" s="10"/>
    </row>
    <row r="37" spans="1:16" x14ac:dyDescent="0.35">
      <c r="A37" s="10"/>
      <c r="B37" s="10"/>
      <c r="C37" s="66" t="s">
        <v>51</v>
      </c>
      <c r="D37" s="85">
        <v>0.55000000000000004</v>
      </c>
      <c r="E37" s="10"/>
      <c r="F37" s="10"/>
      <c r="G37" s="10"/>
      <c r="H37" s="10"/>
      <c r="I37" s="10"/>
      <c r="J37" s="10"/>
      <c r="K37" s="10"/>
      <c r="L37" s="10"/>
      <c r="M37" s="10"/>
      <c r="N37" s="10"/>
      <c r="O37" s="10"/>
      <c r="P37" s="10"/>
    </row>
    <row r="38" spans="1:16" x14ac:dyDescent="0.35">
      <c r="A38" s="10"/>
      <c r="B38" s="10"/>
      <c r="C38" s="66" t="s">
        <v>86</v>
      </c>
      <c r="D38" s="85">
        <v>0.53</v>
      </c>
      <c r="E38" s="10"/>
      <c r="F38" s="10"/>
      <c r="G38" s="10"/>
      <c r="H38" s="10"/>
      <c r="I38" s="10"/>
      <c r="J38" s="10"/>
      <c r="K38" s="10"/>
      <c r="L38" s="10"/>
      <c r="M38" s="10"/>
      <c r="N38" s="10"/>
      <c r="O38" s="10"/>
      <c r="P38" s="10"/>
    </row>
    <row r="39" spans="1:16" x14ac:dyDescent="0.35">
      <c r="A39" s="10"/>
      <c r="B39" s="10"/>
      <c r="C39" s="66" t="s">
        <v>87</v>
      </c>
      <c r="D39" s="85">
        <v>0.52</v>
      </c>
      <c r="E39" s="10"/>
      <c r="F39" s="10"/>
      <c r="G39" s="10"/>
      <c r="H39" s="10"/>
      <c r="I39" s="10"/>
      <c r="J39" s="10"/>
      <c r="K39" s="10"/>
      <c r="L39" s="10"/>
      <c r="M39" s="10"/>
      <c r="N39" s="10"/>
      <c r="O39" s="10"/>
      <c r="P39" s="10"/>
    </row>
    <row r="40" spans="1:16" x14ac:dyDescent="0.35">
      <c r="A40" s="10"/>
      <c r="B40" s="10"/>
      <c r="C40" s="66" t="s">
        <v>52</v>
      </c>
      <c r="D40" s="85">
        <v>0.52</v>
      </c>
      <c r="E40" s="10"/>
      <c r="F40" s="10"/>
      <c r="G40" s="10"/>
      <c r="H40" s="10"/>
      <c r="I40" s="10"/>
      <c r="J40" s="10"/>
      <c r="K40" s="10"/>
      <c r="L40" s="10"/>
      <c r="M40" s="10"/>
      <c r="N40" s="10"/>
      <c r="O40" s="10"/>
      <c r="P40" s="10"/>
    </row>
    <row r="41" spans="1:16" x14ac:dyDescent="0.35">
      <c r="A41" s="10"/>
      <c r="B41" s="10"/>
      <c r="C41" s="66" t="s">
        <v>53</v>
      </c>
      <c r="D41" s="85">
        <v>0.75</v>
      </c>
      <c r="E41" s="10"/>
      <c r="F41" s="10"/>
      <c r="G41" s="10"/>
      <c r="H41" s="10"/>
      <c r="I41" s="10"/>
      <c r="J41" s="10"/>
      <c r="K41" s="10"/>
      <c r="L41" s="10"/>
      <c r="M41" s="10"/>
      <c r="N41" s="10"/>
      <c r="O41" s="10"/>
      <c r="P41" s="10"/>
    </row>
    <row r="42" spans="1:16" x14ac:dyDescent="0.35">
      <c r="A42" s="10"/>
      <c r="B42" s="10"/>
      <c r="C42" s="66" t="s">
        <v>54</v>
      </c>
      <c r="D42" s="85">
        <v>0.52</v>
      </c>
      <c r="E42" s="10"/>
      <c r="F42" s="10"/>
      <c r="G42" s="10"/>
      <c r="H42" s="10"/>
      <c r="I42" s="10"/>
      <c r="J42" s="10"/>
      <c r="K42" s="10"/>
      <c r="L42" s="10"/>
      <c r="M42" s="10"/>
      <c r="N42" s="10"/>
      <c r="O42" s="10"/>
      <c r="P42" s="10"/>
    </row>
    <row r="43" spans="1:16" x14ac:dyDescent="0.35">
      <c r="A43" s="10"/>
      <c r="B43" s="10"/>
      <c r="C43" s="66" t="s">
        <v>55</v>
      </c>
      <c r="D43" s="85">
        <v>0.35</v>
      </c>
      <c r="E43" s="10"/>
      <c r="F43" s="10"/>
      <c r="G43" s="10"/>
      <c r="H43" s="10"/>
      <c r="I43" s="10"/>
      <c r="J43" s="10"/>
      <c r="K43" s="10"/>
      <c r="L43" s="10"/>
      <c r="M43" s="10"/>
      <c r="N43" s="10"/>
      <c r="O43" s="10"/>
      <c r="P43" s="10"/>
    </row>
    <row r="44" spans="1:16" x14ac:dyDescent="0.35">
      <c r="A44" s="10"/>
      <c r="B44" s="10"/>
      <c r="C44" s="66" t="s">
        <v>56</v>
      </c>
      <c r="D44" s="85">
        <v>0.37</v>
      </c>
      <c r="E44" s="10"/>
      <c r="F44" s="10"/>
      <c r="G44" s="10"/>
      <c r="H44" s="10"/>
      <c r="I44" s="10"/>
      <c r="J44" s="10"/>
      <c r="K44" s="10"/>
      <c r="L44" s="10"/>
      <c r="M44" s="10"/>
      <c r="N44" s="10"/>
      <c r="O44" s="10"/>
      <c r="P44" s="10"/>
    </row>
    <row r="45" spans="1:16" x14ac:dyDescent="0.35">
      <c r="A45" s="10"/>
      <c r="B45" s="10"/>
      <c r="C45" s="66" t="s">
        <v>58</v>
      </c>
      <c r="D45" s="85">
        <v>0.45</v>
      </c>
      <c r="E45" s="10"/>
      <c r="F45" s="10"/>
      <c r="G45" s="10"/>
      <c r="H45" s="10"/>
      <c r="I45" s="10"/>
      <c r="J45" s="10"/>
      <c r="K45" s="10"/>
      <c r="L45" s="10"/>
      <c r="M45" s="10"/>
      <c r="N45" s="10"/>
      <c r="O45" s="10"/>
      <c r="P45" s="10"/>
    </row>
    <row r="46" spans="1:16" x14ac:dyDescent="0.35">
      <c r="A46" s="10"/>
      <c r="B46" s="10"/>
      <c r="C46" s="66" t="s">
        <v>59</v>
      </c>
      <c r="D46" s="85">
        <v>0.39</v>
      </c>
      <c r="E46" s="10"/>
      <c r="F46" s="10"/>
      <c r="G46" s="10"/>
      <c r="H46" s="10"/>
      <c r="I46" s="10"/>
      <c r="J46" s="10"/>
      <c r="K46" s="10"/>
      <c r="L46" s="10"/>
      <c r="M46" s="10"/>
      <c r="N46" s="10"/>
      <c r="O46" s="10"/>
      <c r="P46" s="10"/>
    </row>
    <row r="47" spans="1:16" x14ac:dyDescent="0.35">
      <c r="A47" s="10"/>
      <c r="B47" s="10"/>
      <c r="C47" s="66" t="s">
        <v>60</v>
      </c>
      <c r="D47" s="85">
        <v>0.44</v>
      </c>
      <c r="E47" s="10"/>
      <c r="F47" s="10"/>
      <c r="G47" s="10"/>
      <c r="H47" s="10"/>
      <c r="I47" s="10"/>
      <c r="J47" s="10"/>
      <c r="K47" s="10"/>
      <c r="L47" s="10"/>
      <c r="M47" s="10"/>
      <c r="N47" s="10"/>
      <c r="O47" s="10"/>
      <c r="P47" s="10"/>
    </row>
    <row r="48" spans="1:16" x14ac:dyDescent="0.35">
      <c r="A48" s="10"/>
      <c r="B48" s="10"/>
      <c r="C48" s="66" t="s">
        <v>61</v>
      </c>
      <c r="D48" s="85">
        <v>0.46</v>
      </c>
      <c r="E48" s="10"/>
      <c r="F48" s="10"/>
      <c r="G48" s="10"/>
      <c r="H48" s="10"/>
      <c r="I48" s="10"/>
      <c r="J48" s="10"/>
      <c r="K48" s="10"/>
      <c r="L48" s="10"/>
      <c r="M48" s="10"/>
      <c r="N48" s="10"/>
      <c r="O48" s="10"/>
      <c r="P48" s="10"/>
    </row>
    <row r="49" spans="1:16" x14ac:dyDescent="0.35">
      <c r="A49" s="10"/>
      <c r="B49" s="10"/>
      <c r="C49" s="66" t="s">
        <v>62</v>
      </c>
      <c r="D49" s="85">
        <v>0.46</v>
      </c>
      <c r="E49" s="10"/>
      <c r="F49" s="10"/>
      <c r="G49" s="10"/>
      <c r="H49" s="10"/>
      <c r="I49" s="10"/>
      <c r="J49" s="10"/>
      <c r="K49" s="10"/>
      <c r="L49" s="10"/>
      <c r="M49" s="10"/>
      <c r="N49" s="10"/>
      <c r="O49" s="10"/>
      <c r="P49" s="10"/>
    </row>
    <row r="50" spans="1:16" x14ac:dyDescent="0.35">
      <c r="A50" s="10"/>
      <c r="B50" s="10"/>
      <c r="C50" s="66" t="s">
        <v>63</v>
      </c>
      <c r="D50" s="85">
        <v>0.44</v>
      </c>
      <c r="E50" s="10"/>
      <c r="F50" s="10"/>
      <c r="G50" s="10"/>
      <c r="H50" s="10"/>
      <c r="I50" s="10"/>
      <c r="J50" s="10"/>
      <c r="K50" s="10"/>
      <c r="L50" s="10"/>
      <c r="M50" s="10"/>
      <c r="N50" s="10"/>
      <c r="O50" s="10"/>
      <c r="P50" s="10"/>
    </row>
    <row r="51" spans="1:16" x14ac:dyDescent="0.35">
      <c r="A51" s="10"/>
      <c r="B51" s="10"/>
      <c r="C51" s="66" t="s">
        <v>64</v>
      </c>
      <c r="D51" s="85">
        <v>0.46</v>
      </c>
      <c r="E51" s="10"/>
      <c r="F51" s="10"/>
      <c r="G51" s="10"/>
      <c r="H51" s="10"/>
      <c r="I51" s="10"/>
      <c r="J51" s="10"/>
      <c r="K51" s="10"/>
      <c r="L51" s="10"/>
      <c r="M51" s="10"/>
      <c r="N51" s="10"/>
      <c r="O51" s="10"/>
      <c r="P51" s="10"/>
    </row>
    <row r="52" spans="1:16" x14ac:dyDescent="0.35">
      <c r="A52" s="10"/>
      <c r="B52" s="10"/>
      <c r="C52" s="66" t="s">
        <v>78</v>
      </c>
      <c r="D52" s="85">
        <v>0.48</v>
      </c>
      <c r="E52" s="10"/>
      <c r="F52" s="10"/>
      <c r="G52" s="10"/>
      <c r="H52" s="10"/>
      <c r="I52" s="10"/>
      <c r="J52" s="10"/>
      <c r="K52" s="10"/>
      <c r="L52" s="10"/>
      <c r="M52" s="10"/>
      <c r="N52" s="10"/>
      <c r="O52" s="10"/>
      <c r="P52" s="10"/>
    </row>
    <row r="53" spans="1:16" x14ac:dyDescent="0.35">
      <c r="A53" s="10"/>
      <c r="B53" s="10"/>
      <c r="C53" s="66" t="s">
        <v>65</v>
      </c>
      <c r="D53" s="85">
        <v>0.44</v>
      </c>
      <c r="E53" s="10"/>
      <c r="F53" s="10"/>
      <c r="G53" s="10"/>
      <c r="H53" s="10"/>
      <c r="I53" s="10"/>
      <c r="J53" s="10"/>
      <c r="K53" s="10"/>
      <c r="L53" s="10"/>
      <c r="M53" s="10"/>
      <c r="N53" s="10"/>
      <c r="O53" s="10"/>
      <c r="P53" s="10"/>
    </row>
    <row r="54" spans="1:16" x14ac:dyDescent="0.35">
      <c r="A54" s="10"/>
      <c r="B54" s="10"/>
      <c r="C54" s="66" t="s">
        <v>66</v>
      </c>
      <c r="D54" s="85">
        <v>0.34</v>
      </c>
      <c r="E54" s="10"/>
      <c r="F54" s="10"/>
      <c r="G54" s="10"/>
      <c r="H54" s="10"/>
      <c r="I54" s="10"/>
      <c r="J54" s="10"/>
      <c r="K54" s="10"/>
      <c r="L54" s="10"/>
      <c r="M54" s="10"/>
      <c r="N54" s="10"/>
      <c r="O54" s="10"/>
      <c r="P54" s="10"/>
    </row>
    <row r="55" spans="1:16" x14ac:dyDescent="0.35">
      <c r="A55" s="10"/>
      <c r="B55" s="10"/>
      <c r="C55" s="66" t="s">
        <v>67</v>
      </c>
      <c r="D55" s="85">
        <v>0.5</v>
      </c>
      <c r="E55" s="10"/>
      <c r="F55" s="10"/>
      <c r="G55" s="10"/>
      <c r="H55" s="10"/>
      <c r="I55" s="10"/>
      <c r="J55" s="10"/>
      <c r="K55" s="10"/>
      <c r="L55" s="10"/>
      <c r="M55" s="10"/>
      <c r="N55" s="10"/>
      <c r="O55" s="10"/>
      <c r="P55" s="10"/>
    </row>
    <row r="56" spans="1:16" x14ac:dyDescent="0.35">
      <c r="A56" s="10"/>
      <c r="B56" s="10"/>
      <c r="C56" s="66" t="s">
        <v>88</v>
      </c>
      <c r="D56" s="85">
        <v>0.57999999999999996</v>
      </c>
      <c r="E56" s="10"/>
      <c r="F56" s="10"/>
      <c r="G56" s="10"/>
      <c r="H56" s="10"/>
      <c r="I56" s="10"/>
      <c r="J56" s="10"/>
      <c r="K56" s="10"/>
      <c r="L56" s="10"/>
      <c r="M56" s="10"/>
      <c r="N56" s="10"/>
      <c r="O56" s="10"/>
      <c r="P56" s="10"/>
    </row>
    <row r="57" spans="1:16" x14ac:dyDescent="0.35">
      <c r="A57" s="10"/>
      <c r="B57" s="10"/>
      <c r="C57" s="66" t="s">
        <v>68</v>
      </c>
      <c r="D57" s="85">
        <v>0.37</v>
      </c>
      <c r="E57" s="10"/>
      <c r="F57" s="10"/>
      <c r="G57" s="10"/>
      <c r="H57" s="10"/>
      <c r="I57" s="10"/>
      <c r="J57" s="10"/>
      <c r="K57" s="10"/>
      <c r="L57" s="10"/>
      <c r="M57" s="10"/>
      <c r="N57" s="10"/>
      <c r="O57" s="10"/>
      <c r="P57" s="10"/>
    </row>
    <row r="58" spans="1:16" x14ac:dyDescent="0.35">
      <c r="A58" s="10"/>
      <c r="B58" s="10"/>
      <c r="C58" s="66" t="s">
        <v>69</v>
      </c>
      <c r="D58" s="85">
        <v>0.37</v>
      </c>
      <c r="E58" s="10"/>
      <c r="F58" s="10"/>
      <c r="G58" s="10"/>
      <c r="H58" s="10"/>
      <c r="I58" s="10"/>
      <c r="J58" s="10"/>
      <c r="K58" s="10"/>
      <c r="L58" s="10"/>
      <c r="M58" s="10"/>
      <c r="N58" s="10"/>
      <c r="O58" s="10"/>
      <c r="P58" s="10"/>
    </row>
    <row r="59" spans="1:16" x14ac:dyDescent="0.35">
      <c r="A59" s="10"/>
      <c r="B59" s="10"/>
      <c r="C59" s="66" t="s">
        <v>70</v>
      </c>
      <c r="D59" s="85">
        <v>0.38</v>
      </c>
      <c r="E59" s="10"/>
      <c r="F59" s="10"/>
      <c r="G59" s="10"/>
      <c r="H59" s="10"/>
      <c r="I59" s="10"/>
      <c r="J59" s="10"/>
      <c r="K59" s="10"/>
      <c r="L59" s="10"/>
      <c r="M59" s="10"/>
      <c r="N59" s="10"/>
      <c r="O59" s="10"/>
      <c r="P59" s="10"/>
    </row>
    <row r="60" spans="1:16" x14ac:dyDescent="0.35">
      <c r="A60" s="10"/>
      <c r="B60" s="10"/>
      <c r="C60" s="66" t="s">
        <v>71</v>
      </c>
      <c r="D60" s="85">
        <v>0.36</v>
      </c>
      <c r="E60" s="10"/>
      <c r="F60" s="10"/>
      <c r="G60" s="10"/>
      <c r="H60" s="10"/>
      <c r="I60" s="10"/>
      <c r="J60" s="10"/>
      <c r="K60" s="10"/>
      <c r="L60" s="10"/>
      <c r="M60" s="10"/>
      <c r="N60" s="10"/>
      <c r="O60" s="10"/>
      <c r="P60" s="10"/>
    </row>
    <row r="61" spans="1:16" x14ac:dyDescent="0.35">
      <c r="A61" s="10"/>
      <c r="B61" s="10"/>
      <c r="C61" s="66" t="s">
        <v>72</v>
      </c>
      <c r="D61" s="85">
        <v>0.37</v>
      </c>
      <c r="E61" s="10"/>
      <c r="F61" s="10"/>
      <c r="G61" s="10"/>
      <c r="H61" s="10"/>
      <c r="I61" s="10"/>
      <c r="J61" s="10"/>
      <c r="K61" s="10"/>
      <c r="L61" s="10"/>
      <c r="M61" s="10"/>
      <c r="N61" s="10"/>
      <c r="O61" s="10"/>
      <c r="P61" s="10"/>
    </row>
    <row r="62" spans="1:16" x14ac:dyDescent="0.35">
      <c r="A62" s="10"/>
      <c r="B62" s="10"/>
      <c r="C62" s="66" t="s">
        <v>73</v>
      </c>
      <c r="D62" s="85">
        <v>0.53</v>
      </c>
      <c r="E62" s="10"/>
      <c r="F62" s="10"/>
      <c r="G62" s="10"/>
      <c r="H62" s="10"/>
      <c r="I62" s="10"/>
      <c r="J62" s="10"/>
      <c r="K62" s="10"/>
      <c r="L62" s="10"/>
      <c r="M62" s="10"/>
      <c r="N62" s="10"/>
      <c r="O62" s="10"/>
      <c r="P62" s="10"/>
    </row>
    <row r="63" spans="1:16" x14ac:dyDescent="0.35">
      <c r="A63" s="10"/>
      <c r="B63" s="10"/>
      <c r="C63" s="66" t="s">
        <v>74</v>
      </c>
      <c r="D63" s="85">
        <v>0.43</v>
      </c>
      <c r="E63" s="10"/>
      <c r="F63" s="10"/>
      <c r="G63" s="10"/>
      <c r="H63" s="10"/>
      <c r="I63" s="10"/>
      <c r="J63" s="10"/>
      <c r="K63" s="10"/>
      <c r="L63" s="10"/>
      <c r="M63" s="10"/>
      <c r="N63" s="10"/>
      <c r="O63" s="10"/>
      <c r="P63" s="10"/>
    </row>
    <row r="64" spans="1:16" x14ac:dyDescent="0.35">
      <c r="A64" s="10"/>
      <c r="B64" s="10"/>
      <c r="C64" s="66" t="s">
        <v>75</v>
      </c>
      <c r="D64" s="85">
        <v>0.38</v>
      </c>
      <c r="E64" s="10"/>
      <c r="F64" s="10"/>
      <c r="G64" s="10"/>
      <c r="H64" s="10"/>
      <c r="I64" s="10"/>
      <c r="J64" s="10"/>
      <c r="K64" s="10"/>
      <c r="L64" s="10"/>
      <c r="M64" s="10"/>
      <c r="N64" s="10"/>
      <c r="O64" s="10"/>
      <c r="P64" s="10"/>
    </row>
    <row r="65" spans="1:16" x14ac:dyDescent="0.35">
      <c r="A65" s="10"/>
      <c r="B65" s="10"/>
      <c r="C65" s="66" t="s">
        <v>76</v>
      </c>
      <c r="D65" s="85">
        <v>0.42</v>
      </c>
      <c r="E65" s="10"/>
      <c r="F65" s="10"/>
      <c r="G65" s="10"/>
      <c r="H65" s="10"/>
      <c r="I65" s="10"/>
      <c r="J65" s="10"/>
      <c r="K65" s="10"/>
      <c r="L65" s="10"/>
      <c r="M65" s="10"/>
      <c r="N65" s="10"/>
      <c r="O65" s="10"/>
      <c r="P65" s="10"/>
    </row>
    <row r="66" spans="1:16" ht="15" thickBot="1" x14ac:dyDescent="0.4">
      <c r="A66" s="10"/>
      <c r="B66" s="10"/>
      <c r="C66" s="67" t="s">
        <v>77</v>
      </c>
      <c r="D66" s="86">
        <v>0.56999999999999995</v>
      </c>
      <c r="E66" s="10"/>
      <c r="F66" s="10"/>
      <c r="G66" s="10"/>
      <c r="H66" s="10"/>
      <c r="I66" s="10"/>
      <c r="J66" s="10"/>
      <c r="K66" s="10"/>
      <c r="L66" s="10"/>
      <c r="M66" s="10"/>
      <c r="N66" s="10"/>
      <c r="O66" s="10"/>
      <c r="P66" s="10"/>
    </row>
    <row r="67" spans="1:16" ht="15" thickBot="1" x14ac:dyDescent="0.4">
      <c r="A67" s="10"/>
      <c r="B67" s="10"/>
      <c r="C67" s="117" t="s">
        <v>213</v>
      </c>
      <c r="D67" s="86">
        <v>0.54</v>
      </c>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82" t="s">
        <v>145</v>
      </c>
      <c r="B70" s="10"/>
      <c r="C70" s="10"/>
      <c r="D70" s="10"/>
      <c r="E70" s="10"/>
      <c r="F70" s="10"/>
      <c r="G70" s="10"/>
      <c r="H70" s="10"/>
      <c r="I70" s="10"/>
      <c r="J70" s="10"/>
      <c r="K70" s="10"/>
      <c r="L70" s="10"/>
      <c r="M70" s="10"/>
      <c r="N70" s="10"/>
      <c r="O70" s="10"/>
      <c r="P70" s="10"/>
    </row>
    <row r="71" spans="1:16" x14ac:dyDescent="0.35">
      <c r="A71" s="79" t="s">
        <v>146</v>
      </c>
      <c r="B71" s="10"/>
      <c r="C71" s="10"/>
      <c r="D71" s="10"/>
      <c r="E71" s="10"/>
      <c r="F71" s="10"/>
      <c r="G71" s="10"/>
      <c r="H71" s="10"/>
      <c r="I71" s="10"/>
      <c r="J71" s="10"/>
      <c r="K71" s="10"/>
      <c r="L71" s="10"/>
      <c r="M71" s="10"/>
      <c r="N71" s="10"/>
      <c r="O71" s="10"/>
      <c r="P71" s="10"/>
    </row>
    <row r="72" spans="1:16" x14ac:dyDescent="0.35">
      <c r="A72" s="76" t="s">
        <v>147</v>
      </c>
      <c r="B72" s="10"/>
      <c r="C72" s="10"/>
      <c r="D72" s="10"/>
      <c r="E72" s="10"/>
      <c r="F72" s="10"/>
      <c r="G72" s="10"/>
      <c r="H72" s="10"/>
      <c r="I72" s="10"/>
      <c r="J72" s="10"/>
      <c r="K72" s="10"/>
      <c r="L72" s="10"/>
      <c r="M72" s="10"/>
      <c r="N72" s="10"/>
      <c r="O72" s="10"/>
      <c r="P72" s="10"/>
    </row>
    <row r="73" spans="1:16" ht="29.5" thickBot="1" x14ac:dyDescent="0.4">
      <c r="A73" s="77" t="s">
        <v>148</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REAforêtMReboisement</vt:lpstr>
      <vt:lpstr>REAproduitsMReboisement</vt:lpstr>
      <vt:lpstr>REEsubsMReboisement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2021-01-29T08:40:23Z</dcterms:modified>
</cp:coreProperties>
</file>