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cooperativecarbone17.sharepoint.com/sites/CooperativeCarbone/Documents partages/CONTRIBUTION CARBONE/PROJETS/LBC - Verger/2024 St-Vivien de M/"/>
    </mc:Choice>
  </mc:AlternateContent>
  <xr:revisionPtr revIDLastSave="3" documentId="11_8CDDFF23737A393E840680E037A0CAE0B6F6A0F5" xr6:coauthVersionLast="47" xr6:coauthVersionMax="47" xr10:uidLastSave="{82D572D6-9C39-4512-A637-4DFB29B9F3A4}"/>
  <bookViews>
    <workbookView xWindow="-108" yWindow="-108" windowWidth="23256" windowHeight="12576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r:id="rId9"/>
    <sheet name="(ne pas modifier) LISTES" sheetId="3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40" i="5" l="1"/>
  <c r="I140" i="5"/>
  <c r="J86" i="5"/>
  <c r="F86" i="5"/>
  <c r="K140" i="5"/>
  <c r="K59" i="5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G20" i="8" l="1"/>
  <c r="E127" i="5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D100" i="5"/>
  <c r="D103" i="5" s="1"/>
  <c r="D114" i="5" s="1"/>
  <c r="H100" i="5"/>
  <c r="H103" i="5" s="1"/>
  <c r="H114" i="5" s="1"/>
  <c r="F73" i="5"/>
  <c r="F76" i="5" s="1"/>
  <c r="F87" i="5" s="1"/>
  <c r="K46" i="5"/>
  <c r="K49" i="5" s="1"/>
  <c r="K60" i="5" s="1"/>
  <c r="D127" i="5"/>
  <c r="D130" i="5" s="1"/>
  <c r="D141" i="5" s="1"/>
  <c r="L127" i="5"/>
  <c r="L130" i="5" s="1"/>
  <c r="L141" i="5" s="1"/>
  <c r="C127" i="5"/>
  <c r="C130" i="5" s="1"/>
  <c r="C141" i="5" s="1"/>
  <c r="G73" i="5"/>
  <c r="G76" i="5" s="1"/>
  <c r="G87" i="5" s="1"/>
  <c r="K73" i="5"/>
  <c r="K76" i="5" s="1"/>
  <c r="K87" i="5" s="1"/>
  <c r="D46" i="5"/>
  <c r="D49" i="5" s="1"/>
  <c r="D60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L100" i="5"/>
  <c r="L103" i="5" s="1"/>
  <c r="L114" i="5" s="1"/>
  <c r="J73" i="5"/>
  <c r="J76" i="5" s="1"/>
  <c r="J87" i="5" s="1"/>
  <c r="G46" i="5"/>
  <c r="G49" i="5" s="1"/>
  <c r="G60" i="5" s="1"/>
  <c r="C46" i="5"/>
  <c r="C49" i="5" s="1"/>
  <c r="C60" i="5" s="1"/>
  <c r="H127" i="5"/>
  <c r="H130" i="5" s="1"/>
  <c r="H141" i="5" s="1"/>
  <c r="E100" i="5"/>
  <c r="E103" i="5" s="1"/>
  <c r="E114" i="5" s="1"/>
  <c r="I100" i="5"/>
  <c r="I103" i="5" s="1"/>
  <c r="I114" i="5" s="1"/>
  <c r="H46" i="5"/>
  <c r="H49" i="5" s="1"/>
  <c r="H60" i="5" s="1"/>
  <c r="D19" i="5"/>
  <c r="D22" i="5" s="1"/>
  <c r="D33" i="5" s="1"/>
  <c r="H19" i="5"/>
  <c r="H22" i="5" s="1"/>
  <c r="H33" i="5" s="1"/>
  <c r="L19" i="5"/>
  <c r="L22" i="5" s="1"/>
  <c r="L33" i="5" s="1"/>
  <c r="F19" i="5"/>
  <c r="F22" i="5" s="1"/>
  <c r="F33" i="5" s="1"/>
  <c r="C19" i="5"/>
  <c r="C22" i="5" s="1"/>
  <c r="E19" i="5"/>
  <c r="E22" i="5" s="1"/>
  <c r="E33" i="5" s="1"/>
  <c r="I19" i="5"/>
  <c r="I22" i="5" s="1"/>
  <c r="I33" i="5" s="1"/>
  <c r="J19" i="5"/>
  <c r="J22" i="5" s="1"/>
  <c r="J33" i="5" s="1"/>
  <c r="G19" i="5"/>
  <c r="G22" i="5" s="1"/>
  <c r="G33" i="5" s="1"/>
  <c r="K19" i="5"/>
  <c r="K22" i="5" s="1"/>
  <c r="K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C6" i="6" s="1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l="1"/>
  <c r="B28" i="2" s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<sst xmlns="http://schemas.openxmlformats.org/spreadsheetml/2006/main" count="895" uniqueCount="354">
  <si>
    <t>V. 27/02/2023</t>
  </si>
  <si>
    <t>Les cellules à remplir sont indiquées en jaune (si vous ne parvenez pas à supprimer une donnée, tappez sur Suppr)</t>
  </si>
  <si>
    <t>Ce calculateur a été élaboré par le Minitère de la Transition Ecologique et permet notamment de calculer les réductions d'émissions associés aux projets suivant la méthode "Plantation de vergers".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</si>
  <si>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</si>
  <si>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</si>
  <si>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</si>
  <si>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t>NON</t>
  </si>
  <si>
    <t>OUI</t>
  </si>
  <si>
    <t>INFORMATIONS (une seule espèce/parcelle)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</si>
  <si>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</si>
  <si>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</si>
  <si>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</si>
  <si>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</si>
  <si>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</si>
  <si>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</si>
  <si>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</si>
  <si>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</si>
  <si>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</si>
  <si>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</si>
  <si>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TOTAL</t>
  </si>
  <si>
    <t xml:space="preserve">Commune </t>
  </si>
  <si>
    <t>St-Vivien-de-Monségur</t>
  </si>
  <si>
    <t>Surface parcelle (ha)</t>
  </si>
  <si>
    <t>Espèce plantée</t>
  </si>
  <si>
    <t>Prunier de table</t>
  </si>
  <si>
    <t>Espèce selon référentiel Agribalyse (à compléter si vous souhaitez planter des pommiers/pêchers/clémentiniers)</t>
  </si>
  <si>
    <t>Type de plantation</t>
  </si>
  <si>
    <t>Gobelet</t>
  </si>
  <si>
    <t>Densité objectif de plantation (plants/ha)</t>
  </si>
  <si>
    <t>Climat de la zone de plantation</t>
  </si>
  <si>
    <t>Hors climat Mediterranéen</t>
  </si>
  <si>
    <t>Durée de vie prévue du verger (années)</t>
  </si>
  <si>
    <t>% enherbement prévu</t>
  </si>
  <si>
    <t>Usage de référence</t>
  </si>
  <si>
    <t>Grandes cultures</t>
  </si>
  <si>
    <t>NB : pour le maraichage,
saisir Grandes cultures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</si>
  <si>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</si>
  <si>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Orge fourragère, conventionnelle – Moyenne nationale (France)</t>
  </si>
  <si>
    <t>Code culture PAC : MPC</t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</si>
  <si>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</si>
  <si>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Blé tendre biologique de féverole (cas type), région Centre</t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</si>
  <si>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</si>
  <si>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Luzerne, conventionnelle – Moyenne nationale (France)</t>
  </si>
  <si>
    <t>Code culture PAC : SOJ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</si>
  <si>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</si>
  <si>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</si>
  <si>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CRITERE D'ELIGIBILITE</t>
  </si>
  <si>
    <t>Critère d'éligibilité 1 - Densité minimale de plants</t>
  </si>
  <si>
    <t>Espèce - Type plantation</t>
  </si>
  <si>
    <t>Densité objectif minimale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</si>
  <si>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</si>
  <si>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Critère d'éligibilité 2 - Augmentation de la surface nette en culture fruitière</t>
  </si>
  <si>
    <t xml:space="preserve">Validation critère </t>
  </si>
  <si>
    <t>Critère d'éligibilité 3 - Augmentation du stock de carbone total</t>
  </si>
  <si>
    <t>Climat-Usage de référence</t>
  </si>
  <si>
    <t>Durée de vie - Usage de référence</t>
  </si>
  <si>
    <t>Estimation REC ANT_SOL (en teqCO2)</t>
  </si>
  <si>
    <t>Estimation REC ANT_BIOM (en teqCO2)</t>
  </si>
  <si>
    <t>Estimation REC ANT_SOL + REC ANT_BIOM (en teq CO2)</t>
  </si>
  <si>
    <t>Critère d'éligibilité 4 - Enherbement du verger sur au moins 50% de sa surface</t>
  </si>
  <si>
    <t>Critère d'éligibilité 5 - Plantation sur prairies selon la zone</t>
  </si>
  <si>
    <t>Rien n'est à compléter</t>
  </si>
  <si>
    <t>Somme des parcelles</t>
  </si>
  <si>
    <t>EGES ref (en teqCO2/ha/an)</t>
  </si>
  <si>
    <t>EGES projet (en teqCO2/ha/an)</t>
  </si>
  <si>
    <t>RE (en teqCO2)</t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</si>
  <si>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</si>
  <si>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EGESref (en teqCO2/ha/an)</t>
  </si>
  <si>
    <t>Année 1</t>
  </si>
  <si>
    <t>QNmin (en kgN/ha/an)</t>
  </si>
  <si>
    <t>QNorg (en kgN/ha/an)</t>
  </si>
  <si>
    <t>QNres (en kgN/ha/an)</t>
  </si>
  <si>
    <t>EN2O dir (kg N20-N/ha)</t>
  </si>
  <si>
    <t>EN2O vol (kg N20-N/ha)</t>
  </si>
  <si>
    <t>EN2O less (kg N20-N/ha)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</si>
  <si>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</si>
  <si>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</si>
  <si>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</si>
  <si>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</si>
  <si>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</si>
  <si>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</si>
  <si>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ECO2e engins (en teqCO2/ha/an)</t>
  </si>
  <si>
    <t>Consommation électricité pour l'irrigation (en kWh/ha/an)</t>
  </si>
  <si>
    <t>ECO2e irrigation (en teqCO2/ha/an)</t>
  </si>
  <si>
    <t>ECO2e energie (en teqCO2/ha/an)</t>
  </si>
  <si>
    <t>QP (en kgP2O5/ha/an)</t>
  </si>
  <si>
    <t>QK (en kgK2O/ha/an)</t>
  </si>
  <si>
    <t>ECO2engrais (en teqCO2/ha/an)</t>
  </si>
  <si>
    <t>ECO2plants</t>
  </si>
  <si>
    <t>MA = Matière Active</t>
  </si>
  <si>
    <t>Quantité MA Fongicides (kg/ha/an)</t>
  </si>
  <si>
    <t>Quantité MA Herbicides (kg/ha/an)</t>
  </si>
  <si>
    <t>Quantité MA Insecticides (kg/ha/an)</t>
  </si>
  <si>
    <t>Quantité MA Autres (kg/ha/an)</t>
  </si>
  <si>
    <t>ECO2phyto (en teqCO2/ha/an)</t>
  </si>
  <si>
    <t>ECO2e intrants (en teqCO2/ha/an)</t>
  </si>
  <si>
    <t>EGESprojet (en teqCO2/ha/an)</t>
  </si>
  <si>
    <t>Année 2</t>
  </si>
  <si>
    <t>attente modif texte méthode</t>
  </si>
  <si>
    <t>Année 3</t>
  </si>
  <si>
    <t>Année 4</t>
  </si>
  <si>
    <t>Année 5</t>
  </si>
  <si>
    <t>EGESprojet sur les 5 ans (en teqCO2/ha)</t>
  </si>
  <si>
    <t>RE sur 5 ans (en teqCO2/ha)</t>
  </si>
  <si>
    <t>EGESprojet sur les 5 ans (en teqCO2)</t>
  </si>
  <si>
    <t>Cet onglet est facultatif et n'est à remplir que si le porteur de projet fait le choix de valoriser des coproduits de son verger en énergie.</t>
  </si>
  <si>
    <t>Projet</t>
  </si>
  <si>
    <t>Pouvoir Calorifique Inférieur (PCI) du coproduit valorisé (en kWh PCI/ tonne)</t>
  </si>
  <si>
    <t>FE de l’énergie fossile substituée (en teq CO2/kWh PCI)</t>
  </si>
  <si>
    <t>EGES transport les émissions associées au transport du coproduit de son lieu de fabrication jusqu’au site énergétique (en teq CO2/tonne)</t>
  </si>
  <si>
    <t>Coefficient de substitution du coproduit du verger valorisé en phase de projet (en teq CO2/tonne)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</si>
  <si>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</si>
  <si>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</si>
  <si>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Référence pour une des 3 années précédant le projet</t>
  </si>
  <si>
    <t>Flux_CP ref, quantité de coproduits valorisées en énergie dans le scénario de référence (en tonnes)</t>
  </si>
  <si>
    <t>REIaval (teq CO2)</t>
  </si>
  <si>
    <t>Anthracite</t>
  </si>
  <si>
    <t>Butane - inclus maritime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</si>
  <si>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</si>
  <si>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</si>
  <si>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</si>
  <si>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</si>
  <si>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</si>
  <si>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</si>
  <si>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</si>
  <si>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</si>
  <si>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domestique</t>
  </si>
  <si>
    <t>Fioul lourd</t>
  </si>
  <si>
    <t>Gaz de cokerie</t>
  </si>
  <si>
    <t>Gaz de haut fourneau</t>
  </si>
  <si>
    <t>Gaz naturel</t>
  </si>
  <si>
    <t>Gazole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</si>
  <si>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</si>
  <si>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</si>
  <si>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</si>
  <si>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</si>
  <si>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</si>
  <si>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</si>
  <si>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</si>
  <si>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</si>
  <si>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</si>
  <si>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</si>
  <si>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</si>
  <si>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</si>
  <si>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</si>
  <si>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 xml:space="preserve">Energie fossile substituée </t>
  </si>
  <si>
    <t>FE (en teq CO2/kWh PCI)</t>
  </si>
  <si>
    <t>Combustibles fossiles liquides usage source fixe</t>
  </si>
  <si>
    <t>Combustible haute viscosité</t>
  </si>
  <si>
    <t>Fioul à base de carbone recyclé - VALORTEC - Basse teneur en soufre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</si>
  <si>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</si>
  <si>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</si>
  <si>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</si>
  <si>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</si>
  <si>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</si>
  <si>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</si>
  <si>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</si>
  <si>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</si>
  <si>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</si>
  <si>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</si>
  <si>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</si>
  <si>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</si>
  <si>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</si>
  <si>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</si>
  <si>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</si>
  <si>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>Combustibles fossiles liquides Usage sources mobiles Usage aérien</t>
  </si>
  <si>
    <t xml:space="preserve">Carbureacteur - large coupe (jet B) </t>
  </si>
  <si>
    <t xml:space="preserve">Essence aviation (AvGas) </t>
  </si>
  <si>
    <t xml:space="preserve">Kérosène - jet A1 ou A </t>
  </si>
  <si>
    <t>Combustibles fossiles liquides Usage sources mobiles autres usages</t>
  </si>
  <si>
    <t xml:space="preserve">Gazole non routier 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</si>
  <si>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</si>
  <si>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</si>
  <si>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</si>
  <si>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</si>
  <si>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</si>
  <si>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Si vous ne trouvez pas le FE correspondant, vous pouvez les retrouver dans le guide GESTIM+ ou la Base Carbone de l'Ademe.</t>
  </si>
  <si>
    <t>Année</t>
  </si>
  <si>
    <t>Stock_biomasse (en tC/ha)</t>
  </si>
  <si>
    <t>Stock_biomasse_projet (en tC/ha)</t>
  </si>
  <si>
    <t>Référence</t>
  </si>
  <si>
    <t>Stock_biomasse_référence (en tC/ha)</t>
  </si>
  <si>
    <t>Durée de vie de l’espèce fruitière + 1 an</t>
  </si>
  <si>
    <t>RECant_biom (teqCO2)</t>
  </si>
  <si>
    <t>Stock sol ref (teq CO2/ha)</t>
  </si>
  <si>
    <t>Stock sol projet (teq CO2/ha)</t>
  </si>
  <si>
    <t>Part enherbée (%)</t>
  </si>
  <si>
    <t>Durée de vie de l'espèce fruitière (années)</t>
  </si>
  <si>
    <t>RECant_sol (teq CO2)</t>
  </si>
  <si>
    <t>Rien n'est à compléter mais certaines valeurs doivent être reprises dans le Document Description de Projet (DDP)</t>
  </si>
  <si>
    <t>Avant rabais</t>
  </si>
  <si>
    <t>Option 1 (si non choisie, ne pas tenir compte du calcul)</t>
  </si>
  <si>
    <t>RECeff + REIamont (teq CO2)</t>
  </si>
  <si>
    <t>Option 2</t>
  </si>
  <si>
    <t>RECant_biom (teq CO2)</t>
  </si>
  <si>
    <t>RE (teq CO2)</t>
  </si>
  <si>
    <t>Après rabais</t>
  </si>
  <si>
    <t>RECant_biom (teq CO2) + RECant_sol (teq CO2)</t>
  </si>
  <si>
    <t>Variable</t>
  </si>
  <si>
    <t>Climat</t>
  </si>
  <si>
    <t>Climat_Usage</t>
  </si>
  <si>
    <t>Valeur</t>
  </si>
  <si>
    <t>Stock C sol (tC/ha)</t>
  </si>
  <si>
    <t>Prairies permanentes</t>
  </si>
  <si>
    <t>Viticulture</t>
  </si>
  <si>
    <t>Vergers</t>
  </si>
  <si>
    <t>Climat Sec Mediterranéen</t>
  </si>
  <si>
    <t>Friche herbacée</t>
  </si>
  <si>
    <t>Variation annuelle (tC/ha/an)</t>
  </si>
  <si>
    <t>Espèce fruitière</t>
  </si>
  <si>
    <t>Espèce - Plantation</t>
  </si>
  <si>
    <t>Densité de plantation minimum admise (arbres/ha)</t>
  </si>
  <si>
    <t>Abricotier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</si>
  <si>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</si>
  <si>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</si>
  <si>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</si>
  <si>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</si>
  <si>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</si>
  <si>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</si>
  <si>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</si>
  <si>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</si>
  <si>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</si>
  <si>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</si>
  <si>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</si>
  <si>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</si>
  <si>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</si>
  <si>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</si>
  <si>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</si>
  <si>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</si>
  <si>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</si>
  <si>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</si>
  <si>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Climat non mediterranéen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</si>
  <si>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</si>
  <si>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</si>
  <si>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</si>
  <si>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</si>
  <si>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de vie de l'espèce fruitière</t>
  </si>
  <si>
    <t>Contexte climatique</t>
  </si>
  <si>
    <t>Durée - Usage ref</t>
  </si>
  <si>
    <t>REC ANT BIOM (tC/ha)</t>
  </si>
  <si>
    <t>Culture</t>
  </si>
  <si>
    <t>kg CO2 eq/ha</t>
  </si>
  <si>
    <t>Betterave sucrière, conventionnelle – Moyenne nationale (France)</t>
  </si>
  <si>
    <t>Blé dur, conventionnel – Moyenne nationale (France)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</si>
  <si>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</si>
  <si>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</si>
  <si>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</si>
  <si>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</si>
  <si>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</si>
  <si>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</si>
  <si>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</si>
  <si>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</si>
  <si>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</si>
  <si>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</si>
  <si>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</si>
  <si>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</si>
  <si>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</si>
  <si>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</si>
  <si>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</si>
  <si>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</si>
  <si>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</si>
  <si>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</si>
  <si>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</si>
  <si>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</si>
  <si>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</si>
  <si>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</si>
  <si>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</si>
  <si>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</si>
  <si>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</si>
  <si>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</si>
  <si>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</si>
  <si>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</si>
  <si>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</si>
  <si>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</si>
  <si>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</si>
  <si>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Melon conventionnel - Moyenne nationale (France)</t>
  </si>
  <si>
    <t>Orge de brasserie,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</si>
  <si>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</si>
  <si>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</si>
  <si>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</si>
  <si>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</si>
  <si>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</si>
  <si>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</si>
  <si>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</si>
  <si>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</si>
  <si>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</si>
  <si>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</si>
  <si>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</si>
  <si>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</si>
  <si>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</si>
  <si>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</si>
  <si>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</si>
  <si>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</si>
  <si>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</si>
  <si>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</si>
  <si>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</si>
  <si>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</si>
  <si>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</si>
  <si>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</si>
  <si>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</si>
  <si>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</si>
  <si>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</si>
  <si>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</si>
  <si>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</si>
  <si>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</si>
  <si>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Facteurs d'émissions (unité)</t>
  </si>
  <si>
    <t>EF1min (en kgN2O-N/kg N)</t>
  </si>
  <si>
    <t>EF1org (kg N2O-N/kg N)</t>
  </si>
  <si>
    <t>EF4 (en kg N2O-N/kg NH3-N + NOx-N)</t>
  </si>
  <si>
    <t>EF5 (en kg N2O-N/kg N lessivé)</t>
  </si>
  <si>
    <t>FE indirect électricité (en kg CO2 eq/kWh)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</si>
  <si>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</si>
  <si>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</si>
  <si>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</si>
  <si>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FE fongicides</t>
  </si>
  <si>
    <t>FE herbicides</t>
  </si>
  <si>
    <t>FE insecticides</t>
  </si>
  <si>
    <t>FE autres</t>
  </si>
  <si>
    <t xml:space="preserve">Frac GASF (en kg NH3-N + NOx-N /kg N apporté) (valeur IPCC 2019 par défaut) </t>
  </si>
  <si>
    <t xml:space="preserve">Frac GASM (en kg NH3-N + NOx-N /kg N apporté) (valeur IPCC 2019 par défaut) </t>
  </si>
  <si>
    <t>Frac LESS (en kg N /kg N apporté) (valeur IPCC 2019 par défaut)</t>
  </si>
  <si>
    <t>Combustible</t>
  </si>
  <si>
    <t>Unité</t>
  </si>
  <si>
    <t>FE (kg eqCO2/unité)</t>
  </si>
  <si>
    <t>FE directes (kg eq CO2/unité)</t>
  </si>
  <si>
    <t>FE indirectes (kg eq CO2/unité)</t>
  </si>
  <si>
    <t>Litres</t>
  </si>
  <si>
    <t>Essence</t>
  </si>
  <si>
    <t>kg</t>
  </si>
  <si>
    <t>kWh</t>
  </si>
  <si>
    <t>Butane/Propane</t>
  </si>
  <si>
    <t>PRG N2O (IPCC 2013)</t>
  </si>
  <si>
    <t>Verger hors climat sec méditerranéen</t>
  </si>
  <si>
    <t xml:space="preserve">Verger en climat Sec Méditerranéen </t>
  </si>
  <si>
    <t xml:space="preserve">Usage de référence </t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</si>
  <si>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</si>
  <si>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Sources</t>
  </si>
  <si>
    <t>OMINEA, 2020</t>
  </si>
  <si>
    <t>IFN/FCBA/SOLAGRO, 2009</t>
  </si>
  <si>
    <t>Chiti et al., 2018</t>
  </si>
  <si>
    <t>Verger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</si>
  <si>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</si>
  <si>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</si>
  <si>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t xml:space="preserve">Verger en climat Sec Méditerranéen (en tC/ha) </t>
  </si>
  <si>
    <t>Verger hors climat sec méditerranéen (en tC/ha)</t>
  </si>
  <si>
    <t>Source</t>
  </si>
  <si>
    <t>MediNet</t>
  </si>
  <si>
    <t>GIS Fruits (RMQS)</t>
  </si>
  <si>
    <t>Verger en climat Sec Méditerranéen (en tC/ha)</t>
  </si>
  <si>
    <t>Effenherb (en tC/ha/an)</t>
  </si>
  <si>
    <t>Facteur de conversion GJ en kWh</t>
  </si>
  <si>
    <t>Climats</t>
  </si>
  <si>
    <t>Durée de vie</t>
  </si>
  <si>
    <t xml:space="preserve">Prairies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</si>
</sst>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E49" sqref="E49"/>
    </sheetView>
  </sheetViews>
  <sheetFormatPr baseColWidth="10" defaultColWidth="11.44140625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0</v>
      </c>
    </row>
    <row r="3" spans="2:16" ht="15" customHeight="1" x14ac:dyDescent="0.3">
      <c r="K3" s="94" t="s">
        <v>1</v>
      </c>
      <c r="L3" s="94"/>
      <c r="M3" s="94"/>
      <c r="N3" s="94"/>
      <c r="O3" s="94"/>
      <c r="P3" s="94"/>
    </row>
    <row r="4" spans="2:16" x14ac:dyDescent="0.3">
      <c r="K4" s="94"/>
      <c r="L4" s="94"/>
      <c r="M4" s="94"/>
      <c r="N4" s="94"/>
      <c r="O4" s="94"/>
      <c r="P4" s="94"/>
    </row>
    <row r="5" spans="2:16" x14ac:dyDescent="0.3">
      <c r="K5" s="94"/>
      <c r="L5" s="94"/>
      <c r="M5" s="94"/>
      <c r="N5" s="94"/>
      <c r="O5" s="94"/>
      <c r="P5" s="94"/>
    </row>
    <row r="7" spans="2:16" ht="15" customHeight="1" x14ac:dyDescent="0.3">
      <c r="B7" s="95" t="s">
        <v>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2:16" ht="15" customHeight="1" x14ac:dyDescent="0.3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2:16" ht="15" customHeight="1" x14ac:dyDescent="0.3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1" spans="2:16" ht="15" customHeight="1" x14ac:dyDescent="0.3">
      <c r="B11" s="96" t="s">
        <v>3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</row>
    <row r="12" spans="2:16" ht="15" customHeight="1" x14ac:dyDescent="0.3">
      <c r="B12" s="99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0"/>
    </row>
    <row r="13" spans="2:16" ht="15" customHeight="1" x14ac:dyDescent="0.3">
      <c r="B13" s="99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0"/>
    </row>
    <row r="14" spans="2:16" ht="15" customHeight="1" x14ac:dyDescent="0.3">
      <c r="B14" s="99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0"/>
    </row>
    <row r="15" spans="2:16" ht="15" customHeight="1" x14ac:dyDescent="0.3">
      <c r="B15" s="99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0"/>
    </row>
    <row r="16" spans="2:16" ht="15" customHeight="1" x14ac:dyDescent="0.3">
      <c r="B16" s="99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0"/>
    </row>
    <row r="17" spans="2:16" ht="15" customHeight="1" x14ac:dyDescent="0.3">
      <c r="B17" s="99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0"/>
    </row>
    <row r="18" spans="2:16" ht="15" customHeight="1" x14ac:dyDescent="0.3">
      <c r="B18" s="99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0"/>
    </row>
    <row r="19" spans="2:16" ht="15" customHeight="1" x14ac:dyDescent="0.3">
      <c r="B19" s="99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0"/>
    </row>
    <row r="20" spans="2:16" ht="15" customHeight="1" x14ac:dyDescent="0.3">
      <c r="B20" s="99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0"/>
    </row>
    <row r="21" spans="2:16" ht="15" customHeight="1" x14ac:dyDescent="0.3">
      <c r="B21" s="99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0"/>
    </row>
    <row r="22" spans="2:16" ht="15" customHeight="1" x14ac:dyDescent="0.3">
      <c r="B22" s="99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0"/>
    </row>
    <row r="23" spans="2:16" ht="15" customHeight="1" x14ac:dyDescent="0.3">
      <c r="B23" s="99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0"/>
    </row>
    <row r="24" spans="2:16" ht="15" customHeight="1" x14ac:dyDescent="0.3">
      <c r="B24" s="99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0"/>
    </row>
    <row r="25" spans="2:16" ht="15.75" customHeight="1" x14ac:dyDescent="0.3">
      <c r="B25" s="99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0"/>
    </row>
    <row r="26" spans="2:16" ht="15.75" customHeight="1" x14ac:dyDescent="0.3">
      <c r="B26" s="99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0"/>
    </row>
    <row r="27" spans="2:16" ht="15.75" customHeight="1" x14ac:dyDescent="0.3">
      <c r="B27" s="99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0"/>
    </row>
    <row r="28" spans="2:16" ht="15.75" customHeight="1" x14ac:dyDescent="0.3">
      <c r="B28" s="99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0"/>
    </row>
    <row r="29" spans="2:16" ht="15.75" customHeight="1" x14ac:dyDescent="0.3">
      <c r="B29" s="99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0"/>
    </row>
    <row r="30" spans="2:16" ht="15.75" customHeight="1" x14ac:dyDescent="0.3">
      <c r="B30" s="101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3"/>
    </row>
    <row r="32" spans="2:16" ht="22.5" customHeight="1" x14ac:dyDescent="0.3">
      <c r="B32" s="95" t="s">
        <v>4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2:16" x14ac:dyDescent="0.3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</row>
    <row r="34" spans="2:16" x14ac:dyDescent="0.3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13" workbookViewId="0">
      <selection activeCell="G29" sqref="G29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351</v>
      </c>
      <c r="B1" s="23" t="s">
        <v>33</v>
      </c>
      <c r="C1" s="23" t="s">
        <v>209</v>
      </c>
      <c r="D1" s="23" t="s">
        <v>26</v>
      </c>
      <c r="E1" s="23" t="s">
        <v>352</v>
      </c>
      <c r="F1" t="s">
        <v>240</v>
      </c>
    </row>
    <row r="2" spans="1:6" x14ac:dyDescent="0.3">
      <c r="A2" t="s">
        <v>30</v>
      </c>
      <c r="B2" t="s">
        <v>34</v>
      </c>
      <c r="C2" t="s">
        <v>212</v>
      </c>
      <c r="D2" t="s">
        <v>215</v>
      </c>
      <c r="E2" s="60">
        <v>10</v>
      </c>
      <c r="F2" t="s">
        <v>242</v>
      </c>
    </row>
    <row r="3" spans="1:6" x14ac:dyDescent="0.3">
      <c r="A3" t="s">
        <v>206</v>
      </c>
      <c r="B3" t="s">
        <v>353</v>
      </c>
      <c r="C3" t="s">
        <v>213</v>
      </c>
      <c r="D3" t="s">
        <v>27</v>
      </c>
      <c r="E3" s="60">
        <v>11</v>
      </c>
      <c r="F3" t="s">
        <v>243</v>
      </c>
    </row>
    <row r="4" spans="1:6" x14ac:dyDescent="0.3">
      <c r="B4" t="s">
        <v>204</v>
      </c>
      <c r="C4" t="s">
        <v>214</v>
      </c>
      <c r="D4" t="s">
        <v>228</v>
      </c>
      <c r="E4" s="60">
        <v>12</v>
      </c>
      <c r="F4" t="s">
        <v>40</v>
      </c>
    </row>
    <row r="5" spans="1:6" x14ac:dyDescent="0.3">
      <c r="C5" t="s">
        <v>216</v>
      </c>
      <c r="D5" t="s">
        <v>218</v>
      </c>
      <c r="E5" s="60">
        <v>13</v>
      </c>
      <c r="F5" t="s">
        <v>244</v>
      </c>
    </row>
    <row r="6" spans="1:6" x14ac:dyDescent="0.3">
      <c r="C6" t="s">
        <v>217</v>
      </c>
      <c r="D6" t="s">
        <v>223</v>
      </c>
      <c r="E6" s="60">
        <v>14</v>
      </c>
      <c r="F6" t="s">
        <v>245</v>
      </c>
    </row>
    <row r="7" spans="1:6" x14ac:dyDescent="0.3">
      <c r="C7" t="s">
        <v>219</v>
      </c>
      <c r="D7" t="s">
        <v>227</v>
      </c>
      <c r="E7" s="60">
        <v>15</v>
      </c>
      <c r="F7" t="s">
        <v>246</v>
      </c>
    </row>
    <row r="8" spans="1:6" x14ac:dyDescent="0.3">
      <c r="C8" t="s">
        <v>220</v>
      </c>
      <c r="E8" s="60">
        <v>16</v>
      </c>
      <c r="F8" t="s">
        <v>247</v>
      </c>
    </row>
    <row r="9" spans="1:6" x14ac:dyDescent="0.3">
      <c r="C9" t="s">
        <v>221</v>
      </c>
      <c r="E9" s="60">
        <v>17</v>
      </c>
      <c r="F9" t="s">
        <v>248</v>
      </c>
    </row>
    <row r="10" spans="1:6" x14ac:dyDescent="0.3">
      <c r="C10" t="s">
        <v>222</v>
      </c>
      <c r="E10" s="60">
        <v>18</v>
      </c>
      <c r="F10" t="s">
        <v>249</v>
      </c>
    </row>
    <row r="11" spans="1:6" x14ac:dyDescent="0.3">
      <c r="C11" t="s">
        <v>224</v>
      </c>
      <c r="E11" s="60">
        <v>19</v>
      </c>
      <c r="F11" t="s">
        <v>250</v>
      </c>
    </row>
    <row r="12" spans="1:6" x14ac:dyDescent="0.3">
      <c r="C12" t="s">
        <v>225</v>
      </c>
      <c r="E12" s="60">
        <v>20</v>
      </c>
      <c r="F12" t="s">
        <v>251</v>
      </c>
    </row>
    <row r="13" spans="1:6" x14ac:dyDescent="0.3">
      <c r="C13" t="s">
        <v>226</v>
      </c>
      <c r="F13" t="s">
        <v>252</v>
      </c>
    </row>
    <row r="14" spans="1:6" x14ac:dyDescent="0.3">
      <c r="C14" t="s">
        <v>229</v>
      </c>
      <c r="F14" t="s">
        <v>253</v>
      </c>
    </row>
    <row r="15" spans="1:6" x14ac:dyDescent="0.3">
      <c r="C15" t="s">
        <v>230</v>
      </c>
      <c r="F15" t="s">
        <v>254</v>
      </c>
    </row>
    <row r="16" spans="1:6" x14ac:dyDescent="0.3">
      <c r="C16" t="s">
        <v>24</v>
      </c>
      <c r="F16" t="s">
        <v>255</v>
      </c>
    </row>
    <row r="17" spans="6:6" x14ac:dyDescent="0.3">
      <c r="F17" t="s">
        <v>256</v>
      </c>
    </row>
    <row r="18" spans="6:6" x14ac:dyDescent="0.3">
      <c r="F18" t="s">
        <v>257</v>
      </c>
    </row>
    <row r="19" spans="6:6" x14ac:dyDescent="0.3">
      <c r="F19" t="s">
        <v>258</v>
      </c>
    </row>
    <row r="20" spans="6:6" x14ac:dyDescent="0.3">
      <c r="F20" t="s">
        <v>259</v>
      </c>
    </row>
    <row r="21" spans="6:6" x14ac:dyDescent="0.3">
      <c r="F21" t="s">
        <v>260</v>
      </c>
    </row>
    <row r="22" spans="6:6" x14ac:dyDescent="0.3">
      <c r="F22" t="s">
        <v>261</v>
      </c>
    </row>
    <row r="23" spans="6:6" x14ac:dyDescent="0.3">
      <c r="F23" t="s">
        <v>262</v>
      </c>
    </row>
    <row r="24" spans="6:6" x14ac:dyDescent="0.3">
      <c r="F24" t="s">
        <v>263</v>
      </c>
    </row>
    <row r="25" spans="6:6" x14ac:dyDescent="0.3">
      <c r="F25" t="s">
        <v>264</v>
      </c>
    </row>
    <row r="26" spans="6:6" x14ac:dyDescent="0.3">
      <c r="F26" t="s">
        <v>265</v>
      </c>
    </row>
    <row r="27" spans="6:6" x14ac:dyDescent="0.3">
      <c r="F27" t="s">
        <v>266</v>
      </c>
    </row>
    <row r="28" spans="6:6" x14ac:dyDescent="0.3">
      <c r="F28" t="s">
        <v>267</v>
      </c>
    </row>
    <row r="29" spans="6:6" x14ac:dyDescent="0.3">
      <c r="F29" t="s">
        <v>268</v>
      </c>
    </row>
    <row r="30" spans="6:6" x14ac:dyDescent="0.3">
      <c r="F30" t="s">
        <v>269</v>
      </c>
    </row>
    <row r="31" spans="6:6" x14ac:dyDescent="0.3">
      <c r="F31" t="s">
        <v>270</v>
      </c>
    </row>
    <row r="32" spans="6:6" x14ac:dyDescent="0.3">
      <c r="F32" t="s">
        <v>42</v>
      </c>
    </row>
    <row r="33" spans="6:6" x14ac:dyDescent="0.3">
      <c r="F33" t="s">
        <v>271</v>
      </c>
    </row>
    <row r="34" spans="6:6" x14ac:dyDescent="0.3">
      <c r="F34" t="s">
        <v>272</v>
      </c>
    </row>
    <row r="35" spans="6:6" x14ac:dyDescent="0.3">
      <c r="F35" t="s">
        <v>273</v>
      </c>
    </row>
    <row r="36" spans="6:6" x14ac:dyDescent="0.3">
      <c r="F36" t="s">
        <v>274</v>
      </c>
    </row>
    <row r="37" spans="6:6" x14ac:dyDescent="0.3">
      <c r="F37" t="s">
        <v>275</v>
      </c>
    </row>
    <row r="38" spans="6:6" x14ac:dyDescent="0.3">
      <c r="F38" t="s">
        <v>276</v>
      </c>
    </row>
    <row r="39" spans="6:6" x14ac:dyDescent="0.3">
      <c r="F39" t="s">
        <v>37</v>
      </c>
    </row>
    <row r="40" spans="6:6" x14ac:dyDescent="0.3">
      <c r="F40" t="s">
        <v>277</v>
      </c>
    </row>
    <row r="41" spans="6:6" x14ac:dyDescent="0.3">
      <c r="F41" t="s">
        <v>278</v>
      </c>
    </row>
    <row r="42" spans="6:6" x14ac:dyDescent="0.3">
      <c r="F42" t="s">
        <v>279</v>
      </c>
    </row>
    <row r="43" spans="6:6" x14ac:dyDescent="0.3">
      <c r="F43" t="s">
        <v>280</v>
      </c>
    </row>
    <row r="44" spans="6:6" x14ac:dyDescent="0.3">
      <c r="F44" t="s">
        <v>281</v>
      </c>
    </row>
    <row r="45" spans="6:6" x14ac:dyDescent="0.3">
      <c r="F45" t="s">
        <v>282</v>
      </c>
    </row>
    <row r="46" spans="6:6" x14ac:dyDescent="0.3">
      <c r="F46" t="s">
        <v>283</v>
      </c>
    </row>
    <row r="47" spans="6:6" x14ac:dyDescent="0.3">
      <c r="F47" t="s">
        <v>284</v>
      </c>
    </row>
    <row r="48" spans="6:6" x14ac:dyDescent="0.3">
      <c r="F48" t="s">
        <v>285</v>
      </c>
    </row>
    <row r="49" spans="6:6" x14ac:dyDescent="0.3">
      <c r="F49" t="s">
        <v>286</v>
      </c>
    </row>
    <row r="50" spans="6:6" x14ac:dyDescent="0.3">
      <c r="F50" t="s">
        <v>287</v>
      </c>
    </row>
    <row r="51" spans="6:6" x14ac:dyDescent="0.3">
      <c r="F51" t="s">
        <v>288</v>
      </c>
    </row>
    <row r="52" spans="6:6" x14ac:dyDescent="0.3">
      <c r="F52" t="s">
        <v>289</v>
      </c>
    </row>
    <row r="53" spans="6:6" x14ac:dyDescent="0.3">
      <c r="F53" t="s">
        <v>290</v>
      </c>
    </row>
    <row r="54" spans="6:6" x14ac:dyDescent="0.3">
      <c r="F54" t="s">
        <v>291</v>
      </c>
    </row>
    <row r="55" spans="6:6" x14ac:dyDescent="0.3">
      <c r="F55" t="s">
        <v>292</v>
      </c>
    </row>
    <row r="56" spans="6:6" x14ac:dyDescent="0.3">
      <c r="F56" t="s">
        <v>293</v>
      </c>
    </row>
    <row r="57" spans="6:6" x14ac:dyDescent="0.3">
      <c r="F57" t="s">
        <v>294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5" zoomScaleNormal="100" workbookViewId="0">
      <selection activeCell="B43" sqref="B43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7" t="s">
        <v>5</v>
      </c>
      <c r="B2" s="108"/>
      <c r="C2" s="31" t="s">
        <v>6</v>
      </c>
      <c r="D2"/>
      <c r="E2"/>
      <c r="F2"/>
      <c r="G2"/>
      <c r="H2"/>
      <c r="I2"/>
      <c r="J2"/>
      <c r="K2"/>
      <c r="AG2" s="2" t="s">
        <v>7</v>
      </c>
    </row>
    <row r="3" spans="1:52" x14ac:dyDescent="0.3">
      <c r="A3" s="2"/>
      <c r="AG3" s="2" t="s">
        <v>6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4" t="s">
        <v>8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19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20</v>
      </c>
      <c r="B7" s="1" t="s">
        <v>21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22</v>
      </c>
      <c r="B8" s="25">
        <v>5.45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5.45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23</v>
      </c>
      <c r="B9" s="1" t="s">
        <v>24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25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26</v>
      </c>
      <c r="B11" s="1" t="s">
        <v>27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28</v>
      </c>
      <c r="B12" s="1">
        <v>333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29</v>
      </c>
      <c r="B13" s="26" t="s">
        <v>30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31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32</v>
      </c>
      <c r="B15" s="28">
        <v>0.8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33</v>
      </c>
      <c r="B16" s="1" t="s">
        <v>34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35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36</v>
      </c>
      <c r="B17" s="1" t="s">
        <v>37</v>
      </c>
      <c r="C17" s="1"/>
      <c r="D17" s="1"/>
      <c r="E17" s="1"/>
      <c r="F17" s="1"/>
      <c r="G17" s="1"/>
      <c r="H17" s="1"/>
      <c r="I17" s="1"/>
      <c r="J17" s="1"/>
      <c r="K17" s="1"/>
      <c r="L17" s="16" t="s">
        <v>38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39</v>
      </c>
      <c r="B18" s="1" t="s">
        <v>40</v>
      </c>
      <c r="C18" s="1"/>
      <c r="D18" s="1"/>
      <c r="E18" s="1"/>
      <c r="F18" s="1"/>
      <c r="G18" s="1"/>
      <c r="H18" s="1"/>
      <c r="I18" s="1"/>
      <c r="J18" s="1"/>
      <c r="K18" s="1"/>
      <c r="L18" s="16" t="s">
        <v>38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41</v>
      </c>
      <c r="B19" s="1" t="s">
        <v>42</v>
      </c>
      <c r="C19" s="1"/>
      <c r="D19" s="1"/>
      <c r="E19" s="1"/>
      <c r="F19" s="1"/>
      <c r="G19" s="1"/>
      <c r="H19" s="1"/>
      <c r="I19" s="1"/>
      <c r="J19" s="1"/>
      <c r="K19" s="1"/>
      <c r="L19" s="16" t="s">
        <v>43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44</v>
      </c>
      <c r="B20" s="29">
        <v>13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45</v>
      </c>
      <c r="B21" s="30">
        <v>18.45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4" t="s">
        <v>46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6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47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48</v>
      </c>
      <c r="B26" s="10" t="str">
        <f t="shared" ref="B26:K26" si="0">CONCATENATE(B9," - ",B11)</f>
        <v>Prunier de table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49</v>
      </c>
      <c r="B27" s="11">
        <f>IF(B12="","",VLOOKUP(B26,'(ne pas modifier) BDD_REF'!$C$21:$D$42,2,FALSE))</f>
        <v>300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50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51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52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53</v>
      </c>
      <c r="L33" s="85" t="s">
        <v>19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54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55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56</v>
      </c>
      <c r="B36" s="44">
        <f>RECant_sol!C9</f>
        <v>56.75266666666667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56.75266666666667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57</v>
      </c>
      <c r="B37" s="45">
        <f>RECant_biom!C28</f>
        <v>223.52785714285719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223.52785714285719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58</v>
      </c>
      <c r="B38" s="45">
        <f t="shared" ref="B38:K38" si="3">IF(B36="","",B36+B37)</f>
        <v>280.28052380952386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280.28052380952386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52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59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52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60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ht="45.75" customHeight="1" x14ac:dyDescent="0.3">
      <c r="A46" s="7" t="s">
        <v>52</v>
      </c>
      <c r="B46" s="93" t="str">
        <f>IF(B13="","",IF(AND(B13="Hors climat Mediterranéen",B16="Prairies "),"Parcelle non éligible", "OUI"))</f>
        <v>OUI</v>
      </c>
      <c r="C46" s="93" t="str">
        <f t="shared" ref="C46:K46" si="6">IF(C13="","",IF(AND(C13="Hors climat Mediterranéen",C16="Prairies "),"Parcelle non éligible", "OUI"))</f>
        <v/>
      </c>
      <c r="D46" s="93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9" t="s">
        <v>61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62</v>
      </c>
      <c r="M4" s="2"/>
      <c r="N4" s="2"/>
    </row>
    <row r="5" spans="1:14" x14ac:dyDescent="0.3">
      <c r="A5" s="3" t="s">
        <v>63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1.7391916723179002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1.7391916723179002</v>
      </c>
      <c r="M5" s="2"/>
      <c r="N5" s="2"/>
    </row>
    <row r="6" spans="1:14" x14ac:dyDescent="0.3">
      <c r="A6" s="3" t="s">
        <v>64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65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-47.392973070662777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-47.392973070662777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21" zoomScale="80" zoomScaleNormal="80" workbookViewId="0">
      <selection activeCell="C75" sqref="C75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2" t="s">
        <v>66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62</v>
      </c>
      <c r="N4" s="2"/>
      <c r="O4" s="2"/>
    </row>
    <row r="5" spans="1:15" customFormat="1" x14ac:dyDescent="0.3">
      <c r="A5" s="17"/>
      <c r="B5" s="3" t="s">
        <v>67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1.7391916723179002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1.7391916723179002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68</v>
      </c>
      <c r="B7" s="7" t="s">
        <v>69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3">
      <c r="B8" s="7" t="s">
        <v>70</v>
      </c>
      <c r="C8" s="80">
        <v>170</v>
      </c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170</v>
      </c>
    </row>
    <row r="9" spans="1:15" x14ac:dyDescent="0.3">
      <c r="B9" s="7" t="s">
        <v>71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72</v>
      </c>
      <c r="C10" s="39">
        <f>C7*'(ne pas modifier) BDD_REF'!$B$207 + (C8+C9)*'(ne pas modifier) BDD_REF'!$B$208</f>
        <v>1.02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1.02</v>
      </c>
    </row>
    <row r="11" spans="1:15" x14ac:dyDescent="0.3">
      <c r="B11" s="19" t="s">
        <v>73</v>
      </c>
      <c r="C11" s="39">
        <f>((C7*'(ne pas modifier) BDD_REF'!$B$220)+('RECeff + REIamont (2)'!C8+'RECeff + REIamont (2)'!C9)*'(ne pas modifier) BDD_REF'!$B$221)*'(ne pas modifier) BDD_REF'!$B$209</f>
        <v>0.35699999999999998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0.35699999999999998</v>
      </c>
    </row>
    <row r="12" spans="1:15" x14ac:dyDescent="0.3">
      <c r="B12" s="19" t="s">
        <v>74</v>
      </c>
      <c r="C12" s="39">
        <f>(C7+C8+C9)*'(ne pas modifier) BDD_REF'!$B$222*'(ne pas modifier) BDD_REF'!$B$210</f>
        <v>0.44879999999999992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0.44879999999999992</v>
      </c>
    </row>
    <row r="13" spans="1:15" x14ac:dyDescent="0.3">
      <c r="B13" s="7" t="s">
        <v>75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76</v>
      </c>
      <c r="C14" s="80">
        <v>200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200</v>
      </c>
    </row>
    <row r="15" spans="1:15" x14ac:dyDescent="0.3">
      <c r="B15" s="7" t="s">
        <v>77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78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79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80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81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0.61419999999999997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0.61419999999999997</v>
      </c>
    </row>
    <row r="20" spans="1:108" x14ac:dyDescent="0.3">
      <c r="B20" s="7" t="s">
        <v>82</v>
      </c>
      <c r="C20" s="80">
        <v>500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500</v>
      </c>
    </row>
    <row r="21" spans="1:108" x14ac:dyDescent="0.3">
      <c r="B21" s="3" t="s">
        <v>83</v>
      </c>
      <c r="C21" s="39">
        <f>(C20*'(ne pas modifier) BDD_REF'!$B$211)/1000</f>
        <v>2.8500000000000001E-2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2.8500000000000001E-2</v>
      </c>
    </row>
    <row r="22" spans="1:108" s="16" customFormat="1" x14ac:dyDescent="0.3">
      <c r="A22" s="18"/>
      <c r="B22" s="19" t="s">
        <v>84</v>
      </c>
      <c r="C22" s="81">
        <f>C19+C21</f>
        <v>0.64269999999999994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0.64269999999999994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85</v>
      </c>
      <c r="C23" s="80">
        <v>60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60</v>
      </c>
    </row>
    <row r="24" spans="1:108" x14ac:dyDescent="0.3">
      <c r="B24" s="7" t="s">
        <v>86</v>
      </c>
      <c r="C24" s="80">
        <v>60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60</v>
      </c>
    </row>
    <row r="25" spans="1:108" x14ac:dyDescent="0.3">
      <c r="B25" s="3" t="s">
        <v>87</v>
      </c>
      <c r="C25" s="39">
        <f>(C7*'(ne pas modifier) BDD_REF'!$B$212+'RECeff + REIamont (2)'!C23*'(ne pas modifier) BDD_REF'!$B$213+'RECeff + REIamont (2)'!C24*'(ne pas modifier) BDD_REF'!$B$214)/1000</f>
        <v>0.12959999999999999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0.12959999999999999</v>
      </c>
    </row>
    <row r="26" spans="1:108" hidden="1" x14ac:dyDescent="0.3">
      <c r="B26" s="3" t="s">
        <v>88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43.2" x14ac:dyDescent="0.3">
      <c r="A27" s="70" t="s">
        <v>89</v>
      </c>
      <c r="B27" s="7" t="s">
        <v>90</v>
      </c>
      <c r="C27" s="80">
        <v>5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5</v>
      </c>
    </row>
    <row r="28" spans="1:108" x14ac:dyDescent="0.3">
      <c r="B28" s="7" t="s">
        <v>91</v>
      </c>
      <c r="C28" s="80">
        <v>0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">
      <c r="B29" s="7" t="s">
        <v>92</v>
      </c>
      <c r="C29" s="80">
        <v>0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93</v>
      </c>
      <c r="C30" s="80">
        <v>0</v>
      </c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3.0045000000000002E-2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3.0045000000000002E-2</v>
      </c>
    </row>
    <row r="32" spans="1:108" s="16" customFormat="1" x14ac:dyDescent="0.3">
      <c r="A32" s="18"/>
      <c r="B32" s="19" t="s">
        <v>95</v>
      </c>
      <c r="C32" s="81">
        <f>C25+C26+C31</f>
        <v>0.15964499999999998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0.15964499999999998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96</v>
      </c>
      <c r="C33" s="20">
        <f>((C10+C11+C12)/1000*44/28*'(ne pas modifier) BDD_REF'!$B$232)+'RECeff + REIamont (2)'!C22+'RECeff + REIamont (2)'!C32</f>
        <v>1.5626602857142855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1.5626602857142855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97</v>
      </c>
      <c r="B34" s="7" t="s">
        <v>69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3">
      <c r="B35" s="7" t="s">
        <v>70</v>
      </c>
      <c r="C35" s="80">
        <v>170</v>
      </c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170</v>
      </c>
    </row>
    <row r="36" spans="1:108" x14ac:dyDescent="0.3">
      <c r="B36" s="7" t="s">
        <v>71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72</v>
      </c>
      <c r="C37" s="39">
        <f>C34*'(ne pas modifier) BDD_REF'!$B$207 + (C35+C36)*'(ne pas modifier) BDD_REF'!$B$208</f>
        <v>1.02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1.02</v>
      </c>
    </row>
    <row r="38" spans="1:108" x14ac:dyDescent="0.3">
      <c r="B38" s="19" t="s">
        <v>73</v>
      </c>
      <c r="C38" s="39">
        <f>((C34*'(ne pas modifier) BDD_REF'!$B$220)+('RECeff + REIamont (2)'!C35+'RECeff + REIamont (2)'!C36)*'(ne pas modifier) BDD_REF'!$B$221)*'(ne pas modifier) BDD_REF'!$B$209</f>
        <v>0.35699999999999998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0.35699999999999998</v>
      </c>
    </row>
    <row r="39" spans="1:108" x14ac:dyDescent="0.3">
      <c r="B39" s="19" t="s">
        <v>74</v>
      </c>
      <c r="C39" s="39">
        <f>(C34+C35+C36)*'(ne pas modifier) BDD_REF'!$B$222*'(ne pas modifier) BDD_REF'!$B$210</f>
        <v>0.44879999999999992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0.44879999999999992</v>
      </c>
    </row>
    <row r="40" spans="1:108" x14ac:dyDescent="0.3">
      <c r="B40" s="7" t="s">
        <v>75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76</v>
      </c>
      <c r="C41" s="80">
        <v>200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200</v>
      </c>
    </row>
    <row r="42" spans="1:108" x14ac:dyDescent="0.3">
      <c r="B42" s="7" t="s">
        <v>77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78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79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80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81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0.61419999999999997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0.61419999999999997</v>
      </c>
    </row>
    <row r="47" spans="1:108" x14ac:dyDescent="0.3">
      <c r="B47" s="7" t="s">
        <v>82</v>
      </c>
      <c r="C47" s="80">
        <v>500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500</v>
      </c>
    </row>
    <row r="48" spans="1:108" x14ac:dyDescent="0.3">
      <c r="B48" s="3" t="s">
        <v>83</v>
      </c>
      <c r="C48" s="39">
        <f>(C47*'(ne pas modifier) BDD_REF'!$B$211)/1000</f>
        <v>2.8500000000000001E-2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2.8500000000000001E-2</v>
      </c>
    </row>
    <row r="49" spans="1:108" s="16" customFormat="1" x14ac:dyDescent="0.3">
      <c r="A49" s="18"/>
      <c r="B49" s="19" t="s">
        <v>84</v>
      </c>
      <c r="C49" s="81">
        <f>C46+C48</f>
        <v>0.64269999999999994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0.64269999999999994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85</v>
      </c>
      <c r="C50" s="80">
        <v>60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60</v>
      </c>
    </row>
    <row r="51" spans="1:108" x14ac:dyDescent="0.3">
      <c r="B51" s="7" t="s">
        <v>86</v>
      </c>
      <c r="C51" s="80">
        <v>60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60</v>
      </c>
    </row>
    <row r="52" spans="1:108" x14ac:dyDescent="0.3">
      <c r="B52" s="3" t="s">
        <v>87</v>
      </c>
      <c r="C52" s="39">
        <f>(C34*'(ne pas modifier) BDD_REF'!$B$212+'RECeff + REIamont (2)'!C50*'(ne pas modifier) BDD_REF'!$B$213+'RECeff + REIamont (2)'!C51*'(ne pas modifier) BDD_REF'!$B$214)/1000</f>
        <v>0.12959999999999999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0.12959999999999999</v>
      </c>
    </row>
    <row r="53" spans="1:108" hidden="1" x14ac:dyDescent="0.3">
      <c r="A53" s="17" t="s">
        <v>98</v>
      </c>
      <c r="B53" s="3" t="s">
        <v>88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90</v>
      </c>
      <c r="C54" s="80">
        <v>5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5</v>
      </c>
    </row>
    <row r="55" spans="1:108" x14ac:dyDescent="0.3">
      <c r="B55" s="7" t="s">
        <v>91</v>
      </c>
      <c r="C55" s="80">
        <v>0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">
      <c r="B56" s="7" t="s">
        <v>92</v>
      </c>
      <c r="C56" s="80">
        <v>0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93</v>
      </c>
      <c r="C57" s="80">
        <v>0</v>
      </c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3.0045000000000002E-2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3.0045000000000002E-2</v>
      </c>
    </row>
    <row r="59" spans="1:108" s="16" customFormat="1" x14ac:dyDescent="0.3">
      <c r="A59" s="18"/>
      <c r="B59" s="19" t="s">
        <v>95</v>
      </c>
      <c r="C59" s="81">
        <f>C52+C53+C58</f>
        <v>0.15964499999999998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0.15964499999999998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96</v>
      </c>
      <c r="C60" s="20">
        <f>((C37+C38+C39)/1000*44/28*'(ne pas modifier) BDD_REF'!$B$232)+'RECeff + REIamont (2)'!C49+'RECeff + REIamont (2)'!C59</f>
        <v>1.5626602857142855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1.5626602857142855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99</v>
      </c>
      <c r="B61" s="7" t="s">
        <v>69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3">
      <c r="B62" s="7" t="s">
        <v>70</v>
      </c>
      <c r="C62" s="80">
        <v>170</v>
      </c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170</v>
      </c>
    </row>
    <row r="63" spans="1:108" x14ac:dyDescent="0.3">
      <c r="B63" s="7" t="s">
        <v>71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72</v>
      </c>
      <c r="C64" s="39">
        <f>C61*'(ne pas modifier) BDD_REF'!$B$207 + (C62+C63)*'(ne pas modifier) BDD_REF'!$B$208</f>
        <v>1.02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1.02</v>
      </c>
    </row>
    <row r="65" spans="1:108" x14ac:dyDescent="0.3">
      <c r="B65" s="19" t="s">
        <v>73</v>
      </c>
      <c r="C65" s="39">
        <f>((C61*'(ne pas modifier) BDD_REF'!$B$220)+('RECeff + REIamont (2)'!C62+'RECeff + REIamont (2)'!C63)*'(ne pas modifier) BDD_REF'!$B$221)*'(ne pas modifier) BDD_REF'!$B$209</f>
        <v>0.35699999999999998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0.35699999999999998</v>
      </c>
    </row>
    <row r="66" spans="1:108" x14ac:dyDescent="0.3">
      <c r="B66" s="19" t="s">
        <v>74</v>
      </c>
      <c r="C66" s="39">
        <f>(C61+C62+C63)*'(ne pas modifier) BDD_REF'!$B$222*'(ne pas modifier) BDD_REF'!$B$210</f>
        <v>0.44879999999999992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0.44879999999999992</v>
      </c>
    </row>
    <row r="67" spans="1:108" x14ac:dyDescent="0.3">
      <c r="B67" s="7" t="s">
        <v>75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76</v>
      </c>
      <c r="C68" s="80">
        <v>200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200</v>
      </c>
    </row>
    <row r="69" spans="1:108" x14ac:dyDescent="0.3">
      <c r="B69" s="7" t="s">
        <v>77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78</v>
      </c>
      <c r="C70" s="80"/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79</v>
      </c>
      <c r="C71" s="80"/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80</v>
      </c>
      <c r="C72" s="80"/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81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0.61419999999999997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0.61419999999999997</v>
      </c>
    </row>
    <row r="74" spans="1:108" x14ac:dyDescent="0.3">
      <c r="B74" s="7" t="s">
        <v>82</v>
      </c>
      <c r="C74" s="80">
        <v>500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500</v>
      </c>
    </row>
    <row r="75" spans="1:108" x14ac:dyDescent="0.3">
      <c r="B75" s="3" t="s">
        <v>83</v>
      </c>
      <c r="C75" s="39">
        <f>(C74*'(ne pas modifier) BDD_REF'!$B$211)/1000</f>
        <v>2.8500000000000001E-2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2.8500000000000001E-2</v>
      </c>
    </row>
    <row r="76" spans="1:108" s="16" customFormat="1" x14ac:dyDescent="0.3">
      <c r="A76" s="18"/>
      <c r="B76" s="19" t="s">
        <v>84</v>
      </c>
      <c r="C76" s="81">
        <f>C73+C75</f>
        <v>0.64269999999999994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0.64269999999999994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85</v>
      </c>
      <c r="C77" s="80">
        <v>60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60</v>
      </c>
    </row>
    <row r="78" spans="1:108" x14ac:dyDescent="0.3">
      <c r="B78" s="7" t="s">
        <v>86</v>
      </c>
      <c r="C78" s="80">
        <v>60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60</v>
      </c>
    </row>
    <row r="79" spans="1:108" x14ac:dyDescent="0.3">
      <c r="B79" s="3" t="s">
        <v>87</v>
      </c>
      <c r="C79" s="39">
        <f>(C61*'(ne pas modifier) BDD_REF'!$B$212+'RECeff + REIamont (2)'!C77*'(ne pas modifier) BDD_REF'!$B$213+'RECeff + REIamont (2)'!C78*'(ne pas modifier) BDD_REF'!$B$214)/1000</f>
        <v>0.12959999999999999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0.12959999999999999</v>
      </c>
    </row>
    <row r="80" spans="1:108" hidden="1" x14ac:dyDescent="0.3">
      <c r="A80" s="17" t="s">
        <v>98</v>
      </c>
      <c r="B80" s="3" t="s">
        <v>88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90</v>
      </c>
      <c r="C81" s="80">
        <v>5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5</v>
      </c>
    </row>
    <row r="82" spans="1:108" x14ac:dyDescent="0.3">
      <c r="B82" s="7" t="s">
        <v>91</v>
      </c>
      <c r="C82" s="80">
        <v>0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3">
      <c r="B83" s="7" t="s">
        <v>92</v>
      </c>
      <c r="C83" s="80">
        <v>0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93</v>
      </c>
      <c r="C84" s="80">
        <v>0</v>
      </c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3.0045000000000002E-2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3.0045000000000002E-2</v>
      </c>
    </row>
    <row r="86" spans="1:108" s="16" customFormat="1" x14ac:dyDescent="0.3">
      <c r="A86" s="18"/>
      <c r="B86" s="19" t="s">
        <v>95</v>
      </c>
      <c r="C86" s="81">
        <f>C79+C80+C85</f>
        <v>0.15964499999999998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0.15964499999999998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96</v>
      </c>
      <c r="C87" s="20">
        <f>((C64+C65+C66)/1000*44/28*'(ne pas modifier) BDD_REF'!$B$232)+'RECeff + REIamont (2)'!C76+'RECeff + REIamont (2)'!C86</f>
        <v>1.5626602857142855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1.5626602857142855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100</v>
      </c>
      <c r="B88" s="7" t="s">
        <v>69</v>
      </c>
      <c r="C88" s="80">
        <v>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3">
      <c r="B89" s="7" t="s">
        <v>70</v>
      </c>
      <c r="C89" s="80">
        <v>170</v>
      </c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170</v>
      </c>
    </row>
    <row r="90" spans="1:108" x14ac:dyDescent="0.3">
      <c r="B90" s="7" t="s">
        <v>71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72</v>
      </c>
      <c r="C91" s="39">
        <f>C88*'(ne pas modifier) BDD_REF'!$B$207 + (C89+C90)*'(ne pas modifier) BDD_REF'!$B$208</f>
        <v>1.02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1.02</v>
      </c>
    </row>
    <row r="92" spans="1:108" x14ac:dyDescent="0.3">
      <c r="B92" s="19" t="s">
        <v>73</v>
      </c>
      <c r="C92" s="39">
        <f>((C88*'(ne pas modifier) BDD_REF'!$B$220)+('RECeff + REIamont (2)'!C89+'RECeff + REIamont (2)'!C90)*'(ne pas modifier) BDD_REF'!$B$221)*'(ne pas modifier) BDD_REF'!$B$209</f>
        <v>0.35699999999999998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0.35699999999999998</v>
      </c>
    </row>
    <row r="93" spans="1:108" x14ac:dyDescent="0.3">
      <c r="B93" s="19" t="s">
        <v>74</v>
      </c>
      <c r="C93" s="39">
        <f>(C88+C89+C90)*'(ne pas modifier) BDD_REF'!$B$222*'(ne pas modifier) BDD_REF'!$B$210</f>
        <v>0.44879999999999992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0.44879999999999992</v>
      </c>
    </row>
    <row r="94" spans="1:108" x14ac:dyDescent="0.3">
      <c r="B94" s="7" t="s">
        <v>75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76</v>
      </c>
      <c r="C95" s="80">
        <v>200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200</v>
      </c>
    </row>
    <row r="96" spans="1:108" x14ac:dyDescent="0.3">
      <c r="B96" s="7" t="s">
        <v>77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78</v>
      </c>
      <c r="C97" s="80"/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79</v>
      </c>
      <c r="C98" s="80"/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80</v>
      </c>
      <c r="C99" s="80"/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81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0.61419999999999997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0.61419999999999997</v>
      </c>
    </row>
    <row r="101" spans="1:108" x14ac:dyDescent="0.3">
      <c r="B101" s="7" t="s">
        <v>82</v>
      </c>
      <c r="C101" s="80">
        <v>500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500</v>
      </c>
    </row>
    <row r="102" spans="1:108" x14ac:dyDescent="0.3">
      <c r="B102" s="3" t="s">
        <v>83</v>
      </c>
      <c r="C102" s="39">
        <f>(C101*'(ne pas modifier) BDD_REF'!$B$211)/1000</f>
        <v>2.8500000000000001E-2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2.8500000000000001E-2</v>
      </c>
    </row>
    <row r="103" spans="1:108" s="16" customFormat="1" x14ac:dyDescent="0.3">
      <c r="A103" s="18"/>
      <c r="B103" s="19" t="s">
        <v>84</v>
      </c>
      <c r="C103" s="81">
        <f>C100+C102</f>
        <v>0.64269999999999994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0.64269999999999994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85</v>
      </c>
      <c r="C104" s="80">
        <v>60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60</v>
      </c>
    </row>
    <row r="105" spans="1:108" x14ac:dyDescent="0.3">
      <c r="B105" s="7" t="s">
        <v>86</v>
      </c>
      <c r="C105" s="80">
        <v>60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60</v>
      </c>
    </row>
    <row r="106" spans="1:108" x14ac:dyDescent="0.3">
      <c r="B106" s="3" t="s">
        <v>87</v>
      </c>
      <c r="C106" s="39">
        <f>(C88*'(ne pas modifier) BDD_REF'!$B$212+'RECeff + REIamont (2)'!C104*'(ne pas modifier) BDD_REF'!$B$213+'RECeff + REIamont (2)'!C105*'(ne pas modifier) BDD_REF'!$B$214)/1000</f>
        <v>0.12959999999999999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0.12959999999999999</v>
      </c>
    </row>
    <row r="107" spans="1:108" hidden="1" x14ac:dyDescent="0.3">
      <c r="A107" s="17" t="s">
        <v>98</v>
      </c>
      <c r="B107" s="3" t="s">
        <v>88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90</v>
      </c>
      <c r="C108" s="80">
        <v>6.3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6.3</v>
      </c>
    </row>
    <row r="109" spans="1:108" x14ac:dyDescent="0.3">
      <c r="B109" s="7" t="s">
        <v>91</v>
      </c>
      <c r="C109" s="80">
        <v>0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">
      <c r="B110" s="7" t="s">
        <v>92</v>
      </c>
      <c r="C110" s="80">
        <v>0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93</v>
      </c>
      <c r="C111" s="80">
        <v>0</v>
      </c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3.7856700000000007E-2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3.7856700000000007E-2</v>
      </c>
    </row>
    <row r="113" spans="1:108" s="16" customFormat="1" x14ac:dyDescent="0.3">
      <c r="A113" s="18"/>
      <c r="B113" s="19" t="s">
        <v>95</v>
      </c>
      <c r="C113" s="81">
        <f>C106+C107+C112</f>
        <v>0.16745670000000001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0.16745670000000001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96</v>
      </c>
      <c r="C114" s="20">
        <f>((C91+C92+C93)/1000*44/28*'(ne pas modifier) BDD_REF'!$B$232)+'RECeff + REIamont (2)'!C103+'RECeff + REIamont (2)'!C113</f>
        <v>1.5704719857142855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1.5704719857142855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101</v>
      </c>
      <c r="B115" s="7" t="s">
        <v>69</v>
      </c>
      <c r="C115" s="80">
        <v>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">
      <c r="B116" s="7" t="s">
        <v>70</v>
      </c>
      <c r="C116" s="80">
        <v>170</v>
      </c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170</v>
      </c>
    </row>
    <row r="117" spans="1:108" x14ac:dyDescent="0.3">
      <c r="B117" s="7" t="s">
        <v>71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72</v>
      </c>
      <c r="C118" s="39">
        <f>C115*'(ne pas modifier) BDD_REF'!$B$207 + (C116+C117)*'(ne pas modifier) BDD_REF'!$B$208</f>
        <v>1.02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1.02</v>
      </c>
    </row>
    <row r="119" spans="1:108" x14ac:dyDescent="0.3">
      <c r="B119" s="19" t="s">
        <v>73</v>
      </c>
      <c r="C119" s="39">
        <f>((C115*'(ne pas modifier) BDD_REF'!$B$220)+('RECeff + REIamont (2)'!C116+'RECeff + REIamont (2)'!C117)*'(ne pas modifier) BDD_REF'!$B$221)*'(ne pas modifier) BDD_REF'!$B$209</f>
        <v>0.35699999999999998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0.35699999999999998</v>
      </c>
    </row>
    <row r="120" spans="1:108" x14ac:dyDescent="0.3">
      <c r="B120" s="19" t="s">
        <v>74</v>
      </c>
      <c r="C120" s="39">
        <f>(C115+C116+C117)*'(ne pas modifier) BDD_REF'!$B$222*'(ne pas modifier) BDD_REF'!$B$210</f>
        <v>0.44879999999999992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0.44879999999999992</v>
      </c>
    </row>
    <row r="121" spans="1:108" x14ac:dyDescent="0.3">
      <c r="B121" s="7" t="s">
        <v>75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76</v>
      </c>
      <c r="C122" s="80">
        <v>200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200</v>
      </c>
    </row>
    <row r="123" spans="1:108" x14ac:dyDescent="0.3">
      <c r="B123" s="7" t="s">
        <v>77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78</v>
      </c>
      <c r="C124" s="80"/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79</v>
      </c>
      <c r="C125" s="80"/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80</v>
      </c>
      <c r="C126" s="80"/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81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0.61419999999999997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0.61419999999999997</v>
      </c>
    </row>
    <row r="128" spans="1:108" x14ac:dyDescent="0.3">
      <c r="B128" s="7" t="s">
        <v>82</v>
      </c>
      <c r="C128" s="80">
        <v>500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500</v>
      </c>
    </row>
    <row r="129" spans="1:108" x14ac:dyDescent="0.3">
      <c r="B129" s="3" t="s">
        <v>83</v>
      </c>
      <c r="C129" s="39">
        <f>(C128*'(ne pas modifier) BDD_REF'!$B$211)/1000</f>
        <v>2.8500000000000001E-2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2.8500000000000001E-2</v>
      </c>
    </row>
    <row r="130" spans="1:108" s="16" customFormat="1" x14ac:dyDescent="0.3">
      <c r="A130" s="18"/>
      <c r="B130" s="19" t="s">
        <v>84</v>
      </c>
      <c r="C130" s="81">
        <f>C127+C129</f>
        <v>0.64269999999999994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0.64269999999999994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85</v>
      </c>
      <c r="C131" s="80">
        <v>60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60</v>
      </c>
    </row>
    <row r="132" spans="1:108" x14ac:dyDescent="0.3">
      <c r="B132" s="7" t="s">
        <v>86</v>
      </c>
      <c r="C132" s="80">
        <v>60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60</v>
      </c>
    </row>
    <row r="133" spans="1:108" x14ac:dyDescent="0.3">
      <c r="B133" s="3" t="s">
        <v>87</v>
      </c>
      <c r="C133" s="39">
        <f>(C115*'(ne pas modifier) BDD_REF'!$B$212+'RECeff + REIamont (2)'!C131*'(ne pas modifier) BDD_REF'!$B$213+'RECeff + REIamont (2)'!C132*'(ne pas modifier) BDD_REF'!$B$214)/1000</f>
        <v>0.12959999999999999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0.12959999999999999</v>
      </c>
    </row>
    <row r="134" spans="1:108" hidden="1" x14ac:dyDescent="0.3">
      <c r="A134" s="17" t="s">
        <v>98</v>
      </c>
      <c r="B134" s="3" t="s">
        <v>88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90</v>
      </c>
      <c r="C135" s="80">
        <v>6.3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6.3</v>
      </c>
    </row>
    <row r="136" spans="1:108" x14ac:dyDescent="0.3">
      <c r="B136" s="7" t="s">
        <v>91</v>
      </c>
      <c r="C136" s="80">
        <v>0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3">
      <c r="B137" s="7" t="s">
        <v>92</v>
      </c>
      <c r="C137" s="80">
        <v>0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93</v>
      </c>
      <c r="C138" s="80">
        <v>0</v>
      </c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3.7856700000000007E-2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3.7856700000000007E-2</v>
      </c>
    </row>
    <row r="140" spans="1:108" s="16" customFormat="1" x14ac:dyDescent="0.3">
      <c r="A140" s="18"/>
      <c r="B140" s="19" t="s">
        <v>95</v>
      </c>
      <c r="C140" s="81">
        <f>C133+C134+C139</f>
        <v>0.16745670000000001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0.16745670000000001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96</v>
      </c>
      <c r="C141" s="20">
        <f>((C118+C119+C120)/1000*44/28*'(ne pas modifier) BDD_REF'!$B$232)+'RECeff + REIamont (2)'!C130+'RECeff + REIamont (2)'!C140</f>
        <v>1.5704719857142855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1.5704719857142855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102</v>
      </c>
      <c r="C142" s="71">
        <f>C33+C60+C87+C114+C141</f>
        <v>7.8289248285714281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7.8289248285714281</v>
      </c>
    </row>
    <row r="143" spans="1:108" x14ac:dyDescent="0.3">
      <c r="B143" s="71" t="s">
        <v>103</v>
      </c>
      <c r="C143" s="71">
        <f>(C142-C5*5)</f>
        <v>-0.86703353301807251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104</v>
      </c>
      <c r="C144" s="21">
        <f>C143*Eligibilité_projet!B8</f>
        <v>-4.7253327549484956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-4.7253327549484956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2" t="s">
        <v>105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62</v>
      </c>
      <c r="N4" s="2"/>
      <c r="O4" s="2"/>
      <c r="P4" s="2"/>
    </row>
    <row r="5" spans="1:16" x14ac:dyDescent="0.3">
      <c r="A5" s="13" t="s">
        <v>106</v>
      </c>
      <c r="B5" s="7" t="s">
        <v>107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108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109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110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68</v>
      </c>
      <c r="B9" s="7" t="s">
        <v>111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97</v>
      </c>
      <c r="B10" s="7" t="s">
        <v>111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99</v>
      </c>
      <c r="B11" s="7" t="s">
        <v>111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100</v>
      </c>
      <c r="B12" s="7" t="s">
        <v>111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101</v>
      </c>
      <c r="B13" s="7" t="s">
        <v>111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112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113</v>
      </c>
      <c r="B15" s="7" t="s">
        <v>107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108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109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110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114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115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116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117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118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119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120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121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122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123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124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125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126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127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128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129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130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131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132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133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134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135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136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137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138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139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140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141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142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143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144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145</v>
      </c>
      <c r="C51" s="37" t="s">
        <v>146</v>
      </c>
      <c r="M51" s="2"/>
    </row>
    <row r="52" spans="1:13" ht="28.8" x14ac:dyDescent="0.3">
      <c r="A52" s="36" t="s">
        <v>147</v>
      </c>
      <c r="B52" s="36" t="s">
        <v>126</v>
      </c>
      <c r="C52" s="38">
        <f>0.324/1000</f>
        <v>3.2400000000000001E-4</v>
      </c>
      <c r="M52" s="2"/>
    </row>
    <row r="53" spans="1:13" x14ac:dyDescent="0.3">
      <c r="B53" s="36" t="s">
        <v>127</v>
      </c>
      <c r="C53" s="38">
        <f>0.325/1000</f>
        <v>3.2499999999999999E-4</v>
      </c>
      <c r="M53" s="2"/>
    </row>
    <row r="54" spans="1:13" x14ac:dyDescent="0.3">
      <c r="B54" s="36" t="s">
        <v>148</v>
      </c>
      <c r="C54" s="38">
        <f>0.335/1000</f>
        <v>3.3500000000000001E-4</v>
      </c>
      <c r="M54" s="2"/>
    </row>
    <row r="55" spans="1:13" x14ac:dyDescent="0.3">
      <c r="B55" s="36" t="s">
        <v>149</v>
      </c>
      <c r="C55" s="38">
        <f>0.282/1000</f>
        <v>2.8199999999999997E-4</v>
      </c>
      <c r="M55" s="2"/>
    </row>
    <row r="56" spans="1:13" ht="28.8" x14ac:dyDescent="0.3">
      <c r="A56" s="36" t="s">
        <v>150</v>
      </c>
      <c r="B56" s="36" t="s">
        <v>151</v>
      </c>
      <c r="C56" s="38">
        <f>0.311/1000</f>
        <v>3.1100000000000002E-4</v>
      </c>
      <c r="M56" s="2"/>
    </row>
    <row r="57" spans="1:13" x14ac:dyDescent="0.3">
      <c r="B57" s="36" t="s">
        <v>152</v>
      </c>
      <c r="C57" s="36">
        <f>0.313/1000</f>
        <v>3.1300000000000002E-4</v>
      </c>
      <c r="M57" s="2"/>
    </row>
    <row r="58" spans="1:13" x14ac:dyDescent="0.3">
      <c r="B58" s="36" t="s">
        <v>153</v>
      </c>
      <c r="C58" s="36">
        <f>0.319/1000</f>
        <v>3.19E-4</v>
      </c>
      <c r="M58" s="2"/>
    </row>
    <row r="59" spans="1:13" x14ac:dyDescent="0.3">
      <c r="B59" s="36" t="s">
        <v>154</v>
      </c>
      <c r="C59" s="36">
        <f>0.306/1000</f>
        <v>3.0600000000000001E-4</v>
      </c>
      <c r="M59" s="2"/>
    </row>
    <row r="60" spans="1:13" x14ac:dyDescent="0.3">
      <c r="B60" s="36" t="s">
        <v>155</v>
      </c>
      <c r="C60" s="36">
        <f>0.174/1000</f>
        <v>1.74E-4</v>
      </c>
      <c r="M60" s="2"/>
    </row>
    <row r="61" spans="1:13" x14ac:dyDescent="0.3">
      <c r="B61" s="36" t="s">
        <v>156</v>
      </c>
      <c r="C61" s="36">
        <f>0.273/1000</f>
        <v>2.7300000000000002E-4</v>
      </c>
      <c r="M61" s="2"/>
    </row>
    <row r="62" spans="1:13" x14ac:dyDescent="0.3">
      <c r="B62" s="36" t="s">
        <v>133</v>
      </c>
      <c r="C62" s="36">
        <f>0.272/1000</f>
        <v>2.72E-4</v>
      </c>
      <c r="M62" s="2"/>
    </row>
    <row r="63" spans="1:13" x14ac:dyDescent="0.3">
      <c r="B63" s="36" t="s">
        <v>157</v>
      </c>
      <c r="C63" s="36">
        <f>0.311/1000</f>
        <v>3.1100000000000002E-4</v>
      </c>
      <c r="M63" s="2"/>
    </row>
    <row r="64" spans="1:13" x14ac:dyDescent="0.3">
      <c r="B64" s="36" t="s">
        <v>158</v>
      </c>
      <c r="C64" s="36">
        <f>0.132/1000</f>
        <v>1.3200000000000001E-4</v>
      </c>
      <c r="M64" s="2"/>
    </row>
    <row r="65" spans="1:13" x14ac:dyDescent="0.3">
      <c r="B65" s="36" t="s">
        <v>159</v>
      </c>
      <c r="C65" s="36">
        <f>0.238/1000</f>
        <v>2.3799999999999998E-4</v>
      </c>
      <c r="M65" s="2"/>
    </row>
    <row r="66" spans="1:13" x14ac:dyDescent="0.3">
      <c r="B66" s="36" t="s">
        <v>160</v>
      </c>
      <c r="C66" s="36">
        <f>0.23/1000</f>
        <v>2.3000000000000001E-4</v>
      </c>
      <c r="M66" s="2"/>
    </row>
    <row r="67" spans="1:13" ht="43.2" x14ac:dyDescent="0.3">
      <c r="A67" s="36" t="s">
        <v>161</v>
      </c>
      <c r="B67" s="36" t="s">
        <v>162</v>
      </c>
      <c r="C67" s="36">
        <f>0.327/1000</f>
        <v>3.2700000000000003E-4</v>
      </c>
      <c r="M67" s="2"/>
    </row>
    <row r="68" spans="1:13" x14ac:dyDescent="0.3">
      <c r="B68" s="36" t="s">
        <v>163</v>
      </c>
      <c r="C68" s="36">
        <f>0.331/1000</f>
        <v>3.3100000000000002E-4</v>
      </c>
      <c r="M68" s="2"/>
    </row>
    <row r="69" spans="1:13" x14ac:dyDescent="0.3">
      <c r="B69" s="36" t="s">
        <v>164</v>
      </c>
      <c r="C69" s="36">
        <f>0.331/1000</f>
        <v>3.3100000000000002E-4</v>
      </c>
      <c r="M69" s="2"/>
    </row>
    <row r="70" spans="1:13" ht="28.8" x14ac:dyDescent="0.3">
      <c r="A70" s="36" t="s">
        <v>165</v>
      </c>
      <c r="B70" s="36" t="s">
        <v>166</v>
      </c>
      <c r="C70" s="36">
        <f>0.307/1000</f>
        <v>3.0699999999999998E-4</v>
      </c>
      <c r="M70" s="2"/>
    </row>
    <row r="71" spans="1:13" x14ac:dyDescent="0.3">
      <c r="B71" s="36" t="s">
        <v>167</v>
      </c>
      <c r="C71" s="36">
        <f>0.308/1000</f>
        <v>3.0800000000000001E-4</v>
      </c>
      <c r="M71" s="2"/>
    </row>
    <row r="72" spans="1:13" x14ac:dyDescent="0.3">
      <c r="B72" s="36" t="s">
        <v>168</v>
      </c>
      <c r="C72" s="36">
        <f>0.313/1000</f>
        <v>3.1300000000000002E-4</v>
      </c>
      <c r="M72" s="2"/>
    </row>
    <row r="73" spans="1:13" ht="28.8" x14ac:dyDescent="0.3">
      <c r="A73" s="36" t="s">
        <v>169</v>
      </c>
      <c r="B73" s="36" t="s">
        <v>170</v>
      </c>
      <c r="C73" s="36">
        <f>0.322/1000</f>
        <v>3.2200000000000002E-4</v>
      </c>
      <c r="M73" s="2"/>
    </row>
    <row r="74" spans="1:13" ht="28.8" x14ac:dyDescent="0.3">
      <c r="A74" s="36" t="s">
        <v>171</v>
      </c>
      <c r="B74" s="36" t="s">
        <v>172</v>
      </c>
      <c r="C74" s="36">
        <f>0.227/1000</f>
        <v>2.2700000000000002E-4</v>
      </c>
      <c r="M74" s="2"/>
    </row>
    <row r="75" spans="1:13" x14ac:dyDescent="0.3">
      <c r="B75" s="36" t="s">
        <v>173</v>
      </c>
      <c r="C75" s="36">
        <f>0.244/1000</f>
        <v>2.4399999999999999E-4</v>
      </c>
      <c r="M75" s="2"/>
    </row>
    <row r="76" spans="1:13" ht="28.8" x14ac:dyDescent="0.3">
      <c r="A76" s="36" t="s">
        <v>174</v>
      </c>
      <c r="B76" s="36" t="s">
        <v>175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176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D9" sqref="D9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9" t="s">
        <v>61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177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62</v>
      </c>
      <c r="N4" s="2"/>
      <c r="O4" s="2"/>
      <c r="P4" s="2"/>
      <c r="Q4" s="2"/>
    </row>
    <row r="5" spans="1:17" x14ac:dyDescent="0.3">
      <c r="A5" s="13">
        <v>1</v>
      </c>
      <c r="B5" s="7" t="s">
        <v>178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178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178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178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178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178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178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178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178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178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178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178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178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178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178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178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178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178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178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178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179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180</v>
      </c>
      <c r="B26" s="7" t="s">
        <v>181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182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183</v>
      </c>
      <c r="C28" s="24">
        <f>((C25/C27)-C26)*Eligibilité_projet!B8*44/12</f>
        <v>223.52785714285719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223.52785714285719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9" t="s">
        <v>61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62</v>
      </c>
      <c r="N4" s="2"/>
      <c r="O4" s="2"/>
      <c r="P4" s="2"/>
    </row>
    <row r="5" spans="1:16" x14ac:dyDescent="0.3">
      <c r="B5" s="7" t="s">
        <v>184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185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186</v>
      </c>
      <c r="C7" s="22">
        <f>Eligibilité_projet!B15</f>
        <v>0.8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0.8</v>
      </c>
      <c r="N7" s="2"/>
      <c r="O7" s="2"/>
      <c r="P7" s="2"/>
    </row>
    <row r="8" spans="1:16" ht="28.8" x14ac:dyDescent="0.3">
      <c r="B8" s="7" t="s">
        <v>187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188</v>
      </c>
      <c r="C9" s="21">
        <f>((C6-C5)+('(ne pas modifier) BDD_REF'!$B$276*C7*C8))*Eligibilité_projet!B8*44/12</f>
        <v>56.75266666666667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56.75266666666667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F11" sqref="F11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2" t="s">
        <v>189</v>
      </c>
      <c r="C2" s="114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5" t="s">
        <v>190</v>
      </c>
      <c r="C4" s="116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191</v>
      </c>
      <c r="B6" s="3" t="s">
        <v>192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193</v>
      </c>
      <c r="B7" s="3" t="s">
        <v>192</v>
      </c>
      <c r="C7" s="15">
        <f>IF(Eligibilité_projet!C2="OUI","/",'RECeff + REIamont (2)'!M144)</f>
        <v>-4.7253327549484956</v>
      </c>
      <c r="D7" s="2"/>
      <c r="E7" s="2"/>
      <c r="F7" s="2"/>
    </row>
    <row r="8" spans="1:6" x14ac:dyDescent="0.3">
      <c r="A8" s="16"/>
      <c r="B8" s="3" t="s">
        <v>115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194</v>
      </c>
      <c r="C9" s="15">
        <f>RECant_biom!M28</f>
        <v>223.52785714285719</v>
      </c>
      <c r="D9" s="2"/>
      <c r="E9" s="2"/>
      <c r="F9" s="2"/>
    </row>
    <row r="10" spans="1:6" x14ac:dyDescent="0.3">
      <c r="A10" s="2"/>
      <c r="B10" s="3" t="s">
        <v>188</v>
      </c>
      <c r="C10" s="15">
        <f>RECant_sol!M9</f>
        <v>56.75266666666667</v>
      </c>
      <c r="D10" s="2"/>
      <c r="E10" s="2"/>
      <c r="F10" s="2"/>
    </row>
    <row r="11" spans="1:6" x14ac:dyDescent="0.3">
      <c r="A11" s="2"/>
      <c r="B11" s="19" t="s">
        <v>195</v>
      </c>
      <c r="C11" s="42">
        <f>SUM(IF(Eligibilité_projet!C2="OUI",-C6,-C7),-C8,C10,C9)</f>
        <v>285.00585656447237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5" t="s">
        <v>196</v>
      </c>
      <c r="C13" s="116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192</v>
      </c>
      <c r="C15" s="91">
        <f>IF(Eligibilité_projet!C2="OUI",C6*(1-0.15),C7)</f>
        <v>-4.7253327549484956</v>
      </c>
      <c r="D15" s="2"/>
      <c r="E15" s="2"/>
      <c r="F15" s="2"/>
    </row>
    <row r="16" spans="1:6" x14ac:dyDescent="0.3">
      <c r="A16" s="2"/>
      <c r="B16" s="3" t="s">
        <v>115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194</v>
      </c>
      <c r="C17" s="15">
        <f>C9*(1-0.1)</f>
        <v>201.17507142857147</v>
      </c>
      <c r="D17" s="2"/>
      <c r="E17" s="2"/>
      <c r="F17" s="2"/>
    </row>
    <row r="18" spans="1:6" x14ac:dyDescent="0.3">
      <c r="A18" s="2"/>
      <c r="B18" s="90" t="s">
        <v>188</v>
      </c>
      <c r="C18" s="15">
        <f>RE!C10</f>
        <v>56.75266666666667</v>
      </c>
      <c r="D18" s="2"/>
      <c r="E18" s="2"/>
      <c r="F18" s="2"/>
    </row>
    <row r="19" spans="1:6" x14ac:dyDescent="0.3">
      <c r="A19" s="2"/>
      <c r="B19" s="3" t="s">
        <v>197</v>
      </c>
      <c r="C19" s="91">
        <f>(C17+C18)*0.9</f>
        <v>232.13496428571435</v>
      </c>
      <c r="D19" s="2"/>
      <c r="E19" s="2"/>
      <c r="F19" s="2"/>
    </row>
    <row r="20" spans="1:6" x14ac:dyDescent="0.3">
      <c r="A20" s="2"/>
      <c r="B20" s="19" t="s">
        <v>195</v>
      </c>
      <c r="C20" s="92">
        <f>SUM(-C15,-C16,C19)</f>
        <v>236.86029704066283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54" zoomScale="70" zoomScaleNormal="70" workbookViewId="0">
      <selection activeCell="D114" sqref="D114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198</v>
      </c>
      <c r="B1" s="48" t="s">
        <v>199</v>
      </c>
      <c r="C1" s="48" t="s">
        <v>33</v>
      </c>
      <c r="D1" s="48" t="s">
        <v>200</v>
      </c>
      <c r="E1" s="49" t="s">
        <v>201</v>
      </c>
      <c r="F1" s="34"/>
      <c r="G1" s="34"/>
      <c r="H1" s="50"/>
    </row>
    <row r="2" spans="1:8" ht="15" customHeight="1" x14ac:dyDescent="0.3">
      <c r="A2" s="51" t="s">
        <v>202</v>
      </c>
      <c r="B2" s="51" t="s">
        <v>30</v>
      </c>
      <c r="C2" s="38" t="s">
        <v>34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202</v>
      </c>
      <c r="B3" s="51" t="s">
        <v>30</v>
      </c>
      <c r="C3" s="38" t="s">
        <v>203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202</v>
      </c>
      <c r="B4" s="51" t="s">
        <v>30</v>
      </c>
      <c r="C4" s="38" t="s">
        <v>204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202</v>
      </c>
      <c r="B5" s="51" t="s">
        <v>30</v>
      </c>
      <c r="C5" s="38" t="s">
        <v>205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202</v>
      </c>
      <c r="B6" s="51" t="s">
        <v>206</v>
      </c>
      <c r="C6" s="38" t="s">
        <v>34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202</v>
      </c>
      <c r="B7" s="51" t="s">
        <v>206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202</v>
      </c>
      <c r="B8" s="51" t="s">
        <v>206</v>
      </c>
      <c r="C8" s="38" t="s">
        <v>204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202</v>
      </c>
      <c r="B9" s="51" t="s">
        <v>206</v>
      </c>
      <c r="C9" s="38" t="s">
        <v>205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202</v>
      </c>
      <c r="B10" s="51" t="s">
        <v>206</v>
      </c>
      <c r="C10" s="38" t="s">
        <v>207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208</v>
      </c>
      <c r="B11" s="51" t="s">
        <v>30</v>
      </c>
      <c r="C11" s="38" t="s">
        <v>34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208</v>
      </c>
      <c r="B12" s="51" t="s">
        <v>30</v>
      </c>
      <c r="C12" s="38" t="s">
        <v>203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208</v>
      </c>
      <c r="B13" s="51" t="s">
        <v>30</v>
      </c>
      <c r="C13" s="38" t="s">
        <v>204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208</v>
      </c>
      <c r="B14" s="51" t="s">
        <v>206</v>
      </c>
      <c r="C14" s="38" t="s">
        <v>34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208</v>
      </c>
      <c r="B15" s="51" t="s">
        <v>206</v>
      </c>
      <c r="C15" s="38" t="s">
        <v>203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208</v>
      </c>
      <c r="B16" s="51" t="s">
        <v>206</v>
      </c>
      <c r="C16" s="38" t="s">
        <v>204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208</v>
      </c>
      <c r="B17" s="51" t="s">
        <v>206</v>
      </c>
      <c r="C17" s="38" t="s">
        <v>207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209</v>
      </c>
      <c r="B20" s="53" t="s">
        <v>26</v>
      </c>
      <c r="C20" s="53" t="s">
        <v>210</v>
      </c>
      <c r="D20" s="53" t="s">
        <v>211</v>
      </c>
    </row>
    <row r="21" spans="1:7" x14ac:dyDescent="0.3">
      <c r="A21" s="38" t="s">
        <v>212</v>
      </c>
      <c r="B21" s="38" t="s">
        <v>27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213</v>
      </c>
      <c r="B22" s="38" t="s">
        <v>27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214</v>
      </c>
      <c r="B23" s="38" t="s">
        <v>215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216</v>
      </c>
      <c r="B24" s="38" t="s">
        <v>27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217</v>
      </c>
      <c r="B25" s="38" t="s">
        <v>218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219</v>
      </c>
      <c r="B26" s="38" t="s">
        <v>218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220</v>
      </c>
      <c r="B27" s="38" t="s">
        <v>27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220</v>
      </c>
      <c r="B28" s="38" t="s">
        <v>215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221</v>
      </c>
      <c r="B29" s="38" t="s">
        <v>27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222</v>
      </c>
      <c r="B30" s="38" t="s">
        <v>223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224</v>
      </c>
      <c r="B31" s="38" t="s">
        <v>27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225</v>
      </c>
      <c r="B32" s="38" t="s">
        <v>218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226</v>
      </c>
      <c r="B33" s="38" t="s">
        <v>215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226</v>
      </c>
      <c r="B34" s="38" t="s">
        <v>227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226</v>
      </c>
      <c r="B35" s="38" t="s">
        <v>228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226</v>
      </c>
      <c r="B36" s="38" t="s">
        <v>27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229</v>
      </c>
      <c r="B37" s="38" t="s">
        <v>215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229</v>
      </c>
      <c r="B38" s="38" t="s">
        <v>27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230</v>
      </c>
      <c r="B39" s="38" t="s">
        <v>215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230</v>
      </c>
      <c r="B40" s="38" t="s">
        <v>27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24</v>
      </c>
      <c r="B41" s="38" t="s">
        <v>215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24</v>
      </c>
      <c r="B42" s="38" t="s">
        <v>27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7" t="s">
        <v>206</v>
      </c>
      <c r="C44" s="118"/>
      <c r="D44" s="119"/>
      <c r="E44" s="117" t="s">
        <v>231</v>
      </c>
      <c r="F44" s="118"/>
      <c r="G44" s="119"/>
    </row>
    <row r="45" spans="1:7" ht="31.2" x14ac:dyDescent="0.3">
      <c r="A45" s="54" t="s">
        <v>232</v>
      </c>
      <c r="B45" s="55" t="s">
        <v>233</v>
      </c>
      <c r="C45" s="48" t="s">
        <v>234</v>
      </c>
      <c r="D45" s="56" t="s">
        <v>235</v>
      </c>
      <c r="E45" s="55" t="s">
        <v>233</v>
      </c>
      <c r="F45" s="48" t="s">
        <v>234</v>
      </c>
      <c r="G45" s="56" t="s">
        <v>235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236</v>
      </c>
      <c r="B67" s="57" t="s">
        <v>33</v>
      </c>
      <c r="C67" s="57" t="s">
        <v>237</v>
      </c>
      <c r="D67" s="57" t="s">
        <v>238</v>
      </c>
      <c r="E67" s="57" t="s">
        <v>239</v>
      </c>
    </row>
    <row r="68" spans="1:7" x14ac:dyDescent="0.3">
      <c r="A68" s="58">
        <v>10</v>
      </c>
      <c r="B68" s="38" t="s">
        <v>34</v>
      </c>
      <c r="C68" s="51" t="s">
        <v>206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34</v>
      </c>
      <c r="C69" s="51" t="s">
        <v>206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34</v>
      </c>
      <c r="C70" s="51" t="s">
        <v>206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34</v>
      </c>
      <c r="C71" s="51" t="s">
        <v>206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34</v>
      </c>
      <c r="C72" s="51" t="s">
        <v>206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34</v>
      </c>
      <c r="C73" s="51" t="s">
        <v>206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34</v>
      </c>
      <c r="C74" s="51" t="s">
        <v>206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34</v>
      </c>
      <c r="C75" s="51" t="s">
        <v>206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34</v>
      </c>
      <c r="C76" s="51" t="s">
        <v>206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34</v>
      </c>
      <c r="C77" s="51" t="s">
        <v>206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34</v>
      </c>
      <c r="C78" s="51" t="s">
        <v>206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203</v>
      </c>
      <c r="C79" s="51" t="s">
        <v>206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203</v>
      </c>
      <c r="C80" s="51" t="s">
        <v>206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203</v>
      </c>
      <c r="C81" s="51" t="s">
        <v>206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203</v>
      </c>
      <c r="C82" s="51" t="s">
        <v>206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203</v>
      </c>
      <c r="C83" s="51" t="s">
        <v>206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203</v>
      </c>
      <c r="C84" s="51" t="s">
        <v>206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203</v>
      </c>
      <c r="C85" s="51" t="s">
        <v>206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203</v>
      </c>
      <c r="C86" s="51" t="s">
        <v>206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203</v>
      </c>
      <c r="C87" s="51" t="s">
        <v>206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203</v>
      </c>
      <c r="C88" s="51" t="s">
        <v>206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203</v>
      </c>
      <c r="C89" s="51" t="s">
        <v>206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204</v>
      </c>
      <c r="C90" s="51" t="s">
        <v>206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204</v>
      </c>
      <c r="C91" s="51" t="s">
        <v>206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204</v>
      </c>
      <c r="C92" s="51" t="s">
        <v>206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204</v>
      </c>
      <c r="C93" s="51" t="s">
        <v>206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204</v>
      </c>
      <c r="C94" s="51" t="s">
        <v>206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204</v>
      </c>
      <c r="C95" s="51" t="s">
        <v>206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204</v>
      </c>
      <c r="C96" s="51" t="s">
        <v>206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204</v>
      </c>
      <c r="C97" s="51" t="s">
        <v>206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204</v>
      </c>
      <c r="C98" s="51" t="s">
        <v>206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204</v>
      </c>
      <c r="C99" s="51" t="s">
        <v>206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204</v>
      </c>
      <c r="C100" s="51" t="s">
        <v>206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34</v>
      </c>
      <c r="C101" s="51" t="s">
        <v>30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34</v>
      </c>
      <c r="C102" s="51" t="s">
        <v>30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34</v>
      </c>
      <c r="C103" s="51" t="s">
        <v>30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34</v>
      </c>
      <c r="C104" s="51" t="s">
        <v>30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34</v>
      </c>
      <c r="C105" s="51" t="s">
        <v>30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34</v>
      </c>
      <c r="C106" s="51" t="s">
        <v>30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34</v>
      </c>
      <c r="C107" s="51" t="s">
        <v>30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34</v>
      </c>
      <c r="C108" s="51" t="s">
        <v>30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34</v>
      </c>
      <c r="C109" s="51" t="s">
        <v>30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34</v>
      </c>
      <c r="C110" s="51" t="s">
        <v>30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34</v>
      </c>
      <c r="C111" s="51" t="s">
        <v>30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203</v>
      </c>
      <c r="C112" s="51" t="s">
        <v>30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203</v>
      </c>
      <c r="C113" s="51" t="s">
        <v>30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203</v>
      </c>
      <c r="C114" s="51" t="s">
        <v>30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203</v>
      </c>
      <c r="C115" s="51" t="s">
        <v>30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203</v>
      </c>
      <c r="C116" s="51" t="s">
        <v>30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203</v>
      </c>
      <c r="C117" s="51" t="s">
        <v>30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203</v>
      </c>
      <c r="C118" s="51" t="s">
        <v>30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203</v>
      </c>
      <c r="C119" s="51" t="s">
        <v>30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203</v>
      </c>
      <c r="C120" s="51" t="s">
        <v>30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203</v>
      </c>
      <c r="C121" s="51" t="s">
        <v>30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203</v>
      </c>
      <c r="C122" s="51" t="s">
        <v>30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204</v>
      </c>
      <c r="C123" s="51" t="s">
        <v>30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204</v>
      </c>
      <c r="C124" s="51" t="s">
        <v>30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204</v>
      </c>
      <c r="C125" s="51" t="s">
        <v>30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204</v>
      </c>
      <c r="C126" s="51" t="s">
        <v>30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204</v>
      </c>
      <c r="C127" s="51" t="s">
        <v>30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204</v>
      </c>
      <c r="C128" s="51" t="s">
        <v>30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204</v>
      </c>
      <c r="C129" s="51" t="s">
        <v>30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204</v>
      </c>
      <c r="C130" s="51" t="s">
        <v>30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204</v>
      </c>
      <c r="C131" s="51" t="s">
        <v>30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204</v>
      </c>
      <c r="C132" s="51" t="s">
        <v>30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204</v>
      </c>
      <c r="C133" s="51" t="s">
        <v>30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240</v>
      </c>
      <c r="B136" s="57" t="s">
        <v>241</v>
      </c>
      <c r="C136" s="50"/>
    </row>
    <row r="137" spans="1:5" x14ac:dyDescent="0.3">
      <c r="A137" s="58" t="s">
        <v>242</v>
      </c>
      <c r="B137" s="61">
        <v>3023.6659187519999</v>
      </c>
      <c r="C137" s="50"/>
    </row>
    <row r="138" spans="1:5" x14ac:dyDescent="0.3">
      <c r="A138" s="58" t="s">
        <v>243</v>
      </c>
      <c r="B138" s="61">
        <v>3462.3325584952004</v>
      </c>
      <c r="C138" s="50"/>
    </row>
    <row r="139" spans="1:5" x14ac:dyDescent="0.3">
      <c r="A139" s="58" t="s">
        <v>40</v>
      </c>
      <c r="B139" s="61">
        <v>1051.9666372200002</v>
      </c>
      <c r="C139" s="50"/>
    </row>
    <row r="140" spans="1:5" x14ac:dyDescent="0.3">
      <c r="A140" s="58" t="s">
        <v>244</v>
      </c>
      <c r="B140" s="61">
        <v>680.11092420000011</v>
      </c>
      <c r="C140" s="50"/>
    </row>
    <row r="141" spans="1:5" x14ac:dyDescent="0.3">
      <c r="A141" s="58" t="s">
        <v>245</v>
      </c>
      <c r="B141" s="61">
        <v>3969.2165201334001</v>
      </c>
      <c r="C141" s="50"/>
    </row>
    <row r="142" spans="1:5" x14ac:dyDescent="0.3">
      <c r="A142" s="58" t="s">
        <v>246</v>
      </c>
      <c r="B142" s="61">
        <v>3120.9100082900004</v>
      </c>
      <c r="C142" s="50"/>
    </row>
    <row r="143" spans="1:5" x14ac:dyDescent="0.3">
      <c r="A143" s="58" t="s">
        <v>247</v>
      </c>
      <c r="B143" s="61">
        <v>3118.3572501499998</v>
      </c>
      <c r="C143" s="50"/>
    </row>
    <row r="144" spans="1:5" x14ac:dyDescent="0.3">
      <c r="A144" s="58" t="s">
        <v>248</v>
      </c>
      <c r="B144" s="61">
        <v>2602.140331525</v>
      </c>
      <c r="C144" s="50"/>
    </row>
    <row r="145" spans="1:2" x14ac:dyDescent="0.3">
      <c r="A145" s="58" t="s">
        <v>249</v>
      </c>
      <c r="B145" s="61">
        <v>4557.9951523</v>
      </c>
    </row>
    <row r="146" spans="1:2" x14ac:dyDescent="0.3">
      <c r="A146" s="58" t="s">
        <v>250</v>
      </c>
      <c r="B146" s="61">
        <v>3047.448611238</v>
      </c>
    </row>
    <row r="147" spans="1:2" x14ac:dyDescent="0.3">
      <c r="A147" s="58" t="s">
        <v>251</v>
      </c>
      <c r="B147" s="61">
        <v>740.69039574999999</v>
      </c>
    </row>
    <row r="148" spans="1:2" x14ac:dyDescent="0.3">
      <c r="A148" s="58" t="s">
        <v>252</v>
      </c>
      <c r="B148" s="61">
        <v>897.80714540400004</v>
      </c>
    </row>
    <row r="149" spans="1:2" x14ac:dyDescent="0.3">
      <c r="A149" s="58" t="s">
        <v>253</v>
      </c>
      <c r="B149" s="61">
        <v>883.16209499700005</v>
      </c>
    </row>
    <row r="150" spans="1:2" x14ac:dyDescent="0.3">
      <c r="A150" s="58" t="s">
        <v>254</v>
      </c>
      <c r="B150" s="61">
        <v>1019.94225066</v>
      </c>
    </row>
    <row r="151" spans="1:2" x14ac:dyDescent="0.3">
      <c r="A151" s="58" t="s">
        <v>255</v>
      </c>
      <c r="B151" s="61">
        <v>889.46139315170001</v>
      </c>
    </row>
    <row r="152" spans="1:2" x14ac:dyDescent="0.3">
      <c r="A152" s="58" t="s">
        <v>256</v>
      </c>
      <c r="B152" s="61">
        <v>752.72081800977992</v>
      </c>
    </row>
    <row r="153" spans="1:2" x14ac:dyDescent="0.3">
      <c r="A153" s="58" t="s">
        <v>257</v>
      </c>
      <c r="B153" s="61">
        <v>946.9611047855999</v>
      </c>
    </row>
    <row r="154" spans="1:2" x14ac:dyDescent="0.3">
      <c r="A154" s="58" t="s">
        <v>258</v>
      </c>
      <c r="B154" s="61">
        <v>1074.1029483240002</v>
      </c>
    </row>
    <row r="155" spans="1:2" x14ac:dyDescent="0.3">
      <c r="A155" s="58" t="s">
        <v>259</v>
      </c>
      <c r="B155" s="61">
        <v>1420.210775454</v>
      </c>
    </row>
    <row r="156" spans="1:2" x14ac:dyDescent="0.3">
      <c r="A156" s="58" t="s">
        <v>260</v>
      </c>
      <c r="B156" s="61">
        <v>774.61553566148007</v>
      </c>
    </row>
    <row r="157" spans="1:2" x14ac:dyDescent="0.3">
      <c r="A157" s="58" t="s">
        <v>261</v>
      </c>
      <c r="B157" s="61">
        <v>765.12397890409</v>
      </c>
    </row>
    <row r="158" spans="1:2" x14ac:dyDescent="0.3">
      <c r="A158" s="58" t="s">
        <v>262</v>
      </c>
      <c r="B158" s="61">
        <v>1001.1849360304</v>
      </c>
    </row>
    <row r="159" spans="1:2" x14ac:dyDescent="0.3">
      <c r="A159" s="58" t="s">
        <v>263</v>
      </c>
      <c r="B159" s="61">
        <v>1279.8013208596001</v>
      </c>
    </row>
    <row r="160" spans="1:2" x14ac:dyDescent="0.3">
      <c r="A160" s="58" t="s">
        <v>264</v>
      </c>
      <c r="B160" s="61">
        <v>723.80564597088994</v>
      </c>
    </row>
    <row r="161" spans="1:2" x14ac:dyDescent="0.3">
      <c r="A161" s="58" t="s">
        <v>265</v>
      </c>
      <c r="B161" s="61">
        <v>1232.6787939830401</v>
      </c>
    </row>
    <row r="162" spans="1:2" x14ac:dyDescent="0.3">
      <c r="A162" s="58" t="s">
        <v>266</v>
      </c>
      <c r="B162" s="61">
        <v>1788.5815223822999</v>
      </c>
    </row>
    <row r="163" spans="1:2" x14ac:dyDescent="0.3">
      <c r="A163" s="58" t="s">
        <v>267</v>
      </c>
      <c r="B163" s="61">
        <v>626.40579813411489</v>
      </c>
    </row>
    <row r="164" spans="1:2" x14ac:dyDescent="0.3">
      <c r="A164" s="58" t="s">
        <v>268</v>
      </c>
      <c r="B164" s="61">
        <v>1886.3492469093001</v>
      </c>
    </row>
    <row r="165" spans="1:2" x14ac:dyDescent="0.3">
      <c r="A165" s="58" t="s">
        <v>269</v>
      </c>
      <c r="B165" s="61">
        <v>1245.7052980295</v>
      </c>
    </row>
    <row r="166" spans="1:2" x14ac:dyDescent="0.3">
      <c r="A166" s="58" t="s">
        <v>270</v>
      </c>
      <c r="B166" s="61">
        <v>1283.4653141729998</v>
      </c>
    </row>
    <row r="167" spans="1:2" x14ac:dyDescent="0.3">
      <c r="A167" s="58" t="s">
        <v>42</v>
      </c>
      <c r="B167" s="61">
        <v>1487.4535399215001</v>
      </c>
    </row>
    <row r="168" spans="1:2" x14ac:dyDescent="0.3">
      <c r="A168" s="58" t="s">
        <v>271</v>
      </c>
      <c r="B168" s="61">
        <v>1457.6311863044998</v>
      </c>
    </row>
    <row r="169" spans="1:2" x14ac:dyDescent="0.3">
      <c r="A169" s="58" t="s">
        <v>272</v>
      </c>
      <c r="B169" s="61">
        <v>1441.472337333</v>
      </c>
    </row>
    <row r="170" spans="1:2" x14ac:dyDescent="0.3">
      <c r="A170" s="58" t="s">
        <v>273</v>
      </c>
      <c r="B170" s="61">
        <v>2444.8047991999997</v>
      </c>
    </row>
    <row r="171" spans="1:2" x14ac:dyDescent="0.3">
      <c r="A171" s="58" t="s">
        <v>274</v>
      </c>
      <c r="B171" s="61">
        <v>3601.9636359103997</v>
      </c>
    </row>
    <row r="172" spans="1:2" x14ac:dyDescent="0.3">
      <c r="A172" s="58" t="s">
        <v>275</v>
      </c>
      <c r="B172" s="61">
        <f>25000*0.17</f>
        <v>4250</v>
      </c>
    </row>
    <row r="173" spans="1:2" x14ac:dyDescent="0.3">
      <c r="A173" s="58" t="s">
        <v>276</v>
      </c>
      <c r="B173" s="61">
        <v>2724.2246671013995</v>
      </c>
    </row>
    <row r="174" spans="1:2" x14ac:dyDescent="0.3">
      <c r="A174" s="58" t="s">
        <v>37</v>
      </c>
      <c r="B174" s="61">
        <v>2678.1548398122004</v>
      </c>
    </row>
    <row r="175" spans="1:2" x14ac:dyDescent="0.3">
      <c r="A175" s="58" t="s">
        <v>277</v>
      </c>
      <c r="B175" s="61">
        <v>925.39090928000007</v>
      </c>
    </row>
    <row r="176" spans="1:2" x14ac:dyDescent="0.3">
      <c r="A176" s="58" t="s">
        <v>278</v>
      </c>
      <c r="B176" s="61">
        <v>832.84025582999993</v>
      </c>
    </row>
    <row r="177" spans="1:2" x14ac:dyDescent="0.3">
      <c r="A177" s="58" t="s">
        <v>279</v>
      </c>
      <c r="B177" s="61">
        <v>3847.6402921410004</v>
      </c>
    </row>
    <row r="178" spans="1:2" x14ac:dyDescent="0.3">
      <c r="A178" s="58" t="s">
        <v>280</v>
      </c>
      <c r="B178" s="61">
        <v>3849.2868810089999</v>
      </c>
    </row>
    <row r="179" spans="1:2" x14ac:dyDescent="0.3">
      <c r="A179" s="58" t="s">
        <v>281</v>
      </c>
      <c r="B179" s="61">
        <v>3453.8088875220001</v>
      </c>
    </row>
    <row r="180" spans="1:2" x14ac:dyDescent="0.3">
      <c r="A180" s="58" t="s">
        <v>282</v>
      </c>
      <c r="B180" s="61">
        <v>3391.1981881470001</v>
      </c>
    </row>
    <row r="181" spans="1:2" x14ac:dyDescent="0.3">
      <c r="A181" s="58" t="s">
        <v>283</v>
      </c>
      <c r="B181" s="61">
        <v>3759.2860042549196</v>
      </c>
    </row>
    <row r="182" spans="1:2" x14ac:dyDescent="0.3">
      <c r="A182" s="58" t="s">
        <v>284</v>
      </c>
      <c r="B182" s="61">
        <v>2658.9292517203125</v>
      </c>
    </row>
    <row r="183" spans="1:2" x14ac:dyDescent="0.3">
      <c r="A183" s="58" t="s">
        <v>285</v>
      </c>
      <c r="B183" s="61">
        <v>4303.8993272226562</v>
      </c>
    </row>
    <row r="184" spans="1:2" x14ac:dyDescent="0.3">
      <c r="A184" s="58" t="s">
        <v>286</v>
      </c>
      <c r="B184" s="61">
        <v>4054.8428879156254</v>
      </c>
    </row>
    <row r="185" spans="1:2" x14ac:dyDescent="0.3">
      <c r="A185" s="58" t="s">
        <v>287</v>
      </c>
      <c r="B185" s="61">
        <v>3165.3350675625002</v>
      </c>
    </row>
    <row r="186" spans="1:2" x14ac:dyDescent="0.3">
      <c r="A186" s="58" t="s">
        <v>288</v>
      </c>
      <c r="B186" s="61">
        <v>21727.520374600001</v>
      </c>
    </row>
    <row r="187" spans="1:2" x14ac:dyDescent="0.3">
      <c r="A187" s="58" t="s">
        <v>289</v>
      </c>
      <c r="B187" s="61">
        <v>763729.18826415588</v>
      </c>
    </row>
    <row r="188" spans="1:2" x14ac:dyDescent="0.3">
      <c r="A188" s="58" t="s">
        <v>290</v>
      </c>
      <c r="B188" s="61">
        <v>28201.949841089998</v>
      </c>
    </row>
    <row r="189" spans="1:2" x14ac:dyDescent="0.3">
      <c r="A189" s="58" t="s">
        <v>291</v>
      </c>
      <c r="B189" s="61">
        <v>745475.31653372501</v>
      </c>
    </row>
    <row r="190" spans="1:2" x14ac:dyDescent="0.3">
      <c r="A190" s="58" t="s">
        <v>292</v>
      </c>
      <c r="B190" s="61">
        <v>1313.2063369499999</v>
      </c>
    </row>
    <row r="191" spans="1:2" x14ac:dyDescent="0.3">
      <c r="A191" s="58" t="s">
        <v>293</v>
      </c>
      <c r="B191" s="61">
        <v>864.20333642999981</v>
      </c>
    </row>
    <row r="192" spans="1:2" x14ac:dyDescent="0.3">
      <c r="A192" s="58" t="s">
        <v>294</v>
      </c>
      <c r="B192" s="61">
        <v>2605.9006745199999</v>
      </c>
    </row>
    <row r="194" spans="1:2" x14ac:dyDescent="0.3">
      <c r="A194" s="23" t="s">
        <v>240</v>
      </c>
      <c r="B194" s="62" t="s">
        <v>241</v>
      </c>
    </row>
    <row r="195" spans="1:2" x14ac:dyDescent="0.3">
      <c r="A195" t="s">
        <v>295</v>
      </c>
      <c r="B195" s="63">
        <v>5895.9797374104</v>
      </c>
    </row>
    <row r="196" spans="1:2" x14ac:dyDescent="0.3">
      <c r="A196" t="s">
        <v>296</v>
      </c>
      <c r="B196" s="63">
        <v>2576.2094178333336</v>
      </c>
    </row>
    <row r="197" spans="1:2" x14ac:dyDescent="0.3">
      <c r="A197" t="s">
        <v>297</v>
      </c>
      <c r="B197" s="63">
        <v>4062.9965796000001</v>
      </c>
    </row>
    <row r="198" spans="1:2" x14ac:dyDescent="0.3">
      <c r="A198" t="s">
        <v>298</v>
      </c>
      <c r="B198" s="63">
        <v>4011.4789508640006</v>
      </c>
    </row>
    <row r="199" spans="1:2" x14ac:dyDescent="0.3">
      <c r="A199" t="s">
        <v>299</v>
      </c>
      <c r="B199" s="63">
        <v>2682.7232290992001</v>
      </c>
    </row>
    <row r="200" spans="1:2" x14ac:dyDescent="0.3">
      <c r="A200" t="s">
        <v>300</v>
      </c>
      <c r="B200" s="63">
        <v>2548.7495763313045</v>
      </c>
    </row>
    <row r="201" spans="1:2" x14ac:dyDescent="0.3">
      <c r="A201" t="s">
        <v>301</v>
      </c>
      <c r="B201" s="63">
        <v>3366.7024762240003</v>
      </c>
    </row>
    <row r="202" spans="1:2" x14ac:dyDescent="0.3">
      <c r="A202" t="s">
        <v>302</v>
      </c>
      <c r="B202" s="63">
        <v>3370.0393371360001</v>
      </c>
    </row>
    <row r="203" spans="1:2" x14ac:dyDescent="0.3">
      <c r="A203" t="s">
        <v>303</v>
      </c>
      <c r="B203" s="63">
        <v>3392.0923222031997</v>
      </c>
    </row>
    <row r="204" spans="1:2" x14ac:dyDescent="0.3">
      <c r="A204" t="s">
        <v>304</v>
      </c>
      <c r="B204" s="63">
        <v>3141.3860726075795</v>
      </c>
    </row>
    <row r="206" spans="1:2" x14ac:dyDescent="0.3">
      <c r="A206" s="23" t="s">
        <v>305</v>
      </c>
      <c r="B206" s="23" t="s">
        <v>201</v>
      </c>
    </row>
    <row r="207" spans="1:2" x14ac:dyDescent="0.3">
      <c r="A207" t="s">
        <v>306</v>
      </c>
      <c r="B207">
        <v>1.6E-2</v>
      </c>
    </row>
    <row r="208" spans="1:2" x14ac:dyDescent="0.3">
      <c r="A208" t="s">
        <v>307</v>
      </c>
      <c r="B208">
        <v>6.0000000000000001E-3</v>
      </c>
    </row>
    <row r="209" spans="1:5" x14ac:dyDescent="0.3">
      <c r="A209" t="s">
        <v>308</v>
      </c>
      <c r="B209" s="64">
        <v>0.01</v>
      </c>
    </row>
    <row r="210" spans="1:5" x14ac:dyDescent="0.3">
      <c r="A210" t="s">
        <v>309</v>
      </c>
      <c r="B210" s="64">
        <v>1.0999999999999999E-2</v>
      </c>
    </row>
    <row r="211" spans="1:5" x14ac:dyDescent="0.3">
      <c r="A211" t="s">
        <v>310</v>
      </c>
      <c r="B211" s="64">
        <v>5.7000000000000002E-2</v>
      </c>
    </row>
    <row r="212" spans="1:5" x14ac:dyDescent="0.3">
      <c r="A212" t="s">
        <v>311</v>
      </c>
      <c r="B212" s="64">
        <v>4.51</v>
      </c>
    </row>
    <row r="213" spans="1:5" x14ac:dyDescent="0.3">
      <c r="A213" t="s">
        <v>312</v>
      </c>
      <c r="B213" s="64">
        <v>1.45</v>
      </c>
    </row>
    <row r="214" spans="1:5" x14ac:dyDescent="0.3">
      <c r="A214" t="s">
        <v>313</v>
      </c>
      <c r="B214" s="64">
        <v>0.71</v>
      </c>
    </row>
    <row r="215" spans="1:5" x14ac:dyDescent="0.3">
      <c r="A215" s="65" t="s">
        <v>314</v>
      </c>
      <c r="B215" s="64">
        <v>6.0090000000000003</v>
      </c>
    </row>
    <row r="216" spans="1:5" x14ac:dyDescent="0.3">
      <c r="A216" s="65" t="s">
        <v>315</v>
      </c>
      <c r="B216" s="64">
        <v>8.9849999999999994</v>
      </c>
    </row>
    <row r="217" spans="1:5" x14ac:dyDescent="0.3">
      <c r="A217" s="65" t="s">
        <v>316</v>
      </c>
      <c r="B217" s="64">
        <v>25.134</v>
      </c>
    </row>
    <row r="218" spans="1:5" x14ac:dyDescent="0.3">
      <c r="A218" s="66" t="s">
        <v>317</v>
      </c>
      <c r="B218" s="64">
        <v>8.4779999999999998</v>
      </c>
    </row>
    <row r="219" spans="1:5" x14ac:dyDescent="0.3">
      <c r="A219" s="67"/>
    </row>
    <row r="220" spans="1:5" x14ac:dyDescent="0.3">
      <c r="A220" t="s">
        <v>318</v>
      </c>
      <c r="B220">
        <v>0.11</v>
      </c>
    </row>
    <row r="221" spans="1:5" x14ac:dyDescent="0.3">
      <c r="A221" t="s">
        <v>319</v>
      </c>
      <c r="B221">
        <v>0.21</v>
      </c>
    </row>
    <row r="222" spans="1:5" x14ac:dyDescent="0.3">
      <c r="A222" s="68" t="s">
        <v>320</v>
      </c>
      <c r="B222">
        <v>0.24</v>
      </c>
    </row>
    <row r="224" spans="1:5" x14ac:dyDescent="0.3">
      <c r="A224" s="23" t="s">
        <v>321</v>
      </c>
      <c r="B224" s="23" t="s">
        <v>322</v>
      </c>
      <c r="C224" s="23" t="s">
        <v>323</v>
      </c>
      <c r="D224" s="23" t="s">
        <v>324</v>
      </c>
      <c r="E224" s="23" t="s">
        <v>325</v>
      </c>
    </row>
    <row r="225" spans="1:5" x14ac:dyDescent="0.3">
      <c r="A225" t="s">
        <v>126</v>
      </c>
      <c r="B225" t="s">
        <v>326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131</v>
      </c>
      <c r="B226" t="s">
        <v>326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327</v>
      </c>
      <c r="B227" t="s">
        <v>326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130</v>
      </c>
      <c r="B228" t="s">
        <v>328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130</v>
      </c>
      <c r="B229" t="s">
        <v>329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330</v>
      </c>
      <c r="B230" t="s">
        <v>328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331</v>
      </c>
      <c r="B232">
        <v>265</v>
      </c>
    </row>
    <row r="235" spans="1:5" ht="15" customHeight="1" x14ac:dyDescent="0.3">
      <c r="A235" s="38"/>
      <c r="B235" s="38" t="s">
        <v>332</v>
      </c>
      <c r="C235" s="38"/>
      <c r="D235" s="38" t="s">
        <v>333</v>
      </c>
      <c r="E235" s="38"/>
    </row>
    <row r="236" spans="1:5" ht="15.6" x14ac:dyDescent="0.35">
      <c r="A236" s="38" t="s">
        <v>334</v>
      </c>
      <c r="B236" s="38" t="s">
        <v>335</v>
      </c>
      <c r="C236" s="38" t="s">
        <v>336</v>
      </c>
      <c r="D236" s="38" t="s">
        <v>335</v>
      </c>
      <c r="E236" s="38" t="s">
        <v>336</v>
      </c>
    </row>
    <row r="237" spans="1:5" x14ac:dyDescent="0.3">
      <c r="A237" s="38" t="s">
        <v>34</v>
      </c>
      <c r="B237" s="38">
        <v>0</v>
      </c>
      <c r="C237" s="38" t="s">
        <v>337</v>
      </c>
      <c r="D237" s="38">
        <v>0</v>
      </c>
      <c r="E237" s="38" t="s">
        <v>337</v>
      </c>
    </row>
    <row r="238" spans="1:5" x14ac:dyDescent="0.3">
      <c r="A238" s="38" t="s">
        <v>203</v>
      </c>
      <c r="B238" s="38">
        <v>0</v>
      </c>
      <c r="C238" s="38" t="s">
        <v>337</v>
      </c>
      <c r="D238" s="38">
        <v>0</v>
      </c>
      <c r="E238" s="38" t="s">
        <v>337</v>
      </c>
    </row>
    <row r="239" spans="1:5" x14ac:dyDescent="0.3">
      <c r="A239" s="38" t="s">
        <v>204</v>
      </c>
      <c r="B239" s="38">
        <v>5</v>
      </c>
      <c r="C239" s="38" t="s">
        <v>338</v>
      </c>
      <c r="D239" s="38">
        <v>9.9</v>
      </c>
      <c r="E239" s="38" t="s">
        <v>339</v>
      </c>
    </row>
    <row r="240" spans="1:5" x14ac:dyDescent="0.3">
      <c r="A240" s="38" t="s">
        <v>340</v>
      </c>
      <c r="B240" s="38">
        <v>16</v>
      </c>
      <c r="C240" s="38" t="s">
        <v>338</v>
      </c>
      <c r="D240" s="38">
        <v>14.3</v>
      </c>
      <c r="E240" s="38" t="s">
        <v>339</v>
      </c>
    </row>
    <row r="242" spans="1:3" ht="15" customHeight="1" x14ac:dyDescent="0.3">
      <c r="A242" s="38"/>
      <c r="B242" s="38" t="s">
        <v>332</v>
      </c>
      <c r="C242" s="38" t="s">
        <v>333</v>
      </c>
    </row>
    <row r="243" spans="1:3" ht="18.75" customHeight="1" x14ac:dyDescent="0.4">
      <c r="A243" s="38" t="s">
        <v>341</v>
      </c>
      <c r="B243" s="38" t="s">
        <v>342</v>
      </c>
      <c r="C243" s="38" t="s">
        <v>342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33</v>
      </c>
      <c r="B265" s="38" t="s">
        <v>343</v>
      </c>
      <c r="C265" s="38" t="s">
        <v>344</v>
      </c>
    </row>
    <row r="266" spans="1:3" x14ac:dyDescent="0.3">
      <c r="A266" s="38" t="s">
        <v>204</v>
      </c>
      <c r="B266" s="38">
        <v>34.299999999999997</v>
      </c>
      <c r="C266" s="38">
        <v>34</v>
      </c>
    </row>
    <row r="267" spans="1:3" x14ac:dyDescent="0.3">
      <c r="A267" s="38" t="s">
        <v>203</v>
      </c>
      <c r="B267" s="38">
        <v>49.5</v>
      </c>
      <c r="C267" s="38">
        <v>85</v>
      </c>
    </row>
    <row r="268" spans="1:3" x14ac:dyDescent="0.3">
      <c r="A268" s="38" t="s">
        <v>34</v>
      </c>
      <c r="B268" s="38">
        <v>43.1</v>
      </c>
      <c r="C268" s="38">
        <v>52</v>
      </c>
    </row>
    <row r="269" spans="1:3" x14ac:dyDescent="0.3">
      <c r="A269" s="38" t="s">
        <v>345</v>
      </c>
      <c r="B269" s="38" t="s">
        <v>346</v>
      </c>
      <c r="C269" s="38" t="s">
        <v>347</v>
      </c>
    </row>
    <row r="271" spans="1:3" ht="15" customHeight="1" x14ac:dyDescent="0.3">
      <c r="A271" s="38" t="s">
        <v>33</v>
      </c>
      <c r="B271" s="38" t="s">
        <v>348</v>
      </c>
      <c r="C271" s="38" t="s">
        <v>344</v>
      </c>
    </row>
    <row r="272" spans="1:3" x14ac:dyDescent="0.3">
      <c r="A272" s="38" t="s">
        <v>340</v>
      </c>
      <c r="B272" s="38">
        <v>41.5</v>
      </c>
      <c r="C272" s="38">
        <v>47</v>
      </c>
    </row>
    <row r="273" spans="1:3" x14ac:dyDescent="0.3">
      <c r="A273" s="38" t="s">
        <v>345</v>
      </c>
      <c r="B273" s="38" t="s">
        <v>346</v>
      </c>
      <c r="C273" s="38" t="s">
        <v>347</v>
      </c>
    </row>
    <row r="276" spans="1:3" x14ac:dyDescent="0.3">
      <c r="A276" s="38" t="s">
        <v>349</v>
      </c>
      <c r="B276" s="38">
        <v>0.49</v>
      </c>
    </row>
    <row r="278" spans="1:3" x14ac:dyDescent="0.3">
      <c r="A278" s="38" t="s">
        <v>350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B4159CBEF765479D5648E0661BABF4" ma:contentTypeVersion="18" ma:contentTypeDescription="Crée un document." ma:contentTypeScope="" ma:versionID="ebcef12f8b639a5f8ea410286cfc6539">
  <xsd:schema xmlns:xsd="http://www.w3.org/2001/XMLSchema" xmlns:xs="http://www.w3.org/2001/XMLSchema" xmlns:p="http://schemas.microsoft.com/office/2006/metadata/properties" xmlns:ns2="b5732ada-805d-4ab0-b73d-5e77a1a40638" xmlns:ns3="9c8870e7-89e8-4ebc-907b-475f2ac5e6be" targetNamespace="http://schemas.microsoft.com/office/2006/metadata/properties" ma:root="true" ma:fieldsID="da153a415d8d9017d4e12121f37c86f3" ns2:_="" ns3:_="">
    <xsd:import namespace="b5732ada-805d-4ab0-b73d-5e77a1a40638"/>
    <xsd:import namespace="9c8870e7-89e8-4ebc-907b-475f2ac5e6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32ada-805d-4ab0-b73d-5e77a1a406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5db6e2ee-0065-4d10-aad0-71d9c5eecb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870e7-89e8-4ebc-907b-475f2ac5e6b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c446e2-517a-4cb0-a416-217762c8416f}" ma:internalName="TaxCatchAll" ma:showField="CatchAllData" ma:web="9c8870e7-89e8-4ebc-907b-475f2ac5e6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8870e7-89e8-4ebc-907b-475f2ac5e6be" xsi:nil="true"/>
    <lcf76f155ced4ddcb4097134ff3c332f xmlns="b5732ada-805d-4ab0-b73d-5e77a1a4063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8BD337-78DD-44AB-BE8D-562F24F6F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732ada-805d-4ab0-b73d-5e77a1a40638"/>
    <ds:schemaRef ds:uri="9c8870e7-89e8-4ebc-907b-475f2ac5e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90C3C4-AF34-4FFF-9814-4F6558F00C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52FEDF-610D-43C0-B629-E742E18EBD42}">
  <ds:schemaRefs>
    <ds:schemaRef ds:uri="http://schemas.microsoft.com/office/2006/metadata/properties"/>
    <ds:schemaRef ds:uri="http://schemas.microsoft.com/office/infopath/2007/PartnerControls"/>
    <ds:schemaRef ds:uri="9c8870e7-89e8-4ebc-907b-475f2ac5e6be"/>
    <ds:schemaRef ds:uri="b5732ada-805d-4ab0-b73d-5e77a1a406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HENAFF Morgane</dc:creator>
  <cp:keywords/>
  <dc:description/>
  <cp:lastModifiedBy>Lucas Charpaud</cp:lastModifiedBy>
  <cp:revision/>
  <dcterms:created xsi:type="dcterms:W3CDTF">2020-09-28T09:31:11Z</dcterms:created>
  <dcterms:modified xsi:type="dcterms:W3CDTF">2025-05-23T09:17:47Z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0x01010093B4159CBEF765479D5648E0661BABF4</vt:lpwstr>
  </property>
  <property fmtid="{D5CDD505-2E9C-101B-9397-08002B2CF9AE}" pid="3" name="MediaServiceImageTags">
    <vt:lpwstr/>
  </property>
</Properties>
</file>