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lients\Chapeau de paille\Thibault DEVILLE\3 - Livrables\"/>
    </mc:Choice>
  </mc:AlternateContent>
  <xr:revisionPtr revIDLastSave="0" documentId="13_ncr:1_{87E6D480-D946-44A7-8FBC-A9458A6BD2BC}" xr6:coauthVersionLast="47" xr6:coauthVersionMax="47" xr10:uidLastSave="{00000000-0000-0000-0000-000000000000}"/>
  <bookViews>
    <workbookView xWindow="-110" yWindow="-110" windowWidth="19420" windowHeight="10300" firstSheet="2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D59" i="5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73" i="5" l="1"/>
  <c r="D76" i="5" s="1"/>
  <c r="D87" i="5" s="1"/>
  <c r="D46" i="5"/>
  <c r="D49" i="5" s="1"/>
  <c r="D60" i="5" s="1"/>
  <c r="E73" i="5"/>
  <c r="E76" i="5" s="1"/>
  <c r="E87" i="5" s="1"/>
  <c r="E46" i="5"/>
  <c r="E49" i="5" s="1"/>
  <c r="E60" i="5" s="1"/>
  <c r="D100" i="5"/>
  <c r="D103" i="5" s="1"/>
  <c r="D114" i="5" s="1"/>
  <c r="F73" i="5"/>
  <c r="F76" i="5" s="1"/>
  <c r="F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C73" i="5"/>
  <c r="C76" i="5" s="1"/>
  <c r="C87" i="5" s="1"/>
  <c r="I46" i="5"/>
  <c r="I49" i="5" s="1"/>
  <c r="I60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K46" i="5"/>
  <c r="K49" i="5" s="1"/>
  <c r="K60" i="5" s="1"/>
  <c r="I127" i="5"/>
  <c r="I130" i="5" s="1"/>
  <c r="I141" i="5" s="1"/>
  <c r="J100" i="5"/>
  <c r="J103" i="5" s="1"/>
  <c r="J114" i="5" s="1"/>
  <c r="L73" i="5"/>
  <c r="L76" i="5" s="1"/>
  <c r="L87" i="5" s="1"/>
  <c r="L46" i="5"/>
  <c r="L49" i="5" s="1"/>
  <c r="L60" i="5" s="1"/>
  <c r="J127" i="5"/>
  <c r="J130" i="5" s="1"/>
  <c r="J141" i="5" s="1"/>
  <c r="K100" i="5"/>
  <c r="K103" i="5" s="1"/>
  <c r="K114" i="5" s="1"/>
  <c r="K127" i="5"/>
  <c r="K130" i="5" s="1"/>
  <c r="K141" i="5" s="1"/>
  <c r="L100" i="5"/>
  <c r="L103" i="5" s="1"/>
  <c r="L114" i="5" s="1"/>
  <c r="L127" i="5"/>
  <c r="L130" i="5" s="1"/>
  <c r="L141" i="5" s="1"/>
  <c r="J19" i="5"/>
  <c r="J22" i="5" s="1"/>
  <c r="J33" i="5" s="1"/>
  <c r="D19" i="5"/>
  <c r="D22" i="5" s="1"/>
  <c r="D33" i="5" s="1"/>
  <c r="E19" i="5"/>
  <c r="E22" i="5" s="1"/>
  <c r="E33" i="5" s="1"/>
  <c r="I19" i="5"/>
  <c r="I22" i="5" s="1"/>
  <c r="I33" i="5" s="1"/>
  <c r="F19" i="5"/>
  <c r="F22" i="5" s="1"/>
  <c r="F33" i="5" s="1"/>
  <c r="G19" i="5"/>
  <c r="G22" i="5" s="1"/>
  <c r="G33" i="5" s="1"/>
  <c r="C19" i="5"/>
  <c r="K19" i="5"/>
  <c r="K22" i="5" s="1"/>
  <c r="K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<sst xmlns="http://schemas.openxmlformats.org/spreadsheetml/2006/main" count="886" uniqueCount="347">
  <si>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</si>
  <si>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</si>
  <si>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</si>
  <si>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</si>
  <si>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</si>
  <si>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</si>
  <si>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</si>
  <si>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</si>
  <si>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</si>
  <si>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</si>
  <si>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</si>
  <si>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</si>
  <si>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</si>
  <si>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</si>
  <si>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</si>
  <si>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</si>
  <si>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</si>
  <si>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</si>
  <si>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</si>
  <si>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</si>
  <si>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</si>
  <si>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</si>
  <si>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</si>
  <si>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</si>
  <si>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</si>
  <si>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</si>
  <si>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</si>
  <si>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</si>
  <si>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</si>
  <si>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</si>
  <si>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</si>
  <si>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</si>
  <si>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</si>
  <si>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</si>
  <si>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</si>
  <si>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</si>
  <si>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</si>
  <si>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</si>
  <si>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</si>
  <si>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</si>
  <si>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</si>
  <si>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</si>
  <si>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</si>
  <si>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</si>
  <si>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</si>
  <si>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</si>
  <si>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</si>
  <si>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</si>
  <si>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</si>
  <si>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</si>
  <si>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</si>
  <si>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</si>
  <si>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</si>
  <si>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</si>
  <si>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</si>
  <si>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</si>
  <si>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</si>
  <si>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</si>
  <si>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</si>
  <si>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</si>
  <si>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</si>
  <si>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</si>
  <si>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</si>
  <si>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</si>
  <si>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</si>
  <si>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</si>
  <si>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</si>
  <si>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</si>
  <si>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</si>
  <si>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</si>
  <si>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</si>
  <si>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</si>
  <si>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</si>
  <si>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</si>
  <si>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</si>
  <si>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</si>
  <si>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</si>
  <si>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</si>
  <si>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</si>
  <si>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</si>
  <si>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</si>
  <si>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</si>
  <si>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</si>
  <si>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</si>
  <si>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</si>
  <si>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</si>
  <si>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</si>
  <si>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</si>
  <si>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</si>
  <si>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</si>
  <si>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</si>
  <si>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</si>
  <si>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</si>
  <si>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</si>
  <si>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</si>
  <si>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</si>
  <si>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</si>
  <si>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</si>
  <si>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</si>
  <si>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</si>
  <si>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</si>
  <si>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</si>
  <si>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</si>
  <si>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</si>
  <si>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</si>
  <si>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</si>
  <si>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</si>
  <si>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</si>
  <si>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</si>
  <si>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</si>
  <si>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</si>
  <si>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</si>
  <si>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</si>
  <si>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</si>
  <si>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</si>
  <si>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</si>
  <si>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</si>
  <si>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</si>
  <si>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</si>
  <si>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</si>
  <si>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</si>
  <si>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</si>
  <si>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</si>
  <si>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</si>
  <si>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</si>
  <si>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</si>
  <si>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</si>
  <si>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</si>
  <si>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</si>
  <si>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</si>
  <si>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</si>
  <si>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</si>
  <si>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</si>
  <si>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</si>
  <si>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</si>
  <si>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</si>
  <si>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</si>
  <si>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</si>
  <si>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</si>
  <si>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</si>
  <si>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</si>
  <si>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</si>
  <si>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</si>
  <si>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</si>
  <si>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</si>
  <si>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</si>
  <si>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</si>
  <si>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</si>
  <si>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</si>
  <si>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</si>
  <si>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</si>
  <si>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</si>
  <si>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</si>
  <si>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</si>
  <si>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</si>
  <si>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</si>
  <si>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</si>
  <si>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</si>
  <si>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</si>
  <si>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</si>
  <si>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</si>
  <si>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</si>
  <si>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</si>
  <si>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</si>
  <si>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</si>
  <si>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</si>
  <si>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</si>
  <si>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</si>
  <si>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</si>
  <si>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</si>
  <si>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</si>
  <si>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</si>
  <si>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</si>
  <si>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</si>
  <si>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</si>
  <si>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</si>
  <si>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</si>
  <si>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</si>
  <si>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</si>
  <si>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</si>
  <si>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</si>
  <si>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</si>
  <si>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</si>
  <si>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</si>
  <si>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</si>
  <si>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</si>
  <si>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</si>
  <si>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</si>
  <si>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</si>
  <si>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</si>
  <si>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</si>
  <si>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</si>
  <si>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</si>
  <si>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</si>
  <si>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</si>
  <si>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</si>
  <si>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</si>
  <si>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</si>
  <si>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</si>
  <si>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</si>
  <si>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</si>
  <si>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</si>
  <si>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</si>
  <si>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</si>
  <si>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</si>
  <si>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</si>
  <si>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</si>
  <si>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</si>
  <si>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</si>
  <si>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</si>
  <si>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</si>
  <si>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</si>
  <si>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</si>
  <si>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</si>
  <si>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</si>
  <si>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</si>
  <si>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</si>
  <si>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</si>
  <si>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</si>
  <si>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</si>
  <si>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</si>
  <si>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</si>
  <si>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</si>
  <si>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</si>
  <si>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</si>
  <si>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</si>
  <si>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</si>
  <si>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</si>
  <si>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</si>
  <si>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</si>
  <si>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</si>
  <si>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</si>
  <si>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</si>
  <si>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</si>
  <si>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</si>
  <si>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</si>
  <si>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</si>
  <si>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</si>
  <si>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</si>
  <si>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</si>
  <si>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</si>
  <si>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</si>
  <si>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</si>
  <si>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</si>
  <si>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</si>
  <si>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</si>
  <si>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</si>
  <si>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</si>
  <si>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</si>
  <si>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</si>
  <si>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</si>
  <si>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</si>
  <si>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</si>
  <si>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</si>
  <si>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</si>
  <si>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</si>
  <si>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</si>
  <si>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</si>
  <si>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</si>
  <si>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</si>
  <si>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</si>
  <si>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</si>
  <si>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</si>
  <si>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</si>
  <si>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</si>
  <si>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</si>
  <si>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</si>
  <si>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</si>
  <si>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</si>
  <si>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</si>
  <si>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</si>
  <si>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</si>
  <si>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</si>
  <si>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</si>
  <si>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</si>
  <si>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</si>
  <si>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</si>
  <si>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</si>
  <si>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</si>
  <si>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</si>
  <si>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</si>
  <si>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</si>
  <si>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</si>
  <si>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</si>
  <si>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</si>
  <si>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</si>
  <si>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</si>
  <si>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</si>
  <si>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</si>
  <si>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</si>
  <si>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</si>
  <si>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</si>
  <si>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</si>
  <si>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</si>
  <si>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</si>
  <si>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</si>
  <si>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</si>
  <si>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</si>
  <si>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</si>
  <si>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</si>
  <si>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</si>
  <si>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</si>
  <si>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</si>
  <si>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</si>
  <si>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</si>
  <si>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</si>
  <si>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</si>
  <si>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</si>
  <si>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</si>
  <si>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</si>
  <si>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</si>
  <si>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</si>
  <si>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</si>
  <si>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</si>
  <si>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</si>
  <si>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</si>
  <si>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</si>
  <si>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</si>
  <si>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</si>
  <si>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</si>
  <si>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</si>
  <si>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</si>
  <si>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</si>
  <si>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</si>
  <si>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</si>
  <si>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</si>
  <si>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</si>
  <si>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</si>
  <si>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</si>
  <si>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</si>
  <si>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</si>
  <si>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</si>
  <si>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</si>
  <si>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</si>
  <si>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</si>
  <si>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</si>
  <si>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</si>
  <si>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</si>
  <si>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</si>
  <si>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</si>
  <si>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</si>
  <si>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</si>
  <si>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</si>
  <si>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</si>
  <si>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</si>
  <si>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</si>
  <si>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Muizon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</si>
</sst>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3" spans="2:16" ht="15" customHeight="1" x14ac:dyDescent="0.35">
      <c r="K3" s="89" t="s">
        <v>315</v>
      </c>
      <c r="L3" s="89"/>
      <c r="M3" s="89"/>
      <c r="N3" s="89"/>
      <c r="O3" s="89"/>
      <c r="P3" s="89"/>
    </row>
    <row r="4" spans="2:16" x14ac:dyDescent="0.35">
      <c r="K4" s="89"/>
      <c r="L4" s="89"/>
      <c r="M4" s="89"/>
      <c r="N4" s="89"/>
      <c r="O4" s="89"/>
      <c r="P4" s="89"/>
    </row>
    <row r="5" spans="2:16" x14ac:dyDescent="0.35">
      <c r="K5" s="89"/>
      <c r="L5" s="89"/>
      <c r="M5" s="89"/>
      <c r="N5" s="89"/>
      <c r="O5" s="89"/>
      <c r="P5" s="89"/>
    </row>
    <row r="7" spans="2:16" ht="15" customHeight="1" x14ac:dyDescent="0.35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5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5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5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5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5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5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5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5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5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5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5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5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5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5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5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5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5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5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5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5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5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5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53125" defaultRowHeight="14.5" x14ac:dyDescent="0.35"/>
  <cols>
    <col min="1" max="1" width="25" bestFit="1" customWidth="1"/>
    <col min="2" max="2" width="20.089843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107</v>
      </c>
    </row>
    <row r="38" spans="6:6" x14ac:dyDescent="0.35">
      <c r="F38" t="s">
        <v>108</v>
      </c>
    </row>
    <row r="39" spans="6:6" x14ac:dyDescent="0.35">
      <c r="F39" t="s">
        <v>109</v>
      </c>
    </row>
    <row r="40" spans="6:6" x14ac:dyDescent="0.35">
      <c r="F40" t="s">
        <v>110</v>
      </c>
    </row>
    <row r="41" spans="6:6" x14ac:dyDescent="0.35">
      <c r="F41" t="s">
        <v>111</v>
      </c>
    </row>
    <row r="42" spans="6:6" x14ac:dyDescent="0.35">
      <c r="F42" t="s">
        <v>112</v>
      </c>
    </row>
    <row r="43" spans="6:6" x14ac:dyDescent="0.35">
      <c r="F43" t="s">
        <v>113</v>
      </c>
    </row>
    <row r="44" spans="6:6" x14ac:dyDescent="0.35">
      <c r="F44" t="s">
        <v>114</v>
      </c>
    </row>
    <row r="45" spans="6:6" x14ac:dyDescent="0.35">
      <c r="F45" t="s">
        <v>115</v>
      </c>
    </row>
    <row r="46" spans="6:6" x14ac:dyDescent="0.35">
      <c r="F46" t="s">
        <v>116</v>
      </c>
    </row>
    <row r="47" spans="6:6" x14ac:dyDescent="0.35">
      <c r="F47" t="s">
        <v>117</v>
      </c>
    </row>
    <row r="48" spans="6:6" x14ac:dyDescent="0.35">
      <c r="F48" t="s">
        <v>118</v>
      </c>
    </row>
    <row r="49" spans="6:6" x14ac:dyDescent="0.35">
      <c r="F49" t="s">
        <v>119</v>
      </c>
    </row>
    <row r="50" spans="6:6" x14ac:dyDescent="0.35">
      <c r="F50" t="s">
        <v>120</v>
      </c>
    </row>
    <row r="51" spans="6:6" x14ac:dyDescent="0.35">
      <c r="F51" t="s">
        <v>121</v>
      </c>
    </row>
    <row r="52" spans="6:6" x14ac:dyDescent="0.35">
      <c r="F52" t="s">
        <v>122</v>
      </c>
    </row>
    <row r="53" spans="6:6" x14ac:dyDescent="0.35">
      <c r="F53" t="s">
        <v>123</v>
      </c>
    </row>
    <row r="54" spans="6:6" x14ac:dyDescent="0.35">
      <c r="F54" t="s">
        <v>124</v>
      </c>
    </row>
    <row r="55" spans="6:6" x14ac:dyDescent="0.35">
      <c r="F55" t="s">
        <v>125</v>
      </c>
    </row>
    <row r="56" spans="6:6" x14ac:dyDescent="0.35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7" zoomScale="70" zoomScaleNormal="70" workbookViewId="0">
      <selection activeCell="D21" sqref="D21"/>
    </sheetView>
  </sheetViews>
  <sheetFormatPr baseColWidth="10" defaultColWidth="11.453125" defaultRowHeight="14.5" x14ac:dyDescent="0.35"/>
  <cols>
    <col min="1" max="1" width="71.36328125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35">
      <c r="A2" s="102" t="s">
        <v>343</v>
      </c>
      <c r="B2" s="103"/>
      <c r="C2" s="31" t="s">
        <v>342</v>
      </c>
      <c r="D2"/>
      <c r="E2"/>
      <c r="F2"/>
      <c r="G2"/>
      <c r="H2"/>
      <c r="I2"/>
      <c r="J2"/>
      <c r="K2"/>
      <c r="AG2" s="2" t="s">
        <v>342</v>
      </c>
    </row>
    <row r="3" spans="1:52" x14ac:dyDescent="0.35">
      <c r="A3" s="2"/>
      <c r="AG3" s="2" t="s">
        <v>341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313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287</v>
      </c>
      <c r="B10" s="69" t="s">
        <v>134</v>
      </c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291</v>
      </c>
      <c r="B12" s="1">
        <v>2400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0.66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295</v>
      </c>
      <c r="B17" s="1" t="s">
        <v>111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296</v>
      </c>
      <c r="B18" s="1" t="s">
        <v>122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297</v>
      </c>
      <c r="B19" s="1" t="s">
        <v>122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v>5.5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v>6.5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5" hidden="1" x14ac:dyDescent="0.3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8" hidden="1" x14ac:dyDescent="0.3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306</v>
      </c>
      <c r="B36" s="44">
        <f>RECant_sol!C9</f>
        <v>5.3826666666666663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5.3826666666666663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307</v>
      </c>
      <c r="B37" s="45">
        <f>RECant_biom!C28</f>
        <v>41.01428571428572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41.01428571428572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227</v>
      </c>
      <c r="B38" s="45">
        <f t="shared" ref="B38:K38" si="3">IF(B36="","",B36+B37)</f>
        <v>46.396952380952385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46.396952380952385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46.6328125" customWidth="1"/>
  </cols>
  <sheetData>
    <row r="2" spans="1:14" ht="14.25" customHeight="1" x14ac:dyDescent="0.35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20.083846658106999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20.083846658106999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BDD_REF'!$A$194:$B$203,2,FALSE)/1000)</f>
        <v>3.3667024762240003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3.3667024762240003</v>
      </c>
      <c r="M6" s="2"/>
      <c r="N6" s="2"/>
    </row>
    <row r="7" spans="1:14" x14ac:dyDescent="0.35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-83.585720909415002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-83.585720909415002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1" zoomScale="70" zoomScaleNormal="70" workbookViewId="0">
      <selection activeCell="B2" sqref="B2:M2"/>
    </sheetView>
  </sheetViews>
  <sheetFormatPr baseColWidth="10" defaultColWidth="11.453125" defaultRowHeight="14.5" x14ac:dyDescent="0.35"/>
  <cols>
    <col min="1" max="1" width="12.453125" style="17" customWidth="1"/>
    <col min="2" max="2" width="53.9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5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20.083846658106999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20.083846658106999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5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332</v>
      </c>
      <c r="C10" s="39">
        <f>C7*'(ne pas modifier) BDD_REF'!$B$206 + (C8+C9)*'(ne pas modifier) BDD_REF'!$B$207</f>
        <v>0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</v>
      </c>
    </row>
    <row r="11" spans="1:15" x14ac:dyDescent="0.35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</v>
      </c>
    </row>
    <row r="12" spans="1:15" x14ac:dyDescent="0.35">
      <c r="B12" s="19" t="s">
        <v>334</v>
      </c>
      <c r="C12" s="39">
        <f>(C7+C8+C9)*'(ne pas modifier) BDD_REF'!$B$221*'(ne pas modifier) BDD_REF'!$B$209</f>
        <v>0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</v>
      </c>
    </row>
    <row r="13" spans="1:15" x14ac:dyDescent="0.35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320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5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</v>
      </c>
    </row>
    <row r="20" spans="1:108" x14ac:dyDescent="0.35">
      <c r="B20" s="7" t="s">
        <v>325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5">
      <c r="B21" s="3" t="s">
        <v>185</v>
      </c>
      <c r="C21" s="39">
        <f>(C20*'(ne pas modifier) BDD_REF'!$B$210)/1000</f>
        <v>0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0</v>
      </c>
    </row>
    <row r="22" spans="1:108" s="16" customFormat="1" x14ac:dyDescent="0.35">
      <c r="A22" s="18"/>
      <c r="B22" s="19" t="s">
        <v>186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326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5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5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</v>
      </c>
    </row>
    <row r="26" spans="1:108" hidden="1" x14ac:dyDescent="0.35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5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5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5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35">
      <c r="A32" s="18"/>
      <c r="B32" s="19" t="s">
        <v>187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145</v>
      </c>
      <c r="C33" s="20">
        <f>((C10+C11+C12)/1000*44/28*'(ne pas modifier) BDD_REF'!$B$231)+'RECeff + REIamont (2)'!C22+'RECeff + REIamont (2)'!C32</f>
        <v>0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5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332</v>
      </c>
      <c r="C37" s="39">
        <f>C34*'(ne pas modifier) BDD_REF'!$B$206 + (C35+C36)*'(ne pas modifier) BDD_REF'!$B$207</f>
        <v>0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</v>
      </c>
    </row>
    <row r="38" spans="1:108" x14ac:dyDescent="0.35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</v>
      </c>
    </row>
    <row r="39" spans="1:108" x14ac:dyDescent="0.35">
      <c r="B39" s="19" t="s">
        <v>334</v>
      </c>
      <c r="C39" s="39">
        <f>(C34+C35+C36)*'(ne pas modifier) BDD_REF'!$B$221*'(ne pas modifier) BDD_REF'!$B$209</f>
        <v>0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</v>
      </c>
    </row>
    <row r="40" spans="1:108" x14ac:dyDescent="0.35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320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5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</v>
      </c>
    </row>
    <row r="47" spans="1:108" x14ac:dyDescent="0.35">
      <c r="B47" s="7" t="s">
        <v>325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5">
      <c r="B48" s="3" t="s">
        <v>185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</v>
      </c>
    </row>
    <row r="49" spans="1:108" s="16" customFormat="1" x14ac:dyDescent="0.35">
      <c r="A49" s="18"/>
      <c r="B49" s="19" t="s">
        <v>186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5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5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</v>
      </c>
    </row>
    <row r="53" spans="1:108" hidden="1" x14ac:dyDescent="0.35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5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5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5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x14ac:dyDescent="0.35">
      <c r="A59" s="18"/>
      <c r="B59" s="19" t="s">
        <v>187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145</v>
      </c>
      <c r="C60" s="20">
        <f>((C37+C38+C39)/1000*44/28*'(ne pas modifier) BDD_REF'!$B$231)+'RECeff + REIamont (2)'!C49+'RECeff + REIamont (2)'!C59</f>
        <v>0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5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332</v>
      </c>
      <c r="C64" s="39">
        <f>C61*'(ne pas modifier) BDD_REF'!$B$206 + (C62+C63)*'(ne pas modifier) BDD_REF'!$B$207</f>
        <v>0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</v>
      </c>
    </row>
    <row r="65" spans="1:108" x14ac:dyDescent="0.35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</v>
      </c>
    </row>
    <row r="66" spans="1:108" x14ac:dyDescent="0.35">
      <c r="B66" s="19" t="s">
        <v>334</v>
      </c>
      <c r="C66" s="39">
        <f>(C61+C62+C63)*'(ne pas modifier) BDD_REF'!$B$221*'(ne pas modifier) BDD_REF'!$B$209</f>
        <v>0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</v>
      </c>
    </row>
    <row r="67" spans="1:108" x14ac:dyDescent="0.35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320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5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</v>
      </c>
    </row>
    <row r="74" spans="1:108" x14ac:dyDescent="0.35">
      <c r="B74" s="7" t="s">
        <v>325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5">
      <c r="B75" s="3" t="s">
        <v>185</v>
      </c>
      <c r="C75" s="39">
        <f>(C74*'(ne pas modifier) BDD_REF'!$B$210)/1000</f>
        <v>0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0</v>
      </c>
    </row>
    <row r="76" spans="1:108" s="16" customFormat="1" x14ac:dyDescent="0.35">
      <c r="A76" s="18"/>
      <c r="B76" s="19" t="s">
        <v>186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326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5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5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</v>
      </c>
    </row>
    <row r="80" spans="1:108" hidden="1" x14ac:dyDescent="0.35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5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5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5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x14ac:dyDescent="0.35">
      <c r="A86" s="18"/>
      <c r="B86" s="19" t="s">
        <v>187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145</v>
      </c>
      <c r="C87" s="20">
        <f>((C64+C65+C66)/1000*44/28*'(ne pas modifier) BDD_REF'!$B$231)+'RECeff + REIamont (2)'!C76+'RECeff + REIamont (2)'!C86</f>
        <v>0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5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5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332</v>
      </c>
      <c r="C91" s="39">
        <f>C88*'(ne pas modifier) BDD_REF'!$B$206 + (C89+C90)*'(ne pas modifier) BDD_REF'!$B$207</f>
        <v>0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</v>
      </c>
    </row>
    <row r="92" spans="1:108" x14ac:dyDescent="0.35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</v>
      </c>
    </row>
    <row r="93" spans="1:108" x14ac:dyDescent="0.35">
      <c r="B93" s="19" t="s">
        <v>334</v>
      </c>
      <c r="C93" s="39">
        <f>(C88+C89+C90)*'(ne pas modifier) BDD_REF'!$B$221*'(ne pas modifier) BDD_REF'!$B$209</f>
        <v>0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</v>
      </c>
    </row>
    <row r="94" spans="1:108" x14ac:dyDescent="0.35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320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5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</v>
      </c>
    </row>
    <row r="101" spans="1:108" x14ac:dyDescent="0.35">
      <c r="B101" s="7" t="s">
        <v>325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5">
      <c r="B102" s="3" t="s">
        <v>185</v>
      </c>
      <c r="C102" s="39">
        <f>(C101*'(ne pas modifier) BDD_REF'!$B$210)/1000</f>
        <v>0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0</v>
      </c>
    </row>
    <row r="103" spans="1:108" s="16" customFormat="1" x14ac:dyDescent="0.35">
      <c r="A103" s="18"/>
      <c r="B103" s="19" t="s">
        <v>186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5">
      <c r="B105" s="7" t="s">
        <v>327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5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</v>
      </c>
    </row>
    <row r="107" spans="1:108" hidden="1" x14ac:dyDescent="0.35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5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5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5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x14ac:dyDescent="0.35">
      <c r="A113" s="18"/>
      <c r="B113" s="19" t="s">
        <v>187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145</v>
      </c>
      <c r="C114" s="20">
        <f>((C91+C92+C93)/1000*44/28*'(ne pas modifier) BDD_REF'!$B$231)+'RECeff + REIamont (2)'!C103+'RECeff + REIamont (2)'!C113</f>
        <v>0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5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332</v>
      </c>
      <c r="C118" s="39">
        <f>C115*'(ne pas modifier) BDD_REF'!$B$206 + (C116+C117)*'(ne pas modifier) BDD_REF'!$B$207</f>
        <v>0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</v>
      </c>
    </row>
    <row r="119" spans="1:108" x14ac:dyDescent="0.35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</v>
      </c>
    </row>
    <row r="120" spans="1:108" x14ac:dyDescent="0.35">
      <c r="B120" s="19" t="s">
        <v>334</v>
      </c>
      <c r="C120" s="39">
        <f>(C115+C116+C117)*'(ne pas modifier) BDD_REF'!$B$221*'(ne pas modifier) BDD_REF'!$B$209</f>
        <v>0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</v>
      </c>
    </row>
    <row r="121" spans="1:108" x14ac:dyDescent="0.35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320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5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</v>
      </c>
    </row>
    <row r="128" spans="1:108" x14ac:dyDescent="0.35">
      <c r="B128" s="7" t="s">
        <v>325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5">
      <c r="B129" s="3" t="s">
        <v>185</v>
      </c>
      <c r="C129" s="39">
        <f>(C128*'(ne pas modifier) BDD_REF'!$B$210)/1000</f>
        <v>0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0</v>
      </c>
    </row>
    <row r="130" spans="1:108" s="16" customFormat="1" x14ac:dyDescent="0.35">
      <c r="A130" s="18"/>
      <c r="B130" s="19" t="s">
        <v>186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326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5">
      <c r="B132" s="7" t="s">
        <v>327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5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</v>
      </c>
    </row>
    <row r="134" spans="1:108" hidden="1" x14ac:dyDescent="0.35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5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5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5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x14ac:dyDescent="0.35">
      <c r="A140" s="18"/>
      <c r="B140" s="19" t="s">
        <v>187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145</v>
      </c>
      <c r="C141" s="20">
        <f>((C118+C119+C120)/1000*44/28*'(ne pas modifier) BDD_REF'!$B$231)+'RECeff + REIamont (2)'!C130+'RECeff + REIamont (2)'!C140</f>
        <v>0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190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35">
      <c r="B143" s="71" t="s">
        <v>223</v>
      </c>
      <c r="C143" s="71">
        <f>(C142-C5*5)</f>
        <v>-100.419233290535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189</v>
      </c>
      <c r="C144" s="21">
        <f>C143*Eligibilité_projet!B8</f>
        <v>-100.419233290535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-100.419233290535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53125" defaultRowHeight="14.5" x14ac:dyDescent="0.35"/>
  <cols>
    <col min="1" max="1" width="32.54296875" customWidth="1"/>
    <col min="2" max="2" width="71.6328125" style="34" customWidth="1"/>
    <col min="3" max="12" width="13.6328125" style="2" customWidth="1"/>
    <col min="13" max="13" width="13.6328125" customWidth="1"/>
    <col min="14" max="16384" width="11.453125" style="2"/>
  </cols>
  <sheetData>
    <row r="2" spans="1:16" ht="30" customHeight="1" x14ac:dyDescent="0.35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5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5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5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5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5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5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5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5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5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5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5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5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5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5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5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5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5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5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5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5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5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5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5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5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5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5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5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5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5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260</v>
      </c>
      <c r="C51" s="37" t="s">
        <v>259</v>
      </c>
      <c r="M51" s="2"/>
    </row>
    <row r="52" spans="1:13" ht="29" x14ac:dyDescent="0.35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5">
      <c r="B53" s="36" t="s">
        <v>240</v>
      </c>
      <c r="C53" s="38">
        <f>0.325/1000</f>
        <v>3.2499999999999999E-4</v>
      </c>
      <c r="M53" s="2"/>
    </row>
    <row r="54" spans="1:13" x14ac:dyDescent="0.35">
      <c r="B54" s="36" t="s">
        <v>256</v>
      </c>
      <c r="C54" s="38">
        <f>0.335/1000</f>
        <v>3.3500000000000001E-4</v>
      </c>
      <c r="M54" s="2"/>
    </row>
    <row r="55" spans="1:13" x14ac:dyDescent="0.35">
      <c r="B55" s="36" t="s">
        <v>257</v>
      </c>
      <c r="C55" s="38">
        <f>0.282/1000</f>
        <v>2.8199999999999997E-4</v>
      </c>
      <c r="M55" s="2"/>
    </row>
    <row r="56" spans="1:13" ht="29" x14ac:dyDescent="0.35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5">
      <c r="B57" s="36" t="s">
        <v>263</v>
      </c>
      <c r="C57" s="36">
        <f>0.313/1000</f>
        <v>3.1300000000000002E-4</v>
      </c>
      <c r="M57" s="2"/>
    </row>
    <row r="58" spans="1:13" x14ac:dyDescent="0.35">
      <c r="B58" s="36" t="s">
        <v>264</v>
      </c>
      <c r="C58" s="36">
        <f>0.319/1000</f>
        <v>3.19E-4</v>
      </c>
      <c r="M58" s="2"/>
    </row>
    <row r="59" spans="1:13" x14ac:dyDescent="0.35">
      <c r="B59" s="36" t="s">
        <v>265</v>
      </c>
      <c r="C59" s="36">
        <f>0.306/1000</f>
        <v>3.0600000000000001E-4</v>
      </c>
      <c r="M59" s="2"/>
    </row>
    <row r="60" spans="1:13" x14ac:dyDescent="0.35">
      <c r="B60" s="36" t="s">
        <v>266</v>
      </c>
      <c r="C60" s="36">
        <f>0.174/1000</f>
        <v>1.74E-4</v>
      </c>
      <c r="M60" s="2"/>
    </row>
    <row r="61" spans="1:13" x14ac:dyDescent="0.35">
      <c r="B61" s="36" t="s">
        <v>267</v>
      </c>
      <c r="C61" s="36">
        <f>0.273/1000</f>
        <v>2.7300000000000002E-4</v>
      </c>
      <c r="M61" s="2"/>
    </row>
    <row r="62" spans="1:13" x14ac:dyDescent="0.35">
      <c r="B62" s="36" t="s">
        <v>244</v>
      </c>
      <c r="C62" s="36">
        <f>0.272/1000</f>
        <v>2.72E-4</v>
      </c>
      <c r="M62" s="2"/>
    </row>
    <row r="63" spans="1:13" x14ac:dyDescent="0.35">
      <c r="B63" s="36" t="s">
        <v>268</v>
      </c>
      <c r="C63" s="36">
        <f>0.311/1000</f>
        <v>3.1100000000000002E-4</v>
      </c>
      <c r="M63" s="2"/>
    </row>
    <row r="64" spans="1:13" x14ac:dyDescent="0.35">
      <c r="B64" s="36" t="s">
        <v>269</v>
      </c>
      <c r="C64" s="36">
        <f>0.132/1000</f>
        <v>1.3200000000000001E-4</v>
      </c>
      <c r="M64" s="2"/>
    </row>
    <row r="65" spans="1:13" x14ac:dyDescent="0.35">
      <c r="B65" s="36" t="s">
        <v>270</v>
      </c>
      <c r="C65" s="36">
        <f>0.238/1000</f>
        <v>2.3799999999999998E-4</v>
      </c>
      <c r="M65" s="2"/>
    </row>
    <row r="66" spans="1:13" x14ac:dyDescent="0.35">
      <c r="B66" s="36" t="s">
        <v>271</v>
      </c>
      <c r="C66" s="36">
        <f>0.23/1000</f>
        <v>2.3000000000000001E-4</v>
      </c>
      <c r="M66" s="2"/>
    </row>
    <row r="67" spans="1:13" ht="43.5" x14ac:dyDescent="0.35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5">
      <c r="B68" s="36" t="s">
        <v>274</v>
      </c>
      <c r="C68" s="36">
        <f>0.331/1000</f>
        <v>3.3100000000000002E-4</v>
      </c>
      <c r="M68" s="2"/>
    </row>
    <row r="69" spans="1:13" x14ac:dyDescent="0.35">
      <c r="B69" s="36" t="s">
        <v>275</v>
      </c>
      <c r="C69" s="36">
        <f>0.331/1000</f>
        <v>3.3100000000000002E-4</v>
      </c>
      <c r="M69" s="2"/>
    </row>
    <row r="70" spans="1:13" ht="29" x14ac:dyDescent="0.35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5">
      <c r="B71" s="36" t="s">
        <v>278</v>
      </c>
      <c r="C71" s="36">
        <f>0.308/1000</f>
        <v>3.0800000000000001E-4</v>
      </c>
      <c r="M71" s="2"/>
    </row>
    <row r="72" spans="1:13" x14ac:dyDescent="0.35">
      <c r="B72" s="36" t="s">
        <v>279</v>
      </c>
      <c r="C72" s="36">
        <f>0.313/1000</f>
        <v>3.1300000000000002E-4</v>
      </c>
      <c r="M72" s="2"/>
    </row>
    <row r="73" spans="1:13" ht="29" x14ac:dyDescent="0.35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9" x14ac:dyDescent="0.35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5">
      <c r="B75" s="36" t="s">
        <v>284</v>
      </c>
      <c r="C75" s="36">
        <f>0.244/1000</f>
        <v>2.4399999999999999E-4</v>
      </c>
      <c r="M75" s="2"/>
    </row>
    <row r="76" spans="1:13" ht="29" x14ac:dyDescent="0.35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228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5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5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5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5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5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5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5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5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5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5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5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5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5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5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5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5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5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5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5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5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5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9" x14ac:dyDescent="0.35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5">
      <c r="B28" s="21" t="s">
        <v>300</v>
      </c>
      <c r="C28" s="24">
        <f>((C25/C27)-C26)*Eligibilité_projet!B8*44/12</f>
        <v>41.01428571428572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41.01428571428572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53125" defaultRowHeight="14.5" x14ac:dyDescent="0.35"/>
  <cols>
    <col min="1" max="1" width="8.54296875" customWidth="1"/>
    <col min="2" max="2" width="33.6328125" customWidth="1"/>
    <col min="3" max="3" width="12.36328125" bestFit="1" customWidth="1"/>
  </cols>
  <sheetData>
    <row r="2" spans="1:16" x14ac:dyDescent="0.35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5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5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5">
      <c r="B7" s="7" t="s">
        <v>309</v>
      </c>
      <c r="C7" s="22">
        <f>Eligibilité_projet!B15</f>
        <v>0.66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0.66</v>
      </c>
      <c r="N7" s="2"/>
      <c r="O7" s="2"/>
      <c r="P7" s="2"/>
    </row>
    <row r="8" spans="1:16" ht="29" x14ac:dyDescent="0.35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5">
      <c r="B9" s="21" t="s">
        <v>302</v>
      </c>
      <c r="C9" s="21">
        <f>((C6-C5)+('(ne pas modifier) BDD_REF'!$B$275*C7*C8))*Eligibilité_projet!B8*44/12</f>
        <v>5.3826666666666663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5.3826666666666663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topLeftCell="A2" zoomScale="80" zoomScaleNormal="80" workbookViewId="0">
      <selection activeCell="C10" sqref="C10"/>
    </sheetView>
  </sheetViews>
  <sheetFormatPr baseColWidth="10" defaultColWidth="11.453125" defaultRowHeight="14.5" x14ac:dyDescent="0.35"/>
  <cols>
    <col min="1" max="1" width="21.9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07" t="s">
        <v>337</v>
      </c>
      <c r="C2" s="109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0" t="s">
        <v>142</v>
      </c>
      <c r="C4" s="111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308</v>
      </c>
      <c r="B6" s="3" t="s">
        <v>303</v>
      </c>
      <c r="C6" s="15">
        <f>IF(Eligibilité_projet!C2="NON","/",'RECeff + REIamont (1)'!L7)</f>
        <v>-83.585720909415002</v>
      </c>
      <c r="D6" s="2"/>
      <c r="E6" s="2"/>
      <c r="F6" s="2"/>
    </row>
    <row r="7" spans="1:6" x14ac:dyDescent="0.35">
      <c r="A7" s="41" t="s">
        <v>144</v>
      </c>
      <c r="B7" s="3" t="s">
        <v>303</v>
      </c>
      <c r="C7" s="15" t="str">
        <f>IF(Eligibilité_projet!C2="OUI","/",'RECeff + REIamont (2)'!M144)</f>
        <v>/</v>
      </c>
      <c r="D7" s="2"/>
      <c r="E7" s="2"/>
      <c r="F7" s="2"/>
    </row>
    <row r="8" spans="1:6" x14ac:dyDescent="0.35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304</v>
      </c>
      <c r="C9" s="15">
        <f>RECant_biom!M28</f>
        <v>41.01428571428572</v>
      </c>
      <c r="D9" s="2"/>
      <c r="E9" s="2"/>
      <c r="F9" s="2"/>
    </row>
    <row r="10" spans="1:6" x14ac:dyDescent="0.35">
      <c r="A10" s="2"/>
      <c r="B10" s="3" t="s">
        <v>302</v>
      </c>
      <c r="C10" s="15">
        <f>RECant_sol!M9</f>
        <v>5.3826666666666663</v>
      </c>
      <c r="D10" s="2"/>
      <c r="E10" s="2"/>
      <c r="F10" s="2"/>
    </row>
    <row r="11" spans="1:6" x14ac:dyDescent="0.35">
      <c r="A11" s="2"/>
      <c r="B11" s="19" t="s">
        <v>305</v>
      </c>
      <c r="C11" s="42">
        <f>SUM(IF(Eligibilité_projet!C2="OUI",-C6,-C7),-C8,C10,C9)</f>
        <v>129.98267329036739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0" t="s">
        <v>143</v>
      </c>
      <c r="C13" s="111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303</v>
      </c>
      <c r="C15" s="15">
        <f>IF(Eligibilité_projet!C2="OUI",C6*(1-0.15),C7)</f>
        <v>-71.047862773002748</v>
      </c>
      <c r="D15" s="2"/>
      <c r="E15" s="2"/>
      <c r="F15" s="2"/>
    </row>
    <row r="16" spans="1:6" x14ac:dyDescent="0.35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5">
      <c r="A17" s="2"/>
      <c r="B17" s="3" t="s">
        <v>304</v>
      </c>
      <c r="C17" s="15">
        <f>C9*(1-0.1)</f>
        <v>36.912857142857149</v>
      </c>
      <c r="D17" s="2"/>
      <c r="E17" s="2"/>
      <c r="F17" s="2"/>
    </row>
    <row r="18" spans="1:6" x14ac:dyDescent="0.35">
      <c r="A18" s="2"/>
      <c r="B18" s="3" t="s">
        <v>302</v>
      </c>
      <c r="C18" s="15">
        <f>RE!C10</f>
        <v>5.3826666666666663</v>
      </c>
      <c r="D18" s="2"/>
      <c r="E18" s="2"/>
      <c r="F18" s="2"/>
    </row>
    <row r="19" spans="1:6" x14ac:dyDescent="0.35">
      <c r="A19" s="2"/>
      <c r="B19" s="19" t="s">
        <v>305</v>
      </c>
      <c r="C19" s="42">
        <f>SUM(-C15,-C16,((C17+C18)*(0.9)))</f>
        <v>109.11383420157418</v>
      </c>
      <c r="D19" s="2"/>
      <c r="E19" s="2"/>
      <c r="F19" s="2"/>
    </row>
    <row r="20" spans="1:6" x14ac:dyDescent="0.35">
      <c r="A20" s="2"/>
      <c r="B20" s="2"/>
    </row>
    <row r="22" spans="1:6" s="34" customFormat="1" hidden="1" x14ac:dyDescent="0.35"/>
    <row r="23" spans="1:6" s="34" customFormat="1" hidden="1" x14ac:dyDescent="0.35"/>
    <row r="24" spans="1:6" s="34" customFormat="1" x14ac:dyDescent="0.3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53125" defaultRowHeight="14.5" x14ac:dyDescent="0.35"/>
  <cols>
    <col min="1" max="1" width="72.90625" customWidth="1"/>
    <col min="2" max="2" width="41" customWidth="1"/>
    <col min="3" max="3" width="44.6328125" customWidth="1"/>
    <col min="4" max="4" width="28.54296875" customWidth="1"/>
    <col min="5" max="5" width="24.54296875" customWidth="1"/>
    <col min="6" max="6" width="28.90625" customWidth="1"/>
    <col min="7" max="7" width="22.36328125" customWidth="1"/>
    <col min="8" max="8" width="19.08984375" customWidth="1"/>
    <col min="9" max="9" width="21.90625" customWidth="1"/>
    <col min="10" max="10" width="19.453125" customWidth="1"/>
    <col min="11" max="11" width="25.089843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2" t="s">
        <v>5</v>
      </c>
      <c r="C44" s="113"/>
      <c r="D44" s="114"/>
      <c r="E44" s="112" t="s">
        <v>69</v>
      </c>
      <c r="F44" s="113"/>
      <c r="G44" s="114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107</v>
      </c>
      <c r="B172" s="61">
        <v>2724.2246671013995</v>
      </c>
    </row>
    <row r="173" spans="1:2" x14ac:dyDescent="0.35">
      <c r="A173" s="58" t="s">
        <v>108</v>
      </c>
      <c r="B173" s="61">
        <v>2678.1548398122004</v>
      </c>
    </row>
    <row r="174" spans="1:2" x14ac:dyDescent="0.35">
      <c r="A174" s="58" t="s">
        <v>109</v>
      </c>
      <c r="B174" s="61">
        <v>925.39090928000007</v>
      </c>
    </row>
    <row r="175" spans="1:2" x14ac:dyDescent="0.35">
      <c r="A175" s="58" t="s">
        <v>110</v>
      </c>
      <c r="B175" s="61">
        <v>832.84025582999993</v>
      </c>
    </row>
    <row r="176" spans="1:2" x14ac:dyDescent="0.35">
      <c r="A176" s="58" t="s">
        <v>111</v>
      </c>
      <c r="B176" s="61">
        <v>3847.6402921410004</v>
      </c>
    </row>
    <row r="177" spans="1:2" x14ac:dyDescent="0.35">
      <c r="A177" s="58" t="s">
        <v>112</v>
      </c>
      <c r="B177" s="61">
        <v>3849.2868810089999</v>
      </c>
    </row>
    <row r="178" spans="1:2" x14ac:dyDescent="0.35">
      <c r="A178" s="58" t="s">
        <v>113</v>
      </c>
      <c r="B178" s="61">
        <v>3453.8088875220001</v>
      </c>
    </row>
    <row r="179" spans="1:2" x14ac:dyDescent="0.35">
      <c r="A179" s="58" t="s">
        <v>114</v>
      </c>
      <c r="B179" s="61">
        <v>3391.1981881470001</v>
      </c>
    </row>
    <row r="180" spans="1:2" x14ac:dyDescent="0.35">
      <c r="A180" s="58" t="s">
        <v>115</v>
      </c>
      <c r="B180" s="61">
        <v>3759.2860042549196</v>
      </c>
    </row>
    <row r="181" spans="1:2" x14ac:dyDescent="0.35">
      <c r="A181" s="58" t="s">
        <v>116</v>
      </c>
      <c r="B181" s="61">
        <v>2658.9292517203125</v>
      </c>
    </row>
    <row r="182" spans="1:2" x14ac:dyDescent="0.35">
      <c r="A182" s="58" t="s">
        <v>117</v>
      </c>
      <c r="B182" s="61">
        <v>4303.8993272226562</v>
      </c>
    </row>
    <row r="183" spans="1:2" x14ac:dyDescent="0.35">
      <c r="A183" s="58" t="s">
        <v>118</v>
      </c>
      <c r="B183" s="61">
        <v>4054.8428879156254</v>
      </c>
    </row>
    <row r="184" spans="1:2" x14ac:dyDescent="0.35">
      <c r="A184" s="58" t="s">
        <v>119</v>
      </c>
      <c r="B184" s="61">
        <v>3165.3350675625002</v>
      </c>
    </row>
    <row r="185" spans="1:2" x14ac:dyDescent="0.35">
      <c r="A185" s="58" t="s">
        <v>120</v>
      </c>
      <c r="B185" s="61">
        <v>21727.520374600001</v>
      </c>
    </row>
    <row r="186" spans="1:2" x14ac:dyDescent="0.35">
      <c r="A186" s="58" t="s">
        <v>121</v>
      </c>
      <c r="B186" s="61">
        <v>763729.18826415588</v>
      </c>
    </row>
    <row r="187" spans="1:2" x14ac:dyDescent="0.35">
      <c r="A187" s="58" t="s">
        <v>122</v>
      </c>
      <c r="B187" s="61">
        <v>28201.949841089998</v>
      </c>
    </row>
    <row r="188" spans="1:2" x14ac:dyDescent="0.35">
      <c r="A188" s="58" t="s">
        <v>123</v>
      </c>
      <c r="B188" s="61">
        <v>745475.31653372501</v>
      </c>
    </row>
    <row r="189" spans="1:2" x14ac:dyDescent="0.35">
      <c r="A189" s="58" t="s">
        <v>124</v>
      </c>
      <c r="B189" s="61">
        <v>1313.2063369499999</v>
      </c>
    </row>
    <row r="190" spans="1:2" x14ac:dyDescent="0.35">
      <c r="A190" s="58" t="s">
        <v>125</v>
      </c>
      <c r="B190" s="61">
        <v>864.20333642999981</v>
      </c>
    </row>
    <row r="191" spans="1:2" x14ac:dyDescent="0.35">
      <c r="A191" s="58" t="s">
        <v>126</v>
      </c>
      <c r="B191" s="61">
        <v>2605.9006745199999</v>
      </c>
    </row>
    <row r="193" spans="1:2" x14ac:dyDescent="0.35">
      <c r="A193" s="23" t="s">
        <v>71</v>
      </c>
      <c r="B193" s="62" t="s">
        <v>127</v>
      </c>
    </row>
    <row r="194" spans="1:2" x14ac:dyDescent="0.35">
      <c r="A194" t="s">
        <v>128</v>
      </c>
      <c r="B194" s="63">
        <v>5895.9797374104</v>
      </c>
    </row>
    <row r="195" spans="1:2" x14ac:dyDescent="0.35">
      <c r="A195" t="s">
        <v>129</v>
      </c>
      <c r="B195" s="63">
        <v>2576.2094178333336</v>
      </c>
    </row>
    <row r="196" spans="1:2" x14ac:dyDescent="0.35">
      <c r="A196" t="s">
        <v>130</v>
      </c>
      <c r="B196" s="63">
        <v>4062.9965796000001</v>
      </c>
    </row>
    <row r="197" spans="1:2" x14ac:dyDescent="0.35">
      <c r="A197" t="s">
        <v>131</v>
      </c>
      <c r="B197" s="63">
        <v>4011.4789508640006</v>
      </c>
    </row>
    <row r="198" spans="1:2" x14ac:dyDescent="0.35">
      <c r="A198" t="s">
        <v>132</v>
      </c>
      <c r="B198" s="63">
        <v>2682.7232290992001</v>
      </c>
    </row>
    <row r="199" spans="1:2" x14ac:dyDescent="0.35">
      <c r="A199" t="s">
        <v>133</v>
      </c>
      <c r="B199" s="63">
        <v>2548.7495763313045</v>
      </c>
    </row>
    <row r="200" spans="1:2" x14ac:dyDescent="0.35">
      <c r="A200" t="s">
        <v>134</v>
      </c>
      <c r="B200" s="63">
        <v>3366.7024762240003</v>
      </c>
    </row>
    <row r="201" spans="1:2" x14ac:dyDescent="0.35">
      <c r="A201" t="s">
        <v>135</v>
      </c>
      <c r="B201" s="63">
        <v>3370.0393371360001</v>
      </c>
    </row>
    <row r="202" spans="1:2" x14ac:dyDescent="0.35">
      <c r="A202" t="s">
        <v>136</v>
      </c>
      <c r="B202" s="63">
        <v>3392.0923222031997</v>
      </c>
    </row>
    <row r="203" spans="1:2" x14ac:dyDescent="0.35">
      <c r="A203" t="s">
        <v>137</v>
      </c>
      <c r="B203" s="63">
        <v>3141.3860726075795</v>
      </c>
    </row>
    <row r="205" spans="1:2" x14ac:dyDescent="0.35">
      <c r="A205" s="23" t="s">
        <v>173</v>
      </c>
      <c r="B205" s="23" t="s">
        <v>24</v>
      </c>
    </row>
    <row r="206" spans="1:2" x14ac:dyDescent="0.35">
      <c r="A206" t="s">
        <v>154</v>
      </c>
      <c r="B206">
        <v>1.6E-2</v>
      </c>
    </row>
    <row r="207" spans="1:2" x14ac:dyDescent="0.35">
      <c r="A207" t="s">
        <v>153</v>
      </c>
      <c r="B207">
        <v>6.0000000000000001E-3</v>
      </c>
    </row>
    <row r="208" spans="1:2" x14ac:dyDescent="0.35">
      <c r="A208" t="s">
        <v>157</v>
      </c>
      <c r="B208" s="64">
        <v>0.01</v>
      </c>
    </row>
    <row r="209" spans="1:5" x14ac:dyDescent="0.35">
      <c r="A209" t="s">
        <v>159</v>
      </c>
      <c r="B209" s="64">
        <v>1.0999999999999999E-2</v>
      </c>
    </row>
    <row r="210" spans="1:5" x14ac:dyDescent="0.35">
      <c r="A210" t="s">
        <v>175</v>
      </c>
      <c r="B210" s="64">
        <v>5.7000000000000002E-2</v>
      </c>
    </row>
    <row r="211" spans="1:5" x14ac:dyDescent="0.35">
      <c r="A211" t="s">
        <v>177</v>
      </c>
      <c r="B211" s="64">
        <v>4.51</v>
      </c>
    </row>
    <row r="212" spans="1:5" x14ac:dyDescent="0.35">
      <c r="A212" t="s">
        <v>178</v>
      </c>
      <c r="B212" s="64">
        <v>1.45</v>
      </c>
    </row>
    <row r="213" spans="1:5" x14ac:dyDescent="0.35">
      <c r="A213" t="s">
        <v>179</v>
      </c>
      <c r="B213" s="64">
        <v>0.71</v>
      </c>
    </row>
    <row r="214" spans="1:5" x14ac:dyDescent="0.35">
      <c r="A214" s="65" t="s">
        <v>181</v>
      </c>
      <c r="B214" s="64">
        <v>6.0090000000000003</v>
      </c>
    </row>
    <row r="215" spans="1:5" x14ac:dyDescent="0.35">
      <c r="A215" s="65" t="s">
        <v>182</v>
      </c>
      <c r="B215" s="64">
        <v>8.9849999999999994</v>
      </c>
    </row>
    <row r="216" spans="1:5" x14ac:dyDescent="0.35">
      <c r="A216" s="65" t="s">
        <v>183</v>
      </c>
      <c r="B216" s="64">
        <v>25.134</v>
      </c>
    </row>
    <row r="217" spans="1:5" x14ac:dyDescent="0.35">
      <c r="A217" s="66" t="s">
        <v>184</v>
      </c>
      <c r="B217" s="64">
        <v>8.4779999999999998</v>
      </c>
    </row>
    <row r="218" spans="1:5" x14ac:dyDescent="0.35">
      <c r="A218" s="67"/>
    </row>
    <row r="219" spans="1:5" x14ac:dyDescent="0.35">
      <c r="A219" t="s">
        <v>155</v>
      </c>
      <c r="B219">
        <v>0.11</v>
      </c>
    </row>
    <row r="220" spans="1:5" x14ac:dyDescent="0.35">
      <c r="A220" t="s">
        <v>156</v>
      </c>
      <c r="B220">
        <v>0.21</v>
      </c>
    </row>
    <row r="221" spans="1:5" x14ac:dyDescent="0.35">
      <c r="A221" s="68" t="s">
        <v>158</v>
      </c>
      <c r="B221">
        <v>0.24</v>
      </c>
    </row>
    <row r="223" spans="1:5" x14ac:dyDescent="0.35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5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5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5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5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5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5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5">
      <c r="A231" t="s">
        <v>188</v>
      </c>
      <c r="B231">
        <v>265</v>
      </c>
    </row>
    <row r="234" spans="1:5" ht="15" customHeight="1" x14ac:dyDescent="0.35">
      <c r="A234" s="38"/>
      <c r="B234" s="38" t="s">
        <v>203</v>
      </c>
      <c r="C234" s="38"/>
      <c r="D234" s="38" t="s">
        <v>204</v>
      </c>
      <c r="E234" s="38"/>
    </row>
    <row r="235" spans="1:5" ht="16.5" x14ac:dyDescent="0.4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5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5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5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5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5">
      <c r="A241" s="38"/>
      <c r="B241" s="38" t="s">
        <v>203</v>
      </c>
      <c r="C241" s="38" t="s">
        <v>204</v>
      </c>
    </row>
    <row r="242" spans="1:3" ht="18.75" customHeight="1" x14ac:dyDescent="0.45">
      <c r="A242" s="38" t="s">
        <v>213</v>
      </c>
      <c r="B242" s="38" t="s">
        <v>214</v>
      </c>
      <c r="C242" s="38" t="s">
        <v>214</v>
      </c>
    </row>
    <row r="243" spans="1:3" x14ac:dyDescent="0.35">
      <c r="A243" s="38">
        <v>1</v>
      </c>
      <c r="B243" s="38">
        <v>2.7</v>
      </c>
      <c r="C243" s="38">
        <v>2.4</v>
      </c>
    </row>
    <row r="244" spans="1:3" x14ac:dyDescent="0.35">
      <c r="A244" s="38">
        <v>2</v>
      </c>
      <c r="B244" s="38">
        <v>4.2</v>
      </c>
      <c r="C244" s="38">
        <v>3.72</v>
      </c>
    </row>
    <row r="245" spans="1:3" x14ac:dyDescent="0.35">
      <c r="A245" s="38">
        <v>3</v>
      </c>
      <c r="B245" s="38">
        <v>5.6</v>
      </c>
      <c r="C245" s="38">
        <v>5.04</v>
      </c>
    </row>
    <row r="246" spans="1:3" x14ac:dyDescent="0.35">
      <c r="A246" s="38">
        <v>4</v>
      </c>
      <c r="B246" s="38">
        <v>7.1</v>
      </c>
      <c r="C246" s="38">
        <v>6.36</v>
      </c>
    </row>
    <row r="247" spans="1:3" x14ac:dyDescent="0.35">
      <c r="A247" s="38">
        <v>5</v>
      </c>
      <c r="B247" s="38">
        <v>7.4</v>
      </c>
      <c r="C247" s="38">
        <v>6.6</v>
      </c>
    </row>
    <row r="248" spans="1:3" x14ac:dyDescent="0.35">
      <c r="A248" s="38">
        <v>6</v>
      </c>
      <c r="B248" s="38">
        <v>8.6</v>
      </c>
      <c r="C248" s="38">
        <v>7.7</v>
      </c>
    </row>
    <row r="249" spans="1:3" x14ac:dyDescent="0.35">
      <c r="A249" s="38">
        <v>7</v>
      </c>
      <c r="B249" s="38">
        <v>9.8000000000000007</v>
      </c>
      <c r="C249" s="38">
        <v>8.8000000000000007</v>
      </c>
    </row>
    <row r="250" spans="1:3" x14ac:dyDescent="0.35">
      <c r="A250" s="38">
        <v>8</v>
      </c>
      <c r="B250" s="38">
        <v>11.1</v>
      </c>
      <c r="C250" s="38">
        <v>9.9</v>
      </c>
    </row>
    <row r="251" spans="1:3" x14ac:dyDescent="0.35">
      <c r="A251" s="38">
        <v>9</v>
      </c>
      <c r="B251" s="38">
        <v>12.3</v>
      </c>
      <c r="C251" s="38">
        <v>11</v>
      </c>
    </row>
    <row r="252" spans="1:3" x14ac:dyDescent="0.35">
      <c r="A252" s="38">
        <v>10</v>
      </c>
      <c r="B252" s="38">
        <v>13.5</v>
      </c>
      <c r="C252" s="38">
        <v>12.1</v>
      </c>
    </row>
    <row r="253" spans="1:3" x14ac:dyDescent="0.35">
      <c r="A253" s="38">
        <v>11</v>
      </c>
      <c r="B253" s="38">
        <v>13.9</v>
      </c>
      <c r="C253" s="38">
        <v>12.46</v>
      </c>
    </row>
    <row r="254" spans="1:3" x14ac:dyDescent="0.35">
      <c r="A254" s="38">
        <v>12</v>
      </c>
      <c r="B254" s="38">
        <v>14.3</v>
      </c>
      <c r="C254" s="38">
        <v>12.82</v>
      </c>
    </row>
    <row r="255" spans="1:3" x14ac:dyDescent="0.35">
      <c r="A255" s="38">
        <v>13</v>
      </c>
      <c r="B255" s="38">
        <v>14.7</v>
      </c>
      <c r="C255" s="38">
        <v>13.18</v>
      </c>
    </row>
    <row r="256" spans="1:3" x14ac:dyDescent="0.35">
      <c r="A256" s="38">
        <v>14</v>
      </c>
      <c r="B256" s="38">
        <v>15.1</v>
      </c>
      <c r="C256" s="38">
        <v>13.54</v>
      </c>
    </row>
    <row r="257" spans="1:3" x14ac:dyDescent="0.35">
      <c r="A257" s="38">
        <v>15</v>
      </c>
      <c r="B257" s="38">
        <v>15.6</v>
      </c>
      <c r="C257" s="38">
        <v>13.9</v>
      </c>
    </row>
    <row r="258" spans="1:3" x14ac:dyDescent="0.35">
      <c r="A258" s="38">
        <v>16</v>
      </c>
      <c r="B258" s="38">
        <v>15.6</v>
      </c>
      <c r="C258" s="38">
        <v>13.98</v>
      </c>
    </row>
    <row r="259" spans="1:3" x14ac:dyDescent="0.35">
      <c r="A259" s="38">
        <v>17</v>
      </c>
      <c r="B259" s="38">
        <v>15.7</v>
      </c>
      <c r="C259" s="38">
        <v>14.06</v>
      </c>
    </row>
    <row r="260" spans="1:3" x14ac:dyDescent="0.35">
      <c r="A260" s="38">
        <v>18</v>
      </c>
      <c r="B260" s="38">
        <v>15.8</v>
      </c>
      <c r="C260" s="38">
        <v>14.14</v>
      </c>
    </row>
    <row r="261" spans="1:3" x14ac:dyDescent="0.35">
      <c r="A261" s="38">
        <v>19</v>
      </c>
      <c r="B261" s="38">
        <v>15.9</v>
      </c>
      <c r="C261" s="38">
        <v>14.22</v>
      </c>
    </row>
    <row r="262" spans="1:3" x14ac:dyDescent="0.35">
      <c r="A262" s="38">
        <v>20</v>
      </c>
      <c r="B262" s="38">
        <v>16</v>
      </c>
      <c r="C262" s="38">
        <v>14.3</v>
      </c>
    </row>
    <row r="264" spans="1:3" ht="15" customHeight="1" x14ac:dyDescent="0.35">
      <c r="A264" s="38" t="s">
        <v>8</v>
      </c>
      <c r="B264" s="38" t="s">
        <v>220</v>
      </c>
      <c r="C264" s="38" t="s">
        <v>221</v>
      </c>
    </row>
    <row r="265" spans="1:3" x14ac:dyDescent="0.35">
      <c r="A265" s="38" t="s">
        <v>2</v>
      </c>
      <c r="B265" s="38">
        <v>34.299999999999997</v>
      </c>
      <c r="C265" s="38">
        <v>34</v>
      </c>
    </row>
    <row r="266" spans="1:3" x14ac:dyDescent="0.35">
      <c r="A266" s="38" t="s">
        <v>1</v>
      </c>
      <c r="B266" s="38">
        <v>49.5</v>
      </c>
      <c r="C266" s="38">
        <v>85</v>
      </c>
    </row>
    <row r="267" spans="1:3" x14ac:dyDescent="0.35">
      <c r="A267" s="38" t="s">
        <v>0</v>
      </c>
      <c r="B267" s="38">
        <v>43.1</v>
      </c>
      <c r="C267" s="38">
        <v>52</v>
      </c>
    </row>
    <row r="268" spans="1:3" x14ac:dyDescent="0.35">
      <c r="A268" s="38" t="s">
        <v>217</v>
      </c>
      <c r="B268" s="38" t="s">
        <v>218</v>
      </c>
      <c r="C268" s="38" t="s">
        <v>219</v>
      </c>
    </row>
    <row r="270" spans="1:3" ht="15" customHeight="1" x14ac:dyDescent="0.35">
      <c r="A270" s="38" t="s">
        <v>8</v>
      </c>
      <c r="B270" s="38" t="s">
        <v>222</v>
      </c>
      <c r="C270" s="38" t="s">
        <v>221</v>
      </c>
    </row>
    <row r="271" spans="1:3" x14ac:dyDescent="0.35">
      <c r="A271" s="38" t="s">
        <v>210</v>
      </c>
      <c r="B271" s="38">
        <v>41.5</v>
      </c>
      <c r="C271" s="38">
        <v>47</v>
      </c>
    </row>
    <row r="272" spans="1:3" x14ac:dyDescent="0.35">
      <c r="A272" s="38" t="s">
        <v>217</v>
      </c>
      <c r="B272" s="38" t="s">
        <v>218</v>
      </c>
      <c r="C272" s="38" t="s">
        <v>219</v>
      </c>
    </row>
    <row r="275" spans="1:2" x14ac:dyDescent="0.35">
      <c r="A275" s="38" t="s">
        <v>226</v>
      </c>
      <c r="B275" s="38">
        <v>0.49</v>
      </c>
    </row>
    <row r="277" spans="1:2" x14ac:dyDescent="0.35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Agro Energie</cp:lastModifiedBy>
  <dcterms:created xsi:type="dcterms:W3CDTF">2020-09-28T09:31:11Z</dcterms:created>
  <dcterms:modified xsi:type="dcterms:W3CDTF">2023-01-09T10:18:42Z</dcterms:modified>
</cp:coreProperties>
</file>