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5_Bordeaux\2024 CARAMAN - TS 16 975 498\"/>
    </mc:Choice>
  </mc:AlternateContent>
  <xr:revisionPtr revIDLastSave="0" documentId="13_ncr:1_{0F5AC220-63CF-4DF6-99C2-B52C1A4101A7}" xr6:coauthVersionLast="47" xr6:coauthVersionMax="47" xr10:uidLastSave="{00000000-0000-0000-0000-000000000000}"/>
  <bookViews>
    <workbookView xWindow="-108" yWindow="-108" windowWidth="23256" windowHeight="12576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1" l="1"/>
  <c r="B44" i="1"/>
  <c r="D43" i="1"/>
  <c r="B43" i="1"/>
  <c r="D42" i="1"/>
  <c r="B42" i="1"/>
  <c r="D41" i="1"/>
  <c r="B41" i="1"/>
  <c r="D40" i="1"/>
  <c r="B40" i="1"/>
  <c r="D39" i="1"/>
  <c r="B39" i="1"/>
  <c r="D38" i="1"/>
  <c r="B38" i="1"/>
  <c r="D37" i="1"/>
  <c r="B37" i="1"/>
  <c r="B36" i="1"/>
  <c r="D71" i="1" l="1"/>
  <c r="B71" i="1"/>
  <c r="D70" i="1"/>
  <c r="B70" i="1"/>
  <c r="D69" i="1"/>
  <c r="B69" i="1"/>
  <c r="D68" i="1"/>
  <c r="B68" i="1"/>
  <c r="D67" i="1"/>
  <c r="B67" i="1"/>
  <c r="D66" i="1"/>
  <c r="B66" i="1"/>
  <c r="D65" i="1"/>
  <c r="B65" i="1"/>
  <c r="D64" i="1"/>
  <c r="B64" i="1"/>
  <c r="D63" i="1"/>
  <c r="B63" i="1"/>
  <c r="B62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<sst xmlns="http://schemas.openxmlformats.org/spreadsheetml/2006/main" count="1171" uniqueCount="324">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</sst>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1.8723031649007107</c:v>
                </c:pt>
                <c:pt idx="2">
                  <c:v>2.4119576082137919</c:v>
                </c:pt>
                <c:pt idx="3">
                  <c:v>3.1077875147547922</c:v>
                </c:pt>
                <c:pt idx="4">
                  <c:v>4.0051622306374703</c:v>
                </c:pt>
                <c:pt idx="5">
                  <c:v>5.1626778961505897</c:v>
                </c:pt>
                <c:pt idx="6">
                  <c:v>6.6560262423418139</c:v>
                </c:pt>
                <c:pt idx="7">
                  <c:v>8.5829984321267663</c:v>
                </c:pt>
                <c:pt idx="8">
                  <c:v>11.069957874647789</c:v>
                </c:pt>
                <c:pt idx="9">
                  <c:v>14.280214431149867</c:v>
                </c:pt>
                <c:pt idx="10">
                  <c:v>18.424860035282308</c:v>
                </c:pt>
                <c:pt idx="11">
                  <c:v>23.776791095098442</c:v>
                </c:pt>
                <c:pt idx="12">
                  <c:v>30.688857312292658</c:v>
                </c:pt>
                <c:pt idx="13">
                  <c:v>39.617354250979595</c:v>
                </c:pt>
                <c:pt idx="14">
                  <c:v>51.152436925971216</c:v>
                </c:pt>
                <c:pt idx="15">
                  <c:v>66.057498260618672</c:v>
                </c:pt>
                <c:pt idx="16">
                  <c:v>85.320161140728672</c:v>
                </c:pt>
                <c:pt idx="17">
                  <c:v>110.21831702865047</c:v>
                </c:pt>
                <c:pt idx="18">
                  <c:v>142.40566097813468</c:v>
                </c:pt>
                <c:pt idx="19">
                  <c:v>184.02249153410344</c:v>
                </c:pt>
                <c:pt idx="20">
                  <c:v>203.3007266873141</c:v>
                </c:pt>
                <c:pt idx="21">
                  <c:v>222.53665149290285</c:v>
                </c:pt>
                <c:pt idx="22">
                  <c:v>168.7566706161912</c:v>
                </c:pt>
                <c:pt idx="23">
                  <c:v>188.97408626306844</c:v>
                </c:pt>
                <c:pt idx="24">
                  <c:v>209.14106954499582</c:v>
                </c:pt>
                <c:pt idx="25">
                  <c:v>229.2631686584871</c:v>
                </c:pt>
                <c:pt idx="26">
                  <c:v>249.34487716008644</c:v>
                </c:pt>
                <c:pt idx="27">
                  <c:v>269.38990512338609</c:v>
                </c:pt>
                <c:pt idx="28">
                  <c:v>289.40136514946488</c:v>
                </c:pt>
                <c:pt idx="29">
                  <c:v>242.80327727023806</c:v>
                </c:pt>
                <c:pt idx="30">
                  <c:v>264.55540625187342</c:v>
                </c:pt>
                <c:pt idx="31">
                  <c:v>286.26720910143649</c:v>
                </c:pt>
                <c:pt idx="32">
                  <c:v>307.94217323717999</c:v>
                </c:pt>
                <c:pt idx="33">
                  <c:v>329.58325501039627</c:v>
                </c:pt>
                <c:pt idx="34">
                  <c:v>351.19299087374634</c:v>
                </c:pt>
                <c:pt idx="35">
                  <c:v>372.77357972834852</c:v>
                </c:pt>
                <c:pt idx="36">
                  <c:v>310.37056459620067</c:v>
                </c:pt>
                <c:pt idx="37">
                  <c:v>332.16291001549854</c:v>
                </c:pt>
                <c:pt idx="38">
                  <c:v>353.92374107920119</c:v>
                </c:pt>
                <c:pt idx="39">
                  <c:v>375.65526675033772</c:v>
                </c:pt>
                <c:pt idx="40">
                  <c:v>397.35941965516298</c:v>
                </c:pt>
                <c:pt idx="41">
                  <c:v>419.03790416885482</c:v>
                </c:pt>
                <c:pt idx="42">
                  <c:v>440.69223402870375</c:v>
                </c:pt>
                <c:pt idx="43">
                  <c:v>365.57312204300916</c:v>
                </c:pt>
                <c:pt idx="44">
                  <c:v>386.44458202636088</c:v>
                </c:pt>
                <c:pt idx="45">
                  <c:v>407.29156713376295</c:v>
                </c:pt>
                <c:pt idx="46">
                  <c:v>428.11550550227406</c:v>
                </c:pt>
                <c:pt idx="47">
                  <c:v>448.91767507952318</c:v>
                </c:pt>
                <c:pt idx="48">
                  <c:v>469.69922578809798</c:v>
                </c:pt>
                <c:pt idx="49">
                  <c:v>490.46119756343563</c:v>
                </c:pt>
                <c:pt idx="50">
                  <c:v>402.3588366856095</c:v>
                </c:pt>
                <c:pt idx="51">
                  <c:v>421.65245364552828</c:v>
                </c:pt>
                <c:pt idx="52">
                  <c:v>440.92706835035841</c:v>
                </c:pt>
                <c:pt idx="53">
                  <c:v>460.18362785912103</c:v>
                </c:pt>
                <c:pt idx="54">
                  <c:v>479.42299355003178</c:v>
                </c:pt>
                <c:pt idx="55">
                  <c:v>498.64595206966368</c:v>
                </c:pt>
                <c:pt idx="56">
                  <c:v>517.85322450630554</c:v>
                </c:pt>
                <c:pt idx="57">
                  <c:v>445.53319473983174</c:v>
                </c:pt>
                <c:pt idx="58">
                  <c:v>463.13961636412461</c:v>
                </c:pt>
                <c:pt idx="59">
                  <c:v>480.73176524290039</c:v>
                </c:pt>
                <c:pt idx="60">
                  <c:v>498.31023693169209</c:v>
                </c:pt>
                <c:pt idx="61">
                  <c:v>515.87558156393777</c:v>
                </c:pt>
                <c:pt idx="62">
                  <c:v>533.42830877562324</c:v>
                </c:pt>
                <c:pt idx="63">
                  <c:v>550.96889194826019</c:v>
                </c:pt>
                <c:pt idx="64">
                  <c:v>472.35430760583859</c:v>
                </c:pt>
                <c:pt idx="65">
                  <c:v>488.11156591254917</c:v>
                </c:pt>
                <c:pt idx="66">
                  <c:v>503.85803335416534</c:v>
                </c:pt>
                <c:pt idx="67">
                  <c:v>519.59409451524732</c:v>
                </c:pt>
                <c:pt idx="68">
                  <c:v>535.32010879645838</c:v>
                </c:pt>
                <c:pt idx="69">
                  <c:v>551.03641277035797</c:v>
                </c:pt>
                <c:pt idx="70">
                  <c:v>566.74332225455601</c:v>
                </c:pt>
                <c:pt idx="71">
                  <c:v>1.8635787380168604E-12</c:v>
                </c:pt>
                <c:pt idx="72">
                  <c:v>1.8635787380168604E-12</c:v>
                </c:pt>
                <c:pt idx="73">
                  <c:v>1.8635787380168604E-12</c:v>
                </c:pt>
                <c:pt idx="74">
                  <c:v>1.8635787380168604E-12</c:v>
                </c:pt>
                <c:pt idx="75">
                  <c:v>1.8635787380168604E-12</c:v>
                </c:pt>
                <c:pt idx="76">
                  <c:v>1.8635787380168604E-12</c:v>
                </c:pt>
                <c:pt idx="77">
                  <c:v>1.8635787380168604E-12</c:v>
                </c:pt>
                <c:pt idx="78">
                  <c:v>1.8635787380168604E-12</c:v>
                </c:pt>
                <c:pt idx="79">
                  <c:v>1.8635787380168604E-12</c:v>
                </c:pt>
                <c:pt idx="80">
                  <c:v>1.8635787380168604E-12</c:v>
                </c:pt>
                <c:pt idx="81">
                  <c:v>1.8635787380168604E-12</c:v>
                </c:pt>
                <c:pt idx="82">
                  <c:v>1.8635787380168604E-12</c:v>
                </c:pt>
                <c:pt idx="83">
                  <c:v>1.8635787380168604E-12</c:v>
                </c:pt>
                <c:pt idx="84">
                  <c:v>1.8635787380168604E-12</c:v>
                </c:pt>
                <c:pt idx="85">
                  <c:v>1.8635787380168604E-12</c:v>
                </c:pt>
                <c:pt idx="86">
                  <c:v>1.8635787380168604E-12</c:v>
                </c:pt>
                <c:pt idx="87">
                  <c:v>1.8635787380168604E-12</c:v>
                </c:pt>
                <c:pt idx="88">
                  <c:v>1.8635787380168604E-12</c:v>
                </c:pt>
                <c:pt idx="89">
                  <c:v>1.8635787380168604E-12</c:v>
                </c:pt>
                <c:pt idx="90">
                  <c:v>1.8635787380168604E-12</c:v>
                </c:pt>
                <c:pt idx="91">
                  <c:v>1.8635787380168604E-12</c:v>
                </c:pt>
                <c:pt idx="92">
                  <c:v>1.8635787380168604E-12</c:v>
                </c:pt>
                <c:pt idx="93">
                  <c:v>1.8635787380168604E-12</c:v>
                </c:pt>
                <c:pt idx="94">
                  <c:v>1.8635787380168604E-12</c:v>
                </c:pt>
                <c:pt idx="95">
                  <c:v>1.8635787380168604E-12</c:v>
                </c:pt>
                <c:pt idx="96">
                  <c:v>1.8635787380168604E-12</c:v>
                </c:pt>
                <c:pt idx="97">
                  <c:v>1.8635787380168604E-12</c:v>
                </c:pt>
                <c:pt idx="98">
                  <c:v>1.8635787380168604E-12</c:v>
                </c:pt>
                <c:pt idx="99">
                  <c:v>1.8635787380168604E-12</c:v>
                </c:pt>
                <c:pt idx="100">
                  <c:v>1.8635787380168604E-12</c:v>
                </c:pt>
                <c:pt idx="101">
                  <c:v>1.8635787380168604E-12</c:v>
                </c:pt>
                <c:pt idx="102">
                  <c:v>1.8635787380168604E-12</c:v>
                </c:pt>
                <c:pt idx="103">
                  <c:v>1.8635787380168604E-12</c:v>
                </c:pt>
                <c:pt idx="104">
                  <c:v>1.8635787380168604E-12</c:v>
                </c:pt>
                <c:pt idx="105">
                  <c:v>1.8635787380168604E-12</c:v>
                </c:pt>
                <c:pt idx="106">
                  <c:v>1.8635787380168604E-12</c:v>
                </c:pt>
                <c:pt idx="107">
                  <c:v>1.8635787380168604E-12</c:v>
                </c:pt>
                <c:pt idx="108">
                  <c:v>1.8635787380168604E-12</c:v>
                </c:pt>
                <c:pt idx="109">
                  <c:v>1.8635787380168604E-12</c:v>
                </c:pt>
                <c:pt idx="110">
                  <c:v>1.8635787380168604E-12</c:v>
                </c:pt>
                <c:pt idx="111">
                  <c:v>1.8635787380168604E-12</c:v>
                </c:pt>
                <c:pt idx="112">
                  <c:v>1.8635787380168604E-12</c:v>
                </c:pt>
                <c:pt idx="113">
                  <c:v>1.8635787380168604E-12</c:v>
                </c:pt>
                <c:pt idx="114">
                  <c:v>1.8635787380168604E-12</c:v>
                </c:pt>
                <c:pt idx="115">
                  <c:v>1.8635787380168604E-12</c:v>
                </c:pt>
                <c:pt idx="116">
                  <c:v>1.8635787380168604E-12</c:v>
                </c:pt>
                <c:pt idx="117">
                  <c:v>1.8635787380168604E-12</c:v>
                </c:pt>
                <c:pt idx="118">
                  <c:v>1.8635787380168604E-12</c:v>
                </c:pt>
                <c:pt idx="119">
                  <c:v>1.8635787380168604E-12</c:v>
                </c:pt>
                <c:pt idx="120">
                  <c:v>1.8635787380168604E-12</c:v>
                </c:pt>
                <c:pt idx="121">
                  <c:v>1.8635787380168604E-12</c:v>
                </c:pt>
                <c:pt idx="122">
                  <c:v>1.8635787380168604E-12</c:v>
                </c:pt>
                <c:pt idx="123">
                  <c:v>1.8635787380168604E-12</c:v>
                </c:pt>
                <c:pt idx="124">
                  <c:v>1.8635787380168604E-12</c:v>
                </c:pt>
                <c:pt idx="125">
                  <c:v>1.8635787380168604E-12</c:v>
                </c:pt>
                <c:pt idx="126">
                  <c:v>1.8635787380168604E-12</c:v>
                </c:pt>
                <c:pt idx="127">
                  <c:v>1.8635787380168604E-12</c:v>
                </c:pt>
                <c:pt idx="128">
                  <c:v>1.8635787380168604E-12</c:v>
                </c:pt>
                <c:pt idx="129">
                  <c:v>1.8635787380168604E-12</c:v>
                </c:pt>
                <c:pt idx="130">
                  <c:v>1.8635787380168604E-12</c:v>
                </c:pt>
                <c:pt idx="131">
                  <c:v>1.8635787380168604E-12</c:v>
                </c:pt>
                <c:pt idx="132">
                  <c:v>1.8635787380168604E-12</c:v>
                </c:pt>
                <c:pt idx="133">
                  <c:v>1.8635787380168604E-12</c:v>
                </c:pt>
                <c:pt idx="134">
                  <c:v>1.8635787380168604E-12</c:v>
                </c:pt>
                <c:pt idx="135">
                  <c:v>1.8635787380168604E-12</c:v>
                </c:pt>
                <c:pt idx="136">
                  <c:v>1.8635787380168604E-12</c:v>
                </c:pt>
                <c:pt idx="137">
                  <c:v>1.8635787380168604E-12</c:v>
                </c:pt>
                <c:pt idx="138">
                  <c:v>1.8635787380168604E-12</c:v>
                </c:pt>
                <c:pt idx="139">
                  <c:v>1.8635787380168604E-12</c:v>
                </c:pt>
                <c:pt idx="140">
                  <c:v>1.8635787380168604E-12</c:v>
                </c:pt>
                <c:pt idx="141">
                  <c:v>1.8635787380168604E-12</c:v>
                </c:pt>
                <c:pt idx="142">
                  <c:v>1.8635787380168604E-12</c:v>
                </c:pt>
                <c:pt idx="143">
                  <c:v>1.8635787380168604E-12</c:v>
                </c:pt>
                <c:pt idx="144">
                  <c:v>1.8635787380168604E-12</c:v>
                </c:pt>
                <c:pt idx="145">
                  <c:v>1.8635787380168604E-12</c:v>
                </c:pt>
                <c:pt idx="146">
                  <c:v>1.8635787380168604E-12</c:v>
                </c:pt>
                <c:pt idx="147">
                  <c:v>1.8635787380168604E-12</c:v>
                </c:pt>
                <c:pt idx="148">
                  <c:v>1.8635787380168604E-12</c:v>
                </c:pt>
                <c:pt idx="149">
                  <c:v>1.8635787380168604E-12</c:v>
                </c:pt>
                <c:pt idx="150">
                  <c:v>1.8635787380168604E-12</c:v>
                </c:pt>
                <c:pt idx="151">
                  <c:v>1.8635787380168604E-12</c:v>
                </c:pt>
                <c:pt idx="152">
                  <c:v>1.8635787380168604E-12</c:v>
                </c:pt>
                <c:pt idx="153">
                  <c:v>1.8635787380168604E-12</c:v>
                </c:pt>
                <c:pt idx="154">
                  <c:v>1.8635787380168604E-12</c:v>
                </c:pt>
                <c:pt idx="155">
                  <c:v>1.8635787380168604E-12</c:v>
                </c:pt>
                <c:pt idx="156">
                  <c:v>1.8635787380168604E-12</c:v>
                </c:pt>
                <c:pt idx="157">
                  <c:v>1.8635787380168604E-12</c:v>
                </c:pt>
                <c:pt idx="158">
                  <c:v>1.8635787380168604E-12</c:v>
                </c:pt>
                <c:pt idx="159">
                  <c:v>1.8635787380168604E-12</c:v>
                </c:pt>
                <c:pt idx="160">
                  <c:v>1.8635787380168604E-12</c:v>
                </c:pt>
                <c:pt idx="161">
                  <c:v>1.8635787380168604E-12</c:v>
                </c:pt>
                <c:pt idx="162">
                  <c:v>1.8635787380168604E-12</c:v>
                </c:pt>
                <c:pt idx="163">
                  <c:v>1.8635787380168604E-12</c:v>
                </c:pt>
                <c:pt idx="164">
                  <c:v>1.8635787380168604E-12</c:v>
                </c:pt>
                <c:pt idx="165">
                  <c:v>1.8635787380168604E-12</c:v>
                </c:pt>
                <c:pt idx="166">
                  <c:v>1.8635787380168604E-12</c:v>
                </c:pt>
                <c:pt idx="167">
                  <c:v>1.8635787380168604E-12</c:v>
                </c:pt>
                <c:pt idx="168">
                  <c:v>1.8635787380168604E-12</c:v>
                </c:pt>
                <c:pt idx="169">
                  <c:v>1.8635787380168604E-12</c:v>
                </c:pt>
                <c:pt idx="170">
                  <c:v>1.8635787380168604E-12</c:v>
                </c:pt>
                <c:pt idx="171">
                  <c:v>1.8635787380168604E-12</c:v>
                </c:pt>
                <c:pt idx="172">
                  <c:v>1.8635787380168604E-12</c:v>
                </c:pt>
                <c:pt idx="173">
                  <c:v>1.8635787380168604E-12</c:v>
                </c:pt>
                <c:pt idx="174">
                  <c:v>1.8635787380168604E-12</c:v>
                </c:pt>
                <c:pt idx="175">
                  <c:v>1.8635787380168604E-12</c:v>
                </c:pt>
                <c:pt idx="176">
                  <c:v>1.8635787380168604E-12</c:v>
                </c:pt>
                <c:pt idx="177">
                  <c:v>1.8635787380168604E-12</c:v>
                </c:pt>
                <c:pt idx="178">
                  <c:v>1.8635787380168604E-12</c:v>
                </c:pt>
                <c:pt idx="179">
                  <c:v>1.8635787380168604E-12</c:v>
                </c:pt>
                <c:pt idx="180">
                  <c:v>1.8635787380168604E-12</c:v>
                </c:pt>
                <c:pt idx="181">
                  <c:v>1.8635787380168604E-12</c:v>
                </c:pt>
                <c:pt idx="182">
                  <c:v>1.8635787380168604E-12</c:v>
                </c:pt>
                <c:pt idx="183">
                  <c:v>1.8635787380168604E-12</c:v>
                </c:pt>
                <c:pt idx="184">
                  <c:v>1.8635787380168604E-12</c:v>
                </c:pt>
                <c:pt idx="185">
                  <c:v>1.8635787380168604E-12</c:v>
                </c:pt>
                <c:pt idx="186">
                  <c:v>1.8635787380168604E-12</c:v>
                </c:pt>
                <c:pt idx="187">
                  <c:v>1.8635787380168604E-12</c:v>
                </c:pt>
                <c:pt idx="188">
                  <c:v>1.8635787380168604E-12</c:v>
                </c:pt>
                <c:pt idx="189">
                  <c:v>1.8635787380168604E-12</c:v>
                </c:pt>
                <c:pt idx="190">
                  <c:v>1.8635787380168604E-12</c:v>
                </c:pt>
                <c:pt idx="191">
                  <c:v>1.8635787380168604E-12</c:v>
                </c:pt>
                <c:pt idx="192">
                  <c:v>1.8635787380168604E-12</c:v>
                </c:pt>
                <c:pt idx="193">
                  <c:v>1.8635787380168604E-12</c:v>
                </c:pt>
                <c:pt idx="194">
                  <c:v>1.8635787380168604E-12</c:v>
                </c:pt>
                <c:pt idx="195">
                  <c:v>1.8635787380168604E-12</c:v>
                </c:pt>
                <c:pt idx="196">
                  <c:v>1.8635787380168604E-12</c:v>
                </c:pt>
                <c:pt idx="197">
                  <c:v>1.8635787380168604E-12</c:v>
                </c:pt>
                <c:pt idx="198">
                  <c:v>1.8635787380168604E-12</c:v>
                </c:pt>
                <c:pt idx="199">
                  <c:v>1.8635787380168604E-12</c:v>
                </c:pt>
                <c:pt idx="200">
                  <c:v>1.8635787380168604E-12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1.4559517368790669</c:v>
                </c:pt>
                <c:pt idx="2">
                  <c:v>1.729987284132541</c:v>
                </c:pt>
                <c:pt idx="3">
                  <c:v>2.0557977278009294</c:v>
                </c:pt>
                <c:pt idx="4">
                  <c:v>2.4432003726025537</c:v>
                </c:pt>
                <c:pt idx="5">
                  <c:v>2.9038803166105365</c:v>
                </c:pt>
                <c:pt idx="6">
                  <c:v>3.4517469258326074</c:v>
                </c:pt>
                <c:pt idx="7">
                  <c:v>4.1033585411030424</c:v>
                </c:pt>
                <c:pt idx="8">
                  <c:v>4.8784285125057369</c:v>
                </c:pt>
                <c:pt idx="9">
                  <c:v>5.8004281759541811</c:v>
                </c:pt>
                <c:pt idx="10">
                  <c:v>6.8973053917546716</c:v>
                </c:pt>
                <c:pt idx="11">
                  <c:v>8.2023408498340427</c:v>
                </c:pt>
                <c:pt idx="12">
                  <c:v>9.7551686228512136</c:v>
                </c:pt>
                <c:pt idx="13">
                  <c:v>11.602992550352086</c:v>
                </c:pt>
                <c:pt idx="14">
                  <c:v>13.802036124085888</c:v>
                </c:pt>
                <c:pt idx="15">
                  <c:v>16.419270807113978</c:v>
                </c:pt>
                <c:pt idx="16">
                  <c:v>19.534476384865641</c:v>
                </c:pt>
                <c:pt idx="17">
                  <c:v>23.24269728636807</c:v>
                </c:pt>
                <c:pt idx="18">
                  <c:v>27.657171152681755</c:v>
                </c:pt>
                <c:pt idx="19">
                  <c:v>32.912820654148106</c:v>
                </c:pt>
                <c:pt idx="20">
                  <c:v>39.170417130515368</c:v>
                </c:pt>
                <c:pt idx="21">
                  <c:v>46.621545600109563</c:v>
                </c:pt>
                <c:pt idx="22">
                  <c:v>55.494525714785674</c:v>
                </c:pt>
                <c:pt idx="23">
                  <c:v>66.061473113123796</c:v>
                </c:pt>
                <c:pt idx="24">
                  <c:v>78.646721284642979</c:v>
                </c:pt>
                <c:pt idx="25">
                  <c:v>93.636866624515463</c:v>
                </c:pt>
                <c:pt idx="26">
                  <c:v>111.4927501710773</c:v>
                </c:pt>
                <c:pt idx="27">
                  <c:v>132.76375017728887</c:v>
                </c:pt>
                <c:pt idx="28">
                  <c:v>158.10483208300809</c:v>
                </c:pt>
                <c:pt idx="29">
                  <c:v>188.29688890963698</c:v>
                </c:pt>
                <c:pt idx="30">
                  <c:v>224.27100831811845</c:v>
                </c:pt>
                <c:pt idx="31">
                  <c:v>240.53376204318738</c:v>
                </c:pt>
                <c:pt idx="32">
                  <c:v>256.7714919771762</c:v>
                </c:pt>
                <c:pt idx="33">
                  <c:v>272.98600338495862</c:v>
                </c:pt>
                <c:pt idx="34">
                  <c:v>289.17886949122021</c:v>
                </c:pt>
                <c:pt idx="35">
                  <c:v>305.35147290504159</c:v>
                </c:pt>
                <c:pt idx="36">
                  <c:v>321.5050378012242</c:v>
                </c:pt>
                <c:pt idx="37">
                  <c:v>337.64065529108387</c:v>
                </c:pt>
                <c:pt idx="38">
                  <c:v>353.75930368720213</c:v>
                </c:pt>
                <c:pt idx="39">
                  <c:v>369.86186488028119</c:v>
                </c:pt>
                <c:pt idx="40">
                  <c:v>385.94913771420806</c:v>
                </c:pt>
                <c:pt idx="41">
                  <c:v>402.02184901423874</c:v>
                </c:pt>
                <c:pt idx="42">
                  <c:v>418.08066275933976</c:v>
                </c:pt>
                <c:pt idx="43">
                  <c:v>253.84068765287489</c:v>
                </c:pt>
                <c:pt idx="44">
                  <c:v>269.54411534645834</c:v>
                </c:pt>
                <c:pt idx="45">
                  <c:v>285.22695568687891</c:v>
                </c:pt>
                <c:pt idx="46">
                  <c:v>300.89050001330901</c:v>
                </c:pt>
                <c:pt idx="47">
                  <c:v>316.5358942158237</c:v>
                </c:pt>
                <c:pt idx="48">
                  <c:v>332.16416164893707</c:v>
                </c:pt>
                <c:pt idx="49">
                  <c:v>347.77622150490646</c:v>
                </c:pt>
                <c:pt idx="50">
                  <c:v>267.82045439526422</c:v>
                </c:pt>
                <c:pt idx="51">
                  <c:v>282.55146979709662</c:v>
                </c:pt>
                <c:pt idx="52">
                  <c:v>297.26528301549314</c:v>
                </c:pt>
                <c:pt idx="53">
                  <c:v>311.96286547341651</c:v>
                </c:pt>
                <c:pt idx="54">
                  <c:v>326.64508957022116</c:v>
                </c:pt>
                <c:pt idx="55">
                  <c:v>341.31274286695992</c:v>
                </c:pt>
                <c:pt idx="56">
                  <c:v>355.96653970474637</c:v>
                </c:pt>
                <c:pt idx="57">
                  <c:v>297.43935110788397</c:v>
                </c:pt>
                <c:pt idx="58">
                  <c:v>311.7383572269693</c:v>
                </c:pt>
                <c:pt idx="59">
                  <c:v>326.02281510462137</c:v>
                </c:pt>
                <c:pt idx="60">
                  <c:v>340.29345196940289</c:v>
                </c:pt>
                <c:pt idx="61">
                  <c:v>354.55092906999738</c:v>
                </c:pt>
                <c:pt idx="62">
                  <c:v>368.79585012980647</c:v>
                </c:pt>
                <c:pt idx="63">
                  <c:v>383.02876842673123</c:v>
                </c:pt>
                <c:pt idx="64">
                  <c:v>325.71840229311169</c:v>
                </c:pt>
                <c:pt idx="65">
                  <c:v>339.45671552357044</c:v>
                </c:pt>
                <c:pt idx="66">
                  <c:v>353.18279929233978</c:v>
                </c:pt>
                <c:pt idx="67">
                  <c:v>366.89719586105952</c:v>
                </c:pt>
                <c:pt idx="68">
                  <c:v>380.60040364107721</c:v>
                </c:pt>
                <c:pt idx="69">
                  <c:v>394.29288222380774</c:v>
                </c:pt>
                <c:pt idx="70">
                  <c:v>407.97505667577428</c:v>
                </c:pt>
                <c:pt idx="71">
                  <c:v>421.647321227367</c:v>
                </c:pt>
                <c:pt idx="72">
                  <c:v>354.38219978506419</c:v>
                </c:pt>
                <c:pt idx="73">
                  <c:v>367.27332514561107</c:v>
                </c:pt>
                <c:pt idx="74">
                  <c:v>380.15457568105836</c:v>
                </c:pt>
                <c:pt idx="75">
                  <c:v>393.02633316528846</c:v>
                </c:pt>
                <c:pt idx="76">
                  <c:v>405.88895232312825</c:v>
                </c:pt>
                <c:pt idx="77">
                  <c:v>418.74276356136397</c:v>
                </c:pt>
                <c:pt idx="78">
                  <c:v>431.58807534691499</c:v>
                </c:pt>
                <c:pt idx="79">
                  <c:v>444.42517628710794</c:v>
                </c:pt>
                <c:pt idx="80">
                  <c:v>379.50930344710491</c:v>
                </c:pt>
                <c:pt idx="81">
                  <c:v>391.59489202964716</c:v>
                </c:pt>
                <c:pt idx="82">
                  <c:v>403.67239195063979</c:v>
                </c:pt>
                <c:pt idx="83">
                  <c:v>415.7420793489016</c:v>
                </c:pt>
                <c:pt idx="84">
                  <c:v>427.80421301983375</c:v>
                </c:pt>
                <c:pt idx="85">
                  <c:v>439.85903597336824</c:v>
                </c:pt>
                <c:pt idx="86">
                  <c:v>451.90677681221678</c:v>
                </c:pt>
                <c:pt idx="87">
                  <c:v>463.94765095548405</c:v>
                </c:pt>
                <c:pt idx="88">
                  <c:v>398.22609617089216</c:v>
                </c:pt>
                <c:pt idx="89">
                  <c:v>409.42150396683786</c:v>
                </c:pt>
                <c:pt idx="90">
                  <c:v>420.6103021791476</c:v>
                </c:pt>
                <c:pt idx="91">
                  <c:v>431.79269144575846</c:v>
                </c:pt>
                <c:pt idx="92">
                  <c:v>442.96886116304557</c:v>
                </c:pt>
                <c:pt idx="93">
                  <c:v>454.13899038945743</c:v>
                </c:pt>
                <c:pt idx="94">
                  <c:v>465.3032486556088</c:v>
                </c:pt>
                <c:pt idx="95">
                  <c:v>476.46179669257441</c:v>
                </c:pt>
                <c:pt idx="96">
                  <c:v>249.87566695731167</c:v>
                </c:pt>
                <c:pt idx="97">
                  <c:v>257.42321497634555</c:v>
                </c:pt>
                <c:pt idx="98">
                  <c:v>264.96575978377672</c:v>
                </c:pt>
                <c:pt idx="99">
                  <c:v>272.50346405734365</c:v>
                </c:pt>
                <c:pt idx="100">
                  <c:v>280.03648073000704</c:v>
                </c:pt>
                <c:pt idx="101">
                  <c:v>287.56495382593954</c:v>
                </c:pt>
                <c:pt idx="102">
                  <c:v>295.08901920431265</c:v>
                </c:pt>
                <c:pt idx="103">
                  <c:v>302.6088052231903</c:v>
                </c:pt>
                <c:pt idx="104">
                  <c:v>310.12443333392656</c:v>
                </c:pt>
                <c:pt idx="105">
                  <c:v>317.63601861488428</c:v>
                </c:pt>
                <c:pt idx="106">
                  <c:v>4.2330868906469593E-12</c:v>
                </c:pt>
                <c:pt idx="107">
                  <c:v>4.2330868906469593E-12</c:v>
                </c:pt>
                <c:pt idx="108">
                  <c:v>4.2330868906469593E-12</c:v>
                </c:pt>
                <c:pt idx="109">
                  <c:v>4.2330868906469593E-12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6.6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18</v>
      </c>
      <c r="C9" s="32">
        <v>0.49209999999999998</v>
      </c>
      <c r="D9" s="33">
        <f t="shared" ref="D9:D18" si="0">C9*$C$5</f>
        <v>3.2478599999999997</v>
      </c>
      <c r="E9" s="34">
        <v>70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164</v>
      </c>
      <c r="C10" s="32">
        <v>0.50790000000000002</v>
      </c>
      <c r="D10" s="33">
        <f t="shared" si="0"/>
        <v>3.3521399999999999</v>
      </c>
      <c r="E10" s="34">
        <v>105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6.6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19</v>
      </c>
      <c r="B36" s="60">
        <f>192.63/1.3</f>
        <v>148.17692307692306</v>
      </c>
      <c r="C36" s="60"/>
      <c r="D36" s="60"/>
      <c r="E36" s="51"/>
      <c r="F36" s="51"/>
      <c r="G36" s="51"/>
      <c r="H36" s="51"/>
      <c r="I36" s="49">
        <f>IFERROR(B36/A36,"")</f>
        <v>7.7987854251012134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21</v>
      </c>
      <c r="B37" s="60">
        <f>234.08/1.3</f>
        <v>180.06153846153848</v>
      </c>
      <c r="C37" s="60">
        <v>1</v>
      </c>
      <c r="D37" s="60">
        <f>79.52/1.3</f>
        <v>61.169230769230765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15.942307692307708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28</v>
      </c>
      <c r="B38" s="60">
        <f>306.42/1.3</f>
        <v>235.7076923076923</v>
      </c>
      <c r="C38" s="60">
        <v>2</v>
      </c>
      <c r="D38" s="60">
        <f>73.99/1.3</f>
        <v>56.91538461538461</v>
      </c>
      <c r="E38" s="51">
        <v>0.1</v>
      </c>
      <c r="F38" s="51">
        <v>0.45</v>
      </c>
      <c r="G38" s="51">
        <v>0.45</v>
      </c>
      <c r="H38" s="51"/>
      <c r="I38" s="53">
        <f t="shared" si="1"/>
        <v>16.687912087912085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35</v>
      </c>
      <c r="B39" s="60">
        <f>397.14/1.3</f>
        <v>305.49230769230769</v>
      </c>
      <c r="C39" s="60">
        <v>3</v>
      </c>
      <c r="D39" s="60">
        <f>91.65/1.3</f>
        <v>70.5</v>
      </c>
      <c r="E39" s="51"/>
      <c r="F39" s="51"/>
      <c r="G39" s="51"/>
      <c r="H39" s="51"/>
      <c r="I39" s="49">
        <f t="shared" si="1"/>
        <v>18.099999999999998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42</v>
      </c>
      <c r="B40" s="60">
        <f>471.38/1.3</f>
        <v>362.59999999999997</v>
      </c>
      <c r="C40" s="60">
        <v>4</v>
      </c>
      <c r="D40" s="60">
        <f>104.87/1.3</f>
        <v>80.669230769230765</v>
      </c>
      <c r="E40" s="51"/>
      <c r="F40" s="51"/>
      <c r="G40" s="51"/>
      <c r="H40" s="51"/>
      <c r="I40" s="49">
        <f t="shared" si="1"/>
        <v>18.229670329670324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49</v>
      </c>
      <c r="B41" s="60">
        <f>525.94/1.3</f>
        <v>404.56923076923078</v>
      </c>
      <c r="C41" s="60">
        <v>5</v>
      </c>
      <c r="D41" s="60">
        <f>117.59/1.3</f>
        <v>90.453846153846158</v>
      </c>
      <c r="E41" s="51"/>
      <c r="F41" s="51"/>
      <c r="G41" s="51"/>
      <c r="H41" s="51"/>
      <c r="I41" s="53">
        <f t="shared" si="1"/>
        <v>17.519780219780223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56</v>
      </c>
      <c r="B42" s="60">
        <f>556.02/1.3</f>
        <v>427.7076923076923</v>
      </c>
      <c r="C42" s="60">
        <v>6</v>
      </c>
      <c r="D42" s="60">
        <f>98.63/1.3</f>
        <v>75.869230769230768</v>
      </c>
      <c r="E42" s="51"/>
      <c r="F42" s="51"/>
      <c r="G42" s="51"/>
      <c r="H42" s="51"/>
      <c r="I42" s="53">
        <f t="shared" si="1"/>
        <v>16.227472527472521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63</v>
      </c>
      <c r="B43" s="60">
        <f>592.43/1.3</f>
        <v>455.71538461538455</v>
      </c>
      <c r="C43" s="60">
        <v>7</v>
      </c>
      <c r="D43" s="60">
        <f>103.64/1.3</f>
        <v>79.723076923076917</v>
      </c>
      <c r="E43" s="51"/>
      <c r="F43" s="51"/>
      <c r="G43" s="51"/>
      <c r="H43" s="51"/>
      <c r="I43" s="49">
        <f t="shared" si="1"/>
        <v>14.839560439560435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70</v>
      </c>
      <c r="B44" s="60">
        <f>609.79/1.3</f>
        <v>469.06923076923073</v>
      </c>
      <c r="C44" s="60">
        <v>8</v>
      </c>
      <c r="D44" s="60">
        <f>609.79/1.3</f>
        <v>469.06923076923073</v>
      </c>
      <c r="E44" s="51"/>
      <c r="F44" s="51"/>
      <c r="G44" s="51"/>
      <c r="H44" s="51"/>
      <c r="I44" s="49">
        <f t="shared" si="1"/>
        <v>13.296703296703299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Cèdre de l'Atlas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30</v>
      </c>
      <c r="B62" s="60">
        <f>281.83/1.3</f>
        <v>216.79230769230767</v>
      </c>
      <c r="C62" s="60"/>
      <c r="D62" s="60"/>
      <c r="E62" s="51"/>
      <c r="F62" s="51"/>
      <c r="G62" s="51"/>
      <c r="H62" s="51"/>
      <c r="I62" s="53">
        <f>IFERROR(B62/A62,"")</f>
        <v>7.2264102564102561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42</v>
      </c>
      <c r="B63" s="60">
        <f>533.48/1.3</f>
        <v>410.3692307692308</v>
      </c>
      <c r="C63" s="60">
        <v>1</v>
      </c>
      <c r="D63" s="60">
        <f>233.8/1.3</f>
        <v>179.84615384615384</v>
      </c>
      <c r="E63" s="51"/>
      <c r="F63" s="51"/>
      <c r="G63" s="51"/>
      <c r="H63" s="51"/>
      <c r="I63" s="49">
        <f>IF(A63&lt;&gt;0,(B63-(B62-D62))/(A63-A62),"")</f>
        <v>16.131410256410259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49</v>
      </c>
      <c r="B64" s="60">
        <f>441.81/1.3</f>
        <v>339.85384615384612</v>
      </c>
      <c r="C64" s="60">
        <v>2</v>
      </c>
      <c r="D64" s="60">
        <f>122.82/1.3</f>
        <v>94.476923076923072</v>
      </c>
      <c r="E64" s="51"/>
      <c r="F64" s="51"/>
      <c r="G64" s="51"/>
      <c r="H64" s="51"/>
      <c r="I64" s="49">
        <f>IF(A64&lt;&gt;0,(B64-(B63-D63))/(A64-A63),"")</f>
        <v>15.618681318681309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56</v>
      </c>
      <c r="B65" s="60">
        <f>452.47/1.3</f>
        <v>348.05384615384617</v>
      </c>
      <c r="C65" s="60">
        <v>3</v>
      </c>
      <c r="D65" s="60">
        <f>94.6/1.3</f>
        <v>72.769230769230759</v>
      </c>
      <c r="E65" s="51"/>
      <c r="F65" s="51"/>
      <c r="G65" s="51"/>
      <c r="H65" s="51"/>
      <c r="I65" s="49">
        <f>IF(A65&lt;&gt;0,(B65-(B64-D64))/(A65-A64),"")</f>
        <v>14.668131868131875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63</v>
      </c>
      <c r="B66" s="60">
        <f>487.73/1.3</f>
        <v>375.17692307692306</v>
      </c>
      <c r="C66" s="60">
        <v>4</v>
      </c>
      <c r="D66" s="60">
        <f>92.46/1.3</f>
        <v>71.123076923076923</v>
      </c>
      <c r="E66" s="51"/>
      <c r="F66" s="51"/>
      <c r="G66" s="51"/>
      <c r="H66" s="51"/>
      <c r="I66" s="49">
        <f t="shared" ref="I66:I81" si="2">IF(A66&lt;&gt;0,(B66-(B65-D65))/(A66-A65),"")</f>
        <v>14.270329670329668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71</v>
      </c>
      <c r="B67" s="60">
        <f>538.14/1.3</f>
        <v>413.95384615384614</v>
      </c>
      <c r="C67" s="60">
        <v>5</v>
      </c>
      <c r="D67" s="60">
        <f>104.52/1.3</f>
        <v>80.399999999999991</v>
      </c>
      <c r="E67" s="51"/>
      <c r="F67" s="51"/>
      <c r="G67" s="51"/>
      <c r="H67" s="51"/>
      <c r="I67" s="49">
        <f t="shared" si="2"/>
        <v>13.737499999999997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79</v>
      </c>
      <c r="B68" s="60">
        <f>567.92/1.3</f>
        <v>436.86153846153843</v>
      </c>
      <c r="C68" s="60">
        <v>6</v>
      </c>
      <c r="D68" s="60">
        <f>100.54/1.3</f>
        <v>77.338461538461544</v>
      </c>
      <c r="E68" s="51"/>
      <c r="F68" s="51"/>
      <c r="G68" s="51"/>
      <c r="H68" s="51"/>
      <c r="I68" s="49">
        <f t="shared" si="2"/>
        <v>12.913461538461533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87</v>
      </c>
      <c r="B69" s="50">
        <f>593.47/1.3</f>
        <v>456.51538461538462</v>
      </c>
      <c r="C69" s="50">
        <v>7</v>
      </c>
      <c r="D69" s="50">
        <f>100.53/1.3</f>
        <v>77.330769230769235</v>
      </c>
      <c r="E69" s="51"/>
      <c r="F69" s="51"/>
      <c r="G69" s="51"/>
      <c r="H69" s="51"/>
      <c r="I69" s="49">
        <f t="shared" si="2"/>
        <v>12.124038461538468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95</v>
      </c>
      <c r="B70" s="50">
        <f>609.86/1.3</f>
        <v>469.12307692307689</v>
      </c>
      <c r="C70" s="50">
        <v>8</v>
      </c>
      <c r="D70" s="50">
        <f>304.75/1.3</f>
        <v>234.42307692307691</v>
      </c>
      <c r="E70" s="51"/>
      <c r="F70" s="51"/>
      <c r="G70" s="51"/>
      <c r="H70" s="51"/>
      <c r="I70" s="49">
        <f t="shared" si="2"/>
        <v>11.242307692307691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105</v>
      </c>
      <c r="B71" s="50">
        <f>402.63/1.3</f>
        <v>309.71538461538461</v>
      </c>
      <c r="C71" s="50">
        <v>9</v>
      </c>
      <c r="D71" s="50">
        <f>402.63/1.3</f>
        <v>309.71538461538461</v>
      </c>
      <c r="E71" s="51"/>
      <c r="F71" s="51"/>
      <c r="G71" s="51"/>
      <c r="H71" s="51"/>
      <c r="I71" s="49">
        <f t="shared" si="2"/>
        <v>7.5015384615384617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Cèdre de l'Atlas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224.7049802939942</v>
      </c>
      <c r="T3" s="59">
        <f>IF('Données projet'!E9&gt;30,$R$33-$H$33,LOOKUP('Données projet'!$E$9,$A$3:$A$203,R3:R203)-LOOKUP('Données projet'!$E$9,$A$3:$A$203,$H$3:$H$203))</f>
        <v>203.48513862195352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158.58786357608489</v>
      </c>
      <c r="AO3" s="59">
        <f>IF('Données projet'!E10&gt;30,$AM$33-$H$33,LOOKUP('Données projet'!$E$10,$A$3:$A$203,AM3:AM203)-LOOKUP('Données projet'!$E$10,$A$3:$A$203,$H$3:$H$203))</f>
        <v>163.20074068819849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7.7987854251012134</v>
      </c>
      <c r="N4" s="13">
        <f>IF('Données projet'!$A$36&gt;35,N3+M4-V3,IF(A4&lt;'Données projet'!$A$36,$K$205^A4,IF(A4='Données projet'!$A$36,'Données projet'!$B$36,N3+M4-V3)))</f>
        <v>1.3009230512021859</v>
      </c>
      <c r="O4" s="13">
        <f>N4*VLOOKUP('Données projet'!$B$9,Paramètres!$A$1:$I$89,3,0)*VLOOKUP('Données projet'!$B$9,Paramètres!$A$1:$I$89,5,0)</f>
        <v>0.72721598562202194</v>
      </c>
      <c r="P4" s="13">
        <f>EXP(-1.0587+0.8836*LN(O4)+0.284)</f>
        <v>0.3477906162348457</v>
      </c>
      <c r="Q4" s="20">
        <f t="shared" ref="Q4:Q34" si="2">(O4+P4)*0.475*44/12</f>
        <v>1.8723031649007107</v>
      </c>
      <c r="R4" s="59">
        <f t="shared" si="0"/>
        <v>295.20563649823401</v>
      </c>
      <c r="S4" s="59">
        <f ca="1">AVERAGE(OFFSET($R$3,0,0,'Données projet'!$E$9+1,1))-AVERAGE(OFFSET($H$3,0,0,'Données projet'!$E$9+1,1))</f>
        <v>224.7049802939942</v>
      </c>
      <c r="T4" s="59">
        <f>$T$3</f>
        <v>203.48513862195352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7.2264102564102561</v>
      </c>
      <c r="AI4" s="13">
        <f>IF('Données projet'!$A$62&gt;35,AI3+AH4-AQ3,IF(A4&lt;'Données projet'!$A$62,$AF$205^A4,IF(A4='Données projet'!$A$62,'Données projet'!$B$62,AI3+AH4-AQ3)))</f>
        <v>1.1963772029987372</v>
      </c>
      <c r="AJ4" s="13">
        <f>AI4*VLOOKUP('Données projet'!$B$10,Paramètres!$A$1:$I$89,3,0)*VLOOKUP('Données projet'!$B$10,Paramètres!$A$1:$I$89,5,0)</f>
        <v>0.55990453100340898</v>
      </c>
      <c r="AK4" s="13">
        <f>EXP(-1.0587+0.8836*LN(AJ4)+0.284)</f>
        <v>0.2760486193577778</v>
      </c>
      <c r="AL4" s="20">
        <f t="shared" ref="AL4:AL67" si="4">(AJ4+AK4)*0.475*44/12</f>
        <v>1.4559517368790669</v>
      </c>
      <c r="AM4" s="59">
        <f t="shared" ref="AM4:AM67" si="5">AL4+(AD4+AE4)*44/12</f>
        <v>294.78928507021237</v>
      </c>
      <c r="AN4" s="59">
        <f ca="1">AVERAGE(OFFSET($AM$3,0,0,'Données projet'!$E$10+1,1))-AVERAGE(OFFSET($H$3,0,0,'Données projet'!$E$10+1,1))</f>
        <v>158.58786357608489</v>
      </c>
      <c r="AO4" s="59">
        <f>$AO$3</f>
        <v>163.20074068819849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7.7987854251012134</v>
      </c>
      <c r="N5" s="13">
        <f>IF('Données projet'!$A$36&gt;35,N4+M5-V4,IF(A5&lt;'Données projet'!$A$36,$K$205^A5,IF(A5='Données projet'!$A$36,'Données projet'!$B$36,N4+M5-V4)))</f>
        <v>1.6924007851492051</v>
      </c>
      <c r="O5" s="13">
        <f>N5*VLOOKUP('Données projet'!$B$9,Paramètres!$A$1:$I$89,3,0)*VLOOKUP('Données projet'!$B$9,Paramètres!$A$1:$I$89,5,0)</f>
        <v>0.94605203889840572</v>
      </c>
      <c r="P5" s="13">
        <f t="shared" ref="P5:P68" si="33">EXP(-1.0587+0.8836*LN(O5)+0.284)</f>
        <v>0.43880400409515918</v>
      </c>
      <c r="Q5" s="20">
        <f t="shared" si="2"/>
        <v>2.4119576082137919</v>
      </c>
      <c r="R5" s="59">
        <f t="shared" si="0"/>
        <v>295.74529094154713</v>
      </c>
      <c r="S5" s="59">
        <f ca="1">AVERAGE(OFFSET($R$3,0,0,'Données projet'!$E$9+1,1))-AVERAGE(OFFSET($H$3,0,0,'Données projet'!$E$9+1,1))</f>
        <v>224.7049802939942</v>
      </c>
      <c r="T5" s="59">
        <f t="shared" ref="T5:T68" si="34">$T$3</f>
        <v>203.48513862195352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7.2264102564102561</v>
      </c>
      <c r="AI5" s="13">
        <f>IF('Données projet'!$A$62&gt;35,AI4+AH5-AQ4,IF(A5&lt;'Données projet'!$A$62,$AF$205^A5,IF(A5='Données projet'!$A$62,'Données projet'!$B$62,AI4+AH5-AQ4)))</f>
        <v>1.4313184118550817</v>
      </c>
      <c r="AJ5" s="13">
        <f>AI5*VLOOKUP('Données projet'!$B$10,Paramètres!$A$1:$I$89,3,0)*VLOOKUP('Données projet'!$B$10,Paramètres!$A$1:$I$89,5,0)</f>
        <v>0.66985701674817832</v>
      </c>
      <c r="AK5" s="13">
        <f t="shared" ref="AK5:AK68" si="35">EXP(-1.0587+0.8836*LN(AJ5)+0.284)</f>
        <v>0.32343711768198868</v>
      </c>
      <c r="AL5" s="20">
        <f t="shared" si="4"/>
        <v>1.729987284132541</v>
      </c>
      <c r="AM5" s="59">
        <f t="shared" si="5"/>
        <v>295.06332061746588</v>
      </c>
      <c r="AN5" s="59">
        <f ca="1">AVERAGE(OFFSET($AM$3,0,0,'Données projet'!$E$10+1,1))-AVERAGE(OFFSET($H$3,0,0,'Données projet'!$E$10+1,1))</f>
        <v>158.58786357608489</v>
      </c>
      <c r="AO5" s="59">
        <f t="shared" ref="AO5:AO68" si="36">$AO$3</f>
        <v>163.20074068819849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7.7987854251012134</v>
      </c>
      <c r="N6" s="13">
        <f>IF('Données projet'!$A$36&gt;35,N5+M6-V5,IF(A6&lt;'Données projet'!$A$36,$K$205^A6,IF(A6='Données projet'!$A$36,'Données projet'!$B$36,N5+M6-V5)))</f>
        <v>2.2016831932732788</v>
      </c>
      <c r="O6" s="13">
        <f>N6*VLOOKUP('Données projet'!$B$9,Paramètres!$A$1:$I$89,3,0)*VLOOKUP('Données projet'!$B$9,Paramètres!$A$1:$I$89,5,0)</f>
        <v>1.2307409050397629</v>
      </c>
      <c r="P6" s="13">
        <f t="shared" si="33"/>
        <v>0.55363470151801264</v>
      </c>
      <c r="Q6" s="20">
        <f t="shared" si="2"/>
        <v>3.1077875147547922</v>
      </c>
      <c r="R6" s="59">
        <f t="shared" si="0"/>
        <v>296.44112084808813</v>
      </c>
      <c r="S6" s="59">
        <f ca="1">AVERAGE(OFFSET($R$3,0,0,'Données projet'!$E$9+1,1))-AVERAGE(OFFSET($H$3,0,0,'Données projet'!$E$9+1,1))</f>
        <v>224.7049802939942</v>
      </c>
      <c r="T6" s="59">
        <f t="shared" si="34"/>
        <v>203.48513862195352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7.2264102564102561</v>
      </c>
      <c r="AI6" s="13">
        <f>IF('Données projet'!$A$62&gt;35,AI5+AH6-AQ5,IF(A6&lt;'Données projet'!$A$62,$AF$205^A6,IF(A6='Données projet'!$A$62,'Données projet'!$B$62,AI5+AH6-AQ5)))</f>
        <v>1.7123967181757771</v>
      </c>
      <c r="AJ6" s="13">
        <f>AI6*VLOOKUP('Données projet'!$B$10,Paramètres!$A$1:$I$89,3,0)*VLOOKUP('Données projet'!$B$10,Paramètres!$A$1:$I$89,5,0)</f>
        <v>0.80140166410626379</v>
      </c>
      <c r="AK6" s="13">
        <f t="shared" si="35"/>
        <v>0.37896066764546593</v>
      </c>
      <c r="AL6" s="20">
        <f t="shared" si="4"/>
        <v>2.0557977278009294</v>
      </c>
      <c r="AM6" s="59">
        <f t="shared" si="5"/>
        <v>295.38913106113426</v>
      </c>
      <c r="AN6" s="59">
        <f ca="1">AVERAGE(OFFSET($AM$3,0,0,'Données projet'!$E$10+1,1))-AVERAGE(OFFSET($H$3,0,0,'Données projet'!$E$10+1,1))</f>
        <v>158.58786357608489</v>
      </c>
      <c r="AO6" s="59">
        <f t="shared" si="36"/>
        <v>163.20074068819849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7.7987854251012134</v>
      </c>
      <c r="N7" s="13">
        <f>IF('Données projet'!$A$36&gt;35,N6+M7-V6,IF(A7&lt;'Données projet'!$A$36,$K$205^A7,IF(A7='Données projet'!$A$36,'Données projet'!$B$36,N6+M7-V6)))</f>
        <v>2.8642204175736459</v>
      </c>
      <c r="O7" s="13">
        <f>N7*VLOOKUP('Données projet'!$B$9,Paramètres!$A$1:$I$89,3,0)*VLOOKUP('Données projet'!$B$9,Paramètres!$A$1:$I$89,5,0)</f>
        <v>1.6010992134236679</v>
      </c>
      <c r="P7" s="13">
        <f t="shared" si="33"/>
        <v>0.69851546445430523</v>
      </c>
      <c r="Q7" s="20">
        <f t="shared" si="2"/>
        <v>4.0051622306374703</v>
      </c>
      <c r="R7" s="59">
        <f t="shared" si="0"/>
        <v>297.33849556397081</v>
      </c>
      <c r="S7" s="59">
        <f ca="1">AVERAGE(OFFSET($R$3,0,0,'Données projet'!$E$9+1,1))-AVERAGE(OFFSET($H$3,0,0,'Données projet'!$E$9+1,1))</f>
        <v>224.7049802939942</v>
      </c>
      <c r="T7" s="59">
        <f t="shared" si="34"/>
        <v>203.48513862195352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7.2264102564102561</v>
      </c>
      <c r="AI7" s="13">
        <f>IF('Données projet'!$A$62&gt;35,AI6+AH7-AQ6,IF(A7&lt;'Données projet'!$A$62,$AF$205^A7,IF(A7='Données projet'!$A$62,'Données projet'!$B$62,AI6+AH7-AQ6)))</f>
        <v>2.0486723961153532</v>
      </c>
      <c r="AJ7" s="13">
        <f>AI7*VLOOKUP('Données projet'!$B$10,Paramètres!$A$1:$I$89,3,0)*VLOOKUP('Données projet'!$B$10,Paramètres!$A$1:$I$89,5,0)</f>
        <v>0.95877868138198519</v>
      </c>
      <c r="AK7" s="13">
        <f t="shared" si="35"/>
        <v>0.44401579092570115</v>
      </c>
      <c r="AL7" s="20">
        <f t="shared" si="4"/>
        <v>2.4432003726025537</v>
      </c>
      <c r="AM7" s="59">
        <f t="shared" si="5"/>
        <v>295.77653370593589</v>
      </c>
      <c r="AN7" s="59">
        <f ca="1">AVERAGE(OFFSET($AM$3,0,0,'Données projet'!$E$10+1,1))-AVERAGE(OFFSET($H$3,0,0,'Données projet'!$E$10+1,1))</f>
        <v>158.58786357608489</v>
      </c>
      <c r="AO7" s="59">
        <f t="shared" si="36"/>
        <v>163.20074068819849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7.7987854251012134</v>
      </c>
      <c r="N8" s="13">
        <f>IF('Données projet'!$A$36&gt;35,N7+M8-V7,IF(A8&lt;'Données projet'!$A$36,$K$205^A8,IF(A8='Données projet'!$A$36,'Données projet'!$B$36,N7+M8-V7)))</f>
        <v>3.7261303649455062</v>
      </c>
      <c r="O8" s="13">
        <f>N8*VLOOKUP('Données projet'!$B$9,Paramètres!$A$1:$I$89,3,0)*VLOOKUP('Données projet'!$B$9,Paramètres!$A$1:$I$89,5,0)</f>
        <v>2.082906874004538</v>
      </c>
      <c r="P8" s="13">
        <f t="shared" si="33"/>
        <v>0.88131009986182929</v>
      </c>
      <c r="Q8" s="20">
        <f t="shared" si="2"/>
        <v>5.1626778961505897</v>
      </c>
      <c r="R8" s="59">
        <f t="shared" si="0"/>
        <v>298.49601122948388</v>
      </c>
      <c r="S8" s="59">
        <f ca="1">AVERAGE(OFFSET($R$3,0,0,'Données projet'!$E$9+1,1))-AVERAGE(OFFSET($H$3,0,0,'Données projet'!$E$9+1,1))</f>
        <v>224.7049802939942</v>
      </c>
      <c r="T8" s="59">
        <f t="shared" si="34"/>
        <v>203.48513862195352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7.2264102564102561</v>
      </c>
      <c r="AI8" s="13">
        <f>IF('Données projet'!$A$62&gt;35,AI7+AH8-AQ7,IF(A8&lt;'Données projet'!$A$62,$AF$205^A8,IF(A8='Données projet'!$A$62,'Données projet'!$B$62,AI7+AH8-AQ7)))</f>
        <v>2.4509849511252071</v>
      </c>
      <c r="AJ8" s="13">
        <f>AI8*VLOOKUP('Données projet'!$B$10,Paramètres!$A$1:$I$89,3,0)*VLOOKUP('Données projet'!$B$10,Paramètres!$A$1:$I$89,5,0)</f>
        <v>1.1470609571265968</v>
      </c>
      <c r="AK8" s="13">
        <f t="shared" si="35"/>
        <v>0.52023874619045773</v>
      </c>
      <c r="AL8" s="20">
        <f t="shared" si="4"/>
        <v>2.9038803166105365</v>
      </c>
      <c r="AM8" s="59">
        <f t="shared" si="5"/>
        <v>296.23721364994384</v>
      </c>
      <c r="AN8" s="59">
        <f ca="1">AVERAGE(OFFSET($AM$3,0,0,'Données projet'!$E$10+1,1))-AVERAGE(OFFSET($H$3,0,0,'Données projet'!$E$10+1,1))</f>
        <v>158.58786357608489</v>
      </c>
      <c r="AO8" s="59">
        <f t="shared" si="36"/>
        <v>163.20074068819849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7.7987854251012134</v>
      </c>
      <c r="N9" s="13">
        <f>IF('Données projet'!$A$36&gt;35,N8+M9-V8,IF(A9&lt;'Données projet'!$A$36,$K$205^A9,IF(A9='Données projet'!$A$36,'Données projet'!$B$36,N8+M9-V8)))</f>
        <v>4.8474088835420224</v>
      </c>
      <c r="O9" s="13">
        <f>N9*VLOOKUP('Données projet'!$B$9,Paramètres!$A$1:$I$89,3,0)*VLOOKUP('Données projet'!$B$9,Paramètres!$A$1:$I$89,5,0)</f>
        <v>2.7097015658999908</v>
      </c>
      <c r="P9" s="13">
        <f t="shared" si="33"/>
        <v>1.1119402957316735</v>
      </c>
      <c r="Q9" s="20">
        <f t="shared" si="2"/>
        <v>6.6560262423418139</v>
      </c>
      <c r="R9" s="59">
        <f t="shared" si="0"/>
        <v>299.98935957567511</v>
      </c>
      <c r="S9" s="59">
        <f ca="1">AVERAGE(OFFSET($R$3,0,0,'Données projet'!$E$9+1,1))-AVERAGE(OFFSET($H$3,0,0,'Données projet'!$E$9+1,1))</f>
        <v>224.7049802939942</v>
      </c>
      <c r="T9" s="59">
        <f t="shared" si="34"/>
        <v>203.48513862195352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7.2264102564102561</v>
      </c>
      <c r="AI9" s="13">
        <f>IF('Données projet'!$A$62&gt;35,AI8+AH9-AQ8,IF(A9&lt;'Données projet'!$A$62,$AF$205^A9,IF(A9='Données projet'!$A$62,'Données projet'!$B$62,AI8+AH9-AQ8)))</f>
        <v>2.9323025204191722</v>
      </c>
      <c r="AJ9" s="13">
        <f>AI9*VLOOKUP('Données projet'!$B$10,Paramètres!$A$1:$I$89,3,0)*VLOOKUP('Données projet'!$B$10,Paramètres!$A$1:$I$89,5,0)</f>
        <v>1.3723175795561726</v>
      </c>
      <c r="AK9" s="13">
        <f t="shared" si="35"/>
        <v>0.60954668407977464</v>
      </c>
      <c r="AL9" s="20">
        <f t="shared" si="4"/>
        <v>3.4517469258326074</v>
      </c>
      <c r="AM9" s="59">
        <f t="shared" si="5"/>
        <v>296.78508025916591</v>
      </c>
      <c r="AN9" s="59">
        <f ca="1">AVERAGE(OFFSET($AM$3,0,0,'Données projet'!$E$10+1,1))-AVERAGE(OFFSET($H$3,0,0,'Données projet'!$E$10+1,1))</f>
        <v>158.58786357608489</v>
      </c>
      <c r="AO9" s="59">
        <f t="shared" si="36"/>
        <v>163.20074068819849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7.7987854251012134</v>
      </c>
      <c r="N10" s="13">
        <f>IF('Données projet'!$A$36&gt;35,N9+M10-V9,IF(A10&lt;'Données projet'!$A$36,$K$205^A10,IF(A10='Données projet'!$A$36,'Données projet'!$B$36,N9+M10-V9)))</f>
        <v>6.3061059552020682</v>
      </c>
      <c r="O10" s="13">
        <f>N10*VLOOKUP('Données projet'!$B$9,Paramètres!$A$1:$I$89,3,0)*VLOOKUP('Données projet'!$B$9,Paramètres!$A$1:$I$89,5,0)</f>
        <v>3.5251132289579559</v>
      </c>
      <c r="P10" s="13">
        <f t="shared" si="33"/>
        <v>1.4029241483397099</v>
      </c>
      <c r="Q10" s="20">
        <f t="shared" si="2"/>
        <v>8.5829984321267663</v>
      </c>
      <c r="R10" s="59">
        <f t="shared" si="0"/>
        <v>301.91633176546009</v>
      </c>
      <c r="S10" s="59">
        <f ca="1">AVERAGE(OFFSET($R$3,0,0,'Données projet'!$E$9+1,1))-AVERAGE(OFFSET($H$3,0,0,'Données projet'!$E$9+1,1))</f>
        <v>224.7049802939942</v>
      </c>
      <c r="T10" s="59">
        <f t="shared" si="34"/>
        <v>203.48513862195352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7.2264102564102561</v>
      </c>
      <c r="AI10" s="13">
        <f>IF('Données projet'!$A$62&gt;35,AI9+AH10-AQ9,IF(A10&lt;'Données projet'!$A$62,$AF$205^A10,IF(A10='Données projet'!$A$62,'Données projet'!$B$62,AI9+AH10-AQ9)))</f>
        <v>3.5081398877252363</v>
      </c>
      <c r="AJ10" s="13">
        <f>AI10*VLOOKUP('Données projet'!$B$10,Paramètres!$A$1:$I$89,3,0)*VLOOKUP('Données projet'!$B$10,Paramètres!$A$1:$I$89,5,0)</f>
        <v>1.6418094674554107</v>
      </c>
      <c r="AK10" s="13">
        <f t="shared" si="35"/>
        <v>0.71418586714920729</v>
      </c>
      <c r="AL10" s="20">
        <f t="shared" si="4"/>
        <v>4.1033585411030424</v>
      </c>
      <c r="AM10" s="59">
        <f t="shared" si="5"/>
        <v>297.43669187443635</v>
      </c>
      <c r="AN10" s="59">
        <f ca="1">AVERAGE(OFFSET($AM$3,0,0,'Données projet'!$E$10+1,1))-AVERAGE(OFFSET($H$3,0,0,'Données projet'!$E$10+1,1))</f>
        <v>158.58786357608489</v>
      </c>
      <c r="AO10" s="59">
        <f t="shared" si="36"/>
        <v>163.20074068819849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7.7987854251012134</v>
      </c>
      <c r="N11" s="13">
        <f>IF('Données projet'!$A$36&gt;35,N10+M11-V10,IF(A11&lt;'Données projet'!$A$36,$K$205^A11,IF(A11='Données projet'!$A$36,'Données projet'!$B$36,N10+M11-V10)))</f>
        <v>8.2037586004457506</v>
      </c>
      <c r="O11" s="13">
        <f>N11*VLOOKUP('Données projet'!$B$9,Paramètres!$A$1:$I$89,3,0)*VLOOKUP('Données projet'!$B$9,Paramètres!$A$1:$I$89,5,0)</f>
        <v>4.5859010576491741</v>
      </c>
      <c r="P11" s="13">
        <f t="shared" si="33"/>
        <v>1.770055616789747</v>
      </c>
      <c r="Q11" s="20">
        <f t="shared" si="2"/>
        <v>11.069957874647789</v>
      </c>
      <c r="R11" s="59">
        <f t="shared" si="0"/>
        <v>304.40329120798111</v>
      </c>
      <c r="S11" s="59">
        <f ca="1">AVERAGE(OFFSET($R$3,0,0,'Données projet'!$E$9+1,1))-AVERAGE(OFFSET($H$3,0,0,'Données projet'!$E$9+1,1))</f>
        <v>224.7049802939942</v>
      </c>
      <c r="T11" s="59">
        <f t="shared" si="34"/>
        <v>203.48513862195352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7.2264102564102561</v>
      </c>
      <c r="AI11" s="13">
        <f>IF('Données projet'!$A$62&gt;35,AI10+AH11-AQ10,IF(A11&lt;'Données projet'!$A$62,$AF$205^A11,IF(A11='Données projet'!$A$62,'Données projet'!$B$62,AI10+AH11-AQ10)))</f>
        <v>4.1970585866050225</v>
      </c>
      <c r="AJ11" s="13">
        <f>AI11*VLOOKUP('Données projet'!$B$10,Paramètres!$A$1:$I$89,3,0)*VLOOKUP('Données projet'!$B$10,Paramètres!$A$1:$I$89,5,0)</f>
        <v>1.9642234185311505</v>
      </c>
      <c r="AK11" s="13">
        <f t="shared" si="35"/>
        <v>0.83678816759654573</v>
      </c>
      <c r="AL11" s="20">
        <f t="shared" si="4"/>
        <v>4.8784285125057369</v>
      </c>
      <c r="AM11" s="59">
        <f t="shared" si="5"/>
        <v>298.21176184583908</v>
      </c>
      <c r="AN11" s="59">
        <f ca="1">AVERAGE(OFFSET($AM$3,0,0,'Données projet'!$E$10+1,1))-AVERAGE(OFFSET($H$3,0,0,'Données projet'!$E$10+1,1))</f>
        <v>158.58786357608489</v>
      </c>
      <c r="AO11" s="59">
        <f t="shared" si="36"/>
        <v>163.20074068819849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7.7987854251012134</v>
      </c>
      <c r="N12" s="13">
        <f>IF('Données projet'!$A$36&gt;35,N11+M12-V11,IF(A12&lt;'Données projet'!$A$36,$K$205^A12,IF(A12='Données projet'!$A$36,'Données projet'!$B$36,N11+M12-V11)))</f>
        <v>10.672458669818059</v>
      </c>
      <c r="O12" s="13">
        <f>N12*VLOOKUP('Données projet'!$B$9,Paramètres!$A$1:$I$89,3,0)*VLOOKUP('Données projet'!$B$9,Paramètres!$A$1:$I$89,5,0)</f>
        <v>5.9659043964282947</v>
      </c>
      <c r="P12" s="13">
        <f t="shared" si="33"/>
        <v>2.2332617841362223</v>
      </c>
      <c r="Q12" s="20">
        <f t="shared" si="2"/>
        <v>14.280214431149867</v>
      </c>
      <c r="R12" s="59">
        <f t="shared" si="0"/>
        <v>307.6135477644832</v>
      </c>
      <c r="S12" s="59">
        <f ca="1">AVERAGE(OFFSET($R$3,0,0,'Données projet'!$E$9+1,1))-AVERAGE(OFFSET($H$3,0,0,'Données projet'!$E$9+1,1))</f>
        <v>224.7049802939942</v>
      </c>
      <c r="T12" s="59">
        <f t="shared" si="34"/>
        <v>203.48513862195352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7.2264102564102561</v>
      </c>
      <c r="AI12" s="13">
        <f>IF('Données projet'!$A$62&gt;35,AI11+AH12-AQ11,IF(A12&lt;'Données projet'!$A$62,$AF$205^A12,IF(A12='Données projet'!$A$62,'Données projet'!$B$62,AI11+AH12-AQ11)))</f>
        <v>5.0212652126643498</v>
      </c>
      <c r="AJ12" s="13">
        <f>AI12*VLOOKUP('Données projet'!$B$10,Paramètres!$A$1:$I$89,3,0)*VLOOKUP('Données projet'!$B$10,Paramètres!$A$1:$I$89,5,0)</f>
        <v>2.349952119526916</v>
      </c>
      <c r="AK12" s="13">
        <f t="shared" si="35"/>
        <v>0.98043726379605944</v>
      </c>
      <c r="AL12" s="20">
        <f t="shared" si="4"/>
        <v>5.8004281759541811</v>
      </c>
      <c r="AM12" s="59">
        <f t="shared" si="5"/>
        <v>299.13376150928752</v>
      </c>
      <c r="AN12" s="59">
        <f ca="1">AVERAGE(OFFSET($AM$3,0,0,'Données projet'!$E$10+1,1))-AVERAGE(OFFSET($H$3,0,0,'Données projet'!$E$10+1,1))</f>
        <v>158.58786357608489</v>
      </c>
      <c r="AO12" s="59">
        <f t="shared" si="36"/>
        <v>163.20074068819849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7.7987854251012134</v>
      </c>
      <c r="N13" s="13">
        <f>IF('Données projet'!$A$36&gt;35,N12+M13-V12,IF(A13&lt;'Données projet'!$A$36,$K$205^A13,IF(A13='Données projet'!$A$36,'Données projet'!$B$36,N12+M13-V12)))</f>
        <v>13.884047496568932</v>
      </c>
      <c r="O13" s="13">
        <f>N13*VLOOKUP('Données projet'!$B$9,Paramètres!$A$1:$I$89,3,0)*VLOOKUP('Données projet'!$B$9,Paramètres!$A$1:$I$89,5,0)</f>
        <v>7.7611825505820331</v>
      </c>
      <c r="P13" s="13">
        <f t="shared" si="33"/>
        <v>2.8176844553216833</v>
      </c>
      <c r="Q13" s="20">
        <f t="shared" si="2"/>
        <v>18.424860035282308</v>
      </c>
      <c r="R13" s="59">
        <f t="shared" si="0"/>
        <v>311.75819336861559</v>
      </c>
      <c r="S13" s="59">
        <f ca="1">AVERAGE(OFFSET($R$3,0,0,'Données projet'!$E$9+1,1))-AVERAGE(OFFSET($H$3,0,0,'Données projet'!$E$9+1,1))</f>
        <v>224.7049802939942</v>
      </c>
      <c r="T13" s="59">
        <f t="shared" si="34"/>
        <v>203.48513862195352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7.2264102564102561</v>
      </c>
      <c r="AI13" s="13">
        <f>IF('Données projet'!$A$62&gt;35,AI12+AH13-AQ12,IF(A13&lt;'Données projet'!$A$62,$AF$205^A13,IF(A13='Données projet'!$A$62,'Données projet'!$B$62,AI12+AH13-AQ12)))</f>
        <v>6.0073272306422343</v>
      </c>
      <c r="AJ13" s="13">
        <f>AI13*VLOOKUP('Données projet'!$B$10,Paramètres!$A$1:$I$89,3,0)*VLOOKUP('Données projet'!$B$10,Paramètres!$A$1:$I$89,5,0)</f>
        <v>2.8114291439405656</v>
      </c>
      <c r="AK13" s="13">
        <f t="shared" si="35"/>
        <v>1.1487462006075717</v>
      </c>
      <c r="AL13" s="20">
        <f t="shared" si="4"/>
        <v>6.8973053917546716</v>
      </c>
      <c r="AM13" s="59">
        <f t="shared" si="5"/>
        <v>300.230638725088</v>
      </c>
      <c r="AN13" s="59">
        <f ca="1">AVERAGE(OFFSET($AM$3,0,0,'Données projet'!$E$10+1,1))-AVERAGE(OFFSET($H$3,0,0,'Données projet'!$E$10+1,1))</f>
        <v>158.58786357608489</v>
      </c>
      <c r="AO13" s="59">
        <f t="shared" si="36"/>
        <v>163.20074068819849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7.7987854251012134</v>
      </c>
      <c r="N14" s="13">
        <f>IF('Données projet'!$A$36&gt;35,N13+M14-V13,IF(A14&lt;'Données projet'!$A$36,$K$205^A14,IF(A14='Données projet'!$A$36,'Données projet'!$B$36,N13+M14-V13)))</f>
        <v>18.062077432272524</v>
      </c>
      <c r="O14" s="13">
        <f>N14*VLOOKUP('Données projet'!$B$9,Paramètres!$A$1:$I$89,3,0)*VLOOKUP('Données projet'!$B$9,Paramètres!$A$1:$I$89,5,0)</f>
        <v>10.096701284640341</v>
      </c>
      <c r="P14" s="13">
        <f t="shared" si="33"/>
        <v>3.5550447986697691</v>
      </c>
      <c r="Q14" s="20">
        <f t="shared" si="2"/>
        <v>23.776791095098442</v>
      </c>
      <c r="R14" s="59">
        <f t="shared" si="0"/>
        <v>317.11012442843173</v>
      </c>
      <c r="S14" s="59">
        <f ca="1">AVERAGE(OFFSET($R$3,0,0,'Données projet'!$E$9+1,1))-AVERAGE(OFFSET($H$3,0,0,'Données projet'!$E$9+1,1))</f>
        <v>224.7049802939942</v>
      </c>
      <c r="T14" s="59">
        <f t="shared" si="34"/>
        <v>203.48513862195352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7.2264102564102561</v>
      </c>
      <c r="AI14" s="13">
        <f>IF('Données projet'!$A$62&gt;35,AI13+AH14-AQ13,IF(A14&lt;'Données projet'!$A$62,$AF$205^A14,IF(A14='Données projet'!$A$62,'Données projet'!$B$62,AI13+AH14-AQ13)))</f>
        <v>7.1870293496939057</v>
      </c>
      <c r="AJ14" s="13">
        <f>AI14*VLOOKUP('Données projet'!$B$10,Paramètres!$A$1:$I$89,3,0)*VLOOKUP('Données projet'!$B$10,Paramètres!$A$1:$I$89,5,0)</f>
        <v>3.3635297356567477</v>
      </c>
      <c r="AK14" s="13">
        <f t="shared" si="35"/>
        <v>1.3459482642479659</v>
      </c>
      <c r="AL14" s="20">
        <f t="shared" si="4"/>
        <v>8.2023408498340427</v>
      </c>
      <c r="AM14" s="59">
        <f t="shared" si="5"/>
        <v>301.53567418316737</v>
      </c>
      <c r="AN14" s="59">
        <f ca="1">AVERAGE(OFFSET($AM$3,0,0,'Données projet'!$E$10+1,1))-AVERAGE(OFFSET($H$3,0,0,'Données projet'!$E$10+1,1))</f>
        <v>158.58786357608489</v>
      </c>
      <c r="AO14" s="59">
        <f t="shared" si="36"/>
        <v>163.20074068819849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7.7987854251012134</v>
      </c>
      <c r="N15" s="13">
        <f>IF('Données projet'!$A$36&gt;35,N14+M15-V14,IF(A15&lt;'Données projet'!$A$36,$K$205^A15,IF(A15='Données projet'!$A$36,'Données projet'!$B$36,N14+M15-V14)))</f>
        <v>23.497372884242115</v>
      </c>
      <c r="O15" s="13">
        <f>N15*VLOOKUP('Données projet'!$B$9,Paramètres!$A$1:$I$89,3,0)*VLOOKUP('Données projet'!$B$9,Paramètres!$A$1:$I$89,5,0)</f>
        <v>13.135031442291343</v>
      </c>
      <c r="P15" s="13">
        <f t="shared" si="33"/>
        <v>4.4853651006518103</v>
      </c>
      <c r="Q15" s="20">
        <f t="shared" si="2"/>
        <v>30.688857312292658</v>
      </c>
      <c r="R15" s="59">
        <f t="shared" si="0"/>
        <v>324.02219064562598</v>
      </c>
      <c r="S15" s="59">
        <f ca="1">AVERAGE(OFFSET($R$3,0,0,'Données projet'!$E$9+1,1))-AVERAGE(OFFSET($H$3,0,0,'Données projet'!$E$9+1,1))</f>
        <v>224.7049802939942</v>
      </c>
      <c r="T15" s="59">
        <f t="shared" si="34"/>
        <v>203.48513862195352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7.2264102564102561</v>
      </c>
      <c r="AI15" s="13">
        <f>IF('Données projet'!$A$62&gt;35,AI14+AH15-AQ14,IF(A15&lt;'Données projet'!$A$62,$AF$205^A15,IF(A15='Données projet'!$A$62,'Données projet'!$B$62,AI14+AH15-AQ14)))</f>
        <v>8.5983980712566286</v>
      </c>
      <c r="AJ15" s="13">
        <f>AI15*VLOOKUP('Données projet'!$B$10,Paramètres!$A$1:$I$89,3,0)*VLOOKUP('Données projet'!$B$10,Paramètres!$A$1:$I$89,5,0)</f>
        <v>4.0240502973481025</v>
      </c>
      <c r="AK15" s="13">
        <f t="shared" si="35"/>
        <v>1.5770034573990057</v>
      </c>
      <c r="AL15" s="20">
        <f t="shared" si="4"/>
        <v>9.7551686228512136</v>
      </c>
      <c r="AM15" s="59">
        <f t="shared" si="5"/>
        <v>303.08850195618453</v>
      </c>
      <c r="AN15" s="59">
        <f ca="1">AVERAGE(OFFSET($AM$3,0,0,'Données projet'!$E$10+1,1))-AVERAGE(OFFSET($H$3,0,0,'Données projet'!$E$10+1,1))</f>
        <v>158.58786357608489</v>
      </c>
      <c r="AO15" s="59">
        <f t="shared" si="36"/>
        <v>163.20074068819849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7.7987854251012134</v>
      </c>
      <c r="N16" s="13">
        <f>IF('Données projet'!$A$36&gt;35,N15+M16-V15,IF(A16&lt;'Données projet'!$A$36,$K$205^A16,IF(A16='Données projet'!$A$36,'Données projet'!$B$36,N15+M16-V15)))</f>
        <v>30.56827402780376</v>
      </c>
      <c r="O16" s="13">
        <f>N16*VLOOKUP('Données projet'!$B$9,Paramètres!$A$1:$I$89,3,0)*VLOOKUP('Données projet'!$B$9,Paramètres!$A$1:$I$89,5,0)</f>
        <v>17.087665181542302</v>
      </c>
      <c r="P16" s="13">
        <f t="shared" si="33"/>
        <v>5.6591410869627277</v>
      </c>
      <c r="Q16" s="20">
        <f t="shared" si="2"/>
        <v>39.617354250979595</v>
      </c>
      <c r="R16" s="59">
        <f t="shared" si="0"/>
        <v>332.9506875843129</v>
      </c>
      <c r="S16" s="59">
        <f ca="1">AVERAGE(OFFSET($R$3,0,0,'Données projet'!$E$9+1,1))-AVERAGE(OFFSET($H$3,0,0,'Données projet'!$E$9+1,1))</f>
        <v>224.7049802939942</v>
      </c>
      <c r="T16" s="59">
        <f t="shared" si="34"/>
        <v>203.48513862195352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7.2264102564102561</v>
      </c>
      <c r="AI16" s="13">
        <f>IF('Données projet'!$A$62&gt;35,AI15+AH16-AQ15,IF(A16&lt;'Données projet'!$A$62,$AF$205^A16,IF(A16='Données projet'!$A$62,'Données projet'!$B$62,AI15+AH16-AQ15)))</f>
        <v>10.286927434759741</v>
      </c>
      <c r="AJ16" s="13">
        <f>AI16*VLOOKUP('Données projet'!$B$10,Paramètres!$A$1:$I$89,3,0)*VLOOKUP('Données projet'!$B$10,Paramètres!$A$1:$I$89,5,0)</f>
        <v>4.8142820394675585</v>
      </c>
      <c r="AK16" s="13">
        <f t="shared" si="35"/>
        <v>1.8477232526006253</v>
      </c>
      <c r="AL16" s="20">
        <f t="shared" si="4"/>
        <v>11.602992550352086</v>
      </c>
      <c r="AM16" s="59">
        <f t="shared" si="5"/>
        <v>304.93632588368541</v>
      </c>
      <c r="AN16" s="59">
        <f ca="1">AVERAGE(OFFSET($AM$3,0,0,'Données projet'!$E$10+1,1))-AVERAGE(OFFSET($H$3,0,0,'Données projet'!$E$10+1,1))</f>
        <v>158.58786357608489</v>
      </c>
      <c r="AO16" s="59">
        <f t="shared" si="36"/>
        <v>163.20074068819849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7.7987854251012134</v>
      </c>
      <c r="N17" s="13">
        <f>IF('Données projet'!$A$36&gt;35,N16+M17-V16,IF(A17&lt;'Données projet'!$A$36,$K$205^A17,IF(A17='Données projet'!$A$36,'Données projet'!$B$36,N16+M17-V16)))</f>
        <v>39.766972318234998</v>
      </c>
      <c r="O17" s="13">
        <f>N17*VLOOKUP('Données projet'!$B$9,Paramètres!$A$1:$I$89,3,0)*VLOOKUP('Données projet'!$B$9,Paramètres!$A$1:$I$89,5,0)</f>
        <v>22.229737525893363</v>
      </c>
      <c r="P17" s="13">
        <f t="shared" si="33"/>
        <v>7.1400827186834128</v>
      </c>
      <c r="Q17" s="20">
        <f t="shared" si="2"/>
        <v>51.152436925971216</v>
      </c>
      <c r="R17" s="59">
        <f t="shared" si="0"/>
        <v>344.48577025930456</v>
      </c>
      <c r="S17" s="59">
        <f ca="1">AVERAGE(OFFSET($R$3,0,0,'Données projet'!$E$9+1,1))-AVERAGE(OFFSET($H$3,0,0,'Données projet'!$E$9+1,1))</f>
        <v>224.7049802939942</v>
      </c>
      <c r="T17" s="59">
        <f t="shared" si="34"/>
        <v>203.48513862195352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7.2264102564102561</v>
      </c>
      <c r="AI17" s="13">
        <f>IF('Données projet'!$A$62&gt;35,AI16+AH17-AQ16,IF(A17&lt;'Données projet'!$A$62,$AF$205^A17,IF(A17='Données projet'!$A$62,'Données projet'!$B$62,AI16+AH17-AQ16)))</f>
        <v>12.307045471848836</v>
      </c>
      <c r="AJ17" s="13">
        <f>AI17*VLOOKUP('Données projet'!$B$10,Paramètres!$A$1:$I$89,3,0)*VLOOKUP('Données projet'!$B$10,Paramètres!$A$1:$I$89,5,0)</f>
        <v>5.7596972808252556</v>
      </c>
      <c r="AK17" s="13">
        <f t="shared" si="35"/>
        <v>2.1649167617120959</v>
      </c>
      <c r="AL17" s="20">
        <f t="shared" si="4"/>
        <v>13.802036124085888</v>
      </c>
      <c r="AM17" s="59">
        <f t="shared" si="5"/>
        <v>307.13536945741919</v>
      </c>
      <c r="AN17" s="59">
        <f ca="1">AVERAGE(OFFSET($AM$3,0,0,'Données projet'!$E$10+1,1))-AVERAGE(OFFSET($H$3,0,0,'Données projet'!$E$10+1,1))</f>
        <v>158.58786357608489</v>
      </c>
      <c r="AO17" s="59">
        <f t="shared" si="36"/>
        <v>163.20074068819849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7.7987854251012134</v>
      </c>
      <c r="N18" s="13">
        <f>IF('Données projet'!$A$36&gt;35,N17+M18-V17,IF(A18&lt;'Données projet'!$A$36,$K$205^A18,IF(A18='Données projet'!$A$36,'Données projet'!$B$36,N17+M18-V17)))</f>
        <v>51.73377096531113</v>
      </c>
      <c r="O18" s="13">
        <f>N18*VLOOKUP('Données projet'!$B$9,Paramètres!$A$1:$I$89,3,0)*VLOOKUP('Données projet'!$B$9,Paramètres!$A$1:$I$89,5,0)</f>
        <v>28.919177969608924</v>
      </c>
      <c r="P18" s="13">
        <f t="shared" si="33"/>
        <v>9.0085722278754812</v>
      </c>
      <c r="Q18" s="20">
        <f t="shared" si="2"/>
        <v>66.057498260618672</v>
      </c>
      <c r="R18" s="59">
        <f t="shared" si="0"/>
        <v>359.39083159395199</v>
      </c>
      <c r="S18" s="59">
        <f ca="1">AVERAGE(OFFSET($R$3,0,0,'Données projet'!$E$9+1,1))-AVERAGE(OFFSET($H$3,0,0,'Données projet'!$E$9+1,1))</f>
        <v>224.7049802939942</v>
      </c>
      <c r="T18" s="59">
        <f t="shared" si="34"/>
        <v>203.48513862195352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7.2264102564102561</v>
      </c>
      <c r="AI18" s="13">
        <f>IF('Données projet'!$A$62&gt;35,AI17+AH18-AQ17,IF(A18&lt;'Données projet'!$A$62,$AF$205^A18,IF(A18='Données projet'!$A$62,'Données projet'!$B$62,AI17+AH18-AQ17)))</f>
        <v>14.723868638788783</v>
      </c>
      <c r="AJ18" s="13">
        <f>AI18*VLOOKUP('Données projet'!$B$10,Paramètres!$A$1:$I$89,3,0)*VLOOKUP('Données projet'!$B$10,Paramètres!$A$1:$I$89,5,0)</f>
        <v>6.89077052295315</v>
      </c>
      <c r="AK18" s="13">
        <f t="shared" si="35"/>
        <v>2.5365619978778424</v>
      </c>
      <c r="AL18" s="20">
        <f t="shared" si="4"/>
        <v>16.419270807113978</v>
      </c>
      <c r="AM18" s="59">
        <f t="shared" si="5"/>
        <v>309.75260414044732</v>
      </c>
      <c r="AN18" s="59">
        <f ca="1">AVERAGE(OFFSET($AM$3,0,0,'Données projet'!$E$10+1,1))-AVERAGE(OFFSET($H$3,0,0,'Données projet'!$E$10+1,1))</f>
        <v>158.58786357608489</v>
      </c>
      <c r="AO18" s="59">
        <f t="shared" si="36"/>
        <v>163.20074068819849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7.7987854251012134</v>
      </c>
      <c r="N19" s="13">
        <f>IF('Données projet'!$A$36&gt;35,N18+M19-V18,IF(A19&lt;'Données projet'!$A$36,$K$205^A19,IF(A19='Données projet'!$A$36,'Données projet'!$B$36,N18+M19-V18)))</f>
        <v>67.301655174387619</v>
      </c>
      <c r="O19" s="13">
        <f>N19*VLOOKUP('Données projet'!$B$9,Paramètres!$A$1:$I$89,3,0)*VLOOKUP('Données projet'!$B$9,Paramètres!$A$1:$I$89,5,0)</f>
        <v>37.621625242482679</v>
      </c>
      <c r="P19" s="13">
        <f t="shared" si="33"/>
        <v>11.366027087122298</v>
      </c>
      <c r="Q19" s="20">
        <f t="shared" si="2"/>
        <v>85.320161140728672</v>
      </c>
      <c r="R19" s="59">
        <f t="shared" si="0"/>
        <v>378.65349447406197</v>
      </c>
      <c r="S19" s="59">
        <f ca="1">AVERAGE(OFFSET($R$3,0,0,'Données projet'!$E$9+1,1))-AVERAGE(OFFSET($H$3,0,0,'Données projet'!$E$9+1,1))</f>
        <v>224.7049802939942</v>
      </c>
      <c r="T19" s="59">
        <f t="shared" si="34"/>
        <v>203.48513862195352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7.2264102564102561</v>
      </c>
      <c r="AI19" s="13">
        <f>IF('Données projet'!$A$62&gt;35,AI18+AH19-AQ18,IF(A19&lt;'Données projet'!$A$62,$AF$205^A19,IF(A19='Données projet'!$A$62,'Données projet'!$B$62,AI18+AH19-AQ18)))</f>
        <v>17.61530077939495</v>
      </c>
      <c r="AJ19" s="13">
        <f>AI19*VLOOKUP('Données projet'!$B$10,Paramètres!$A$1:$I$89,3,0)*VLOOKUP('Données projet'!$B$10,Paramètres!$A$1:$I$89,5,0)</f>
        <v>8.2439607647568369</v>
      </c>
      <c r="AK19" s="13">
        <f t="shared" si="35"/>
        <v>2.972006537558364</v>
      </c>
      <c r="AL19" s="20">
        <f t="shared" si="4"/>
        <v>19.534476384865641</v>
      </c>
      <c r="AM19" s="59">
        <f t="shared" si="5"/>
        <v>312.86780971819894</v>
      </c>
      <c r="AN19" s="59">
        <f ca="1">AVERAGE(OFFSET($AM$3,0,0,'Données projet'!$E$10+1,1))-AVERAGE(OFFSET($H$3,0,0,'Données projet'!$E$10+1,1))</f>
        <v>158.58786357608489</v>
      </c>
      <c r="AO19" s="59">
        <f t="shared" si="36"/>
        <v>163.20074068819849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7.7987854251012134</v>
      </c>
      <c r="N20" s="13">
        <f>IF('Données projet'!$A$36&gt;35,N19+M20-V19,IF(A20&lt;'Données projet'!$A$36,$K$205^A20,IF(A20='Données projet'!$A$36,'Données projet'!$B$36,N19+M20-V19)))</f>
        <v>87.554274600421721</v>
      </c>
      <c r="O20" s="13">
        <f>N20*VLOOKUP('Données projet'!$B$9,Paramètres!$A$1:$I$89,3,0)*VLOOKUP('Données projet'!$B$9,Paramètres!$A$1:$I$89,5,0)</f>
        <v>48.942839501635746</v>
      </c>
      <c r="P20" s="13">
        <f t="shared" si="33"/>
        <v>14.340404725340607</v>
      </c>
      <c r="Q20" s="20">
        <f t="shared" si="2"/>
        <v>110.21831702865047</v>
      </c>
      <c r="R20" s="59">
        <f t="shared" si="0"/>
        <v>403.55165036198377</v>
      </c>
      <c r="S20" s="59">
        <f ca="1">AVERAGE(OFFSET($R$3,0,0,'Données projet'!$E$9+1,1))-AVERAGE(OFFSET($H$3,0,0,'Données projet'!$E$9+1,1))</f>
        <v>224.7049802939942</v>
      </c>
      <c r="T20" s="59">
        <f t="shared" si="34"/>
        <v>203.48513862195352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7.2264102564102561</v>
      </c>
      <c r="AI20" s="13">
        <f>IF('Données projet'!$A$62&gt;35,AI19+AH20-AQ19,IF(A20&lt;'Données projet'!$A$62,$AF$205^A20,IF(A20='Données projet'!$A$62,'Données projet'!$B$62,AI19+AH20-AQ19)))</f>
        <v>21.074544276434004</v>
      </c>
      <c r="AJ20" s="13">
        <f>AI20*VLOOKUP('Données projet'!$B$10,Paramètres!$A$1:$I$89,3,0)*VLOOKUP('Données projet'!$B$10,Paramètres!$A$1:$I$89,5,0)</f>
        <v>9.8628867213711136</v>
      </c>
      <c r="AK20" s="13">
        <f t="shared" si="35"/>
        <v>3.4822026296536168</v>
      </c>
      <c r="AL20" s="20">
        <f t="shared" si="4"/>
        <v>23.24269728636807</v>
      </c>
      <c r="AM20" s="59">
        <f t="shared" si="5"/>
        <v>316.57603061970138</v>
      </c>
      <c r="AN20" s="59">
        <f ca="1">AVERAGE(OFFSET($AM$3,0,0,'Données projet'!$E$10+1,1))-AVERAGE(OFFSET($H$3,0,0,'Données projet'!$E$10+1,1))</f>
        <v>158.58786357608489</v>
      </c>
      <c r="AO20" s="59">
        <f t="shared" si="36"/>
        <v>163.20074068819849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7.7987854251012134</v>
      </c>
      <c r="N21" s="13">
        <f>IF('Données projet'!$A$36&gt;35,N20+M21-V20,IF(A21&lt;'Données projet'!$A$36,$K$205^A21,IF(A21='Données projet'!$A$36,'Données projet'!$B$36,N20+M21-V20)))</f>
        <v>113.90137405897467</v>
      </c>
      <c r="O21" s="13">
        <f>N21*VLOOKUP('Données projet'!$B$9,Paramètres!$A$1:$I$89,3,0)*VLOOKUP('Données projet'!$B$9,Paramètres!$A$1:$I$89,5,0)</f>
        <v>63.670868098966835</v>
      </c>
      <c r="P21" s="13">
        <f t="shared" si="33"/>
        <v>18.093147773646375</v>
      </c>
      <c r="Q21" s="20">
        <f t="shared" si="2"/>
        <v>142.40566097813468</v>
      </c>
      <c r="R21" s="59">
        <f t="shared" si="0"/>
        <v>435.73899431146799</v>
      </c>
      <c r="S21" s="59">
        <f ca="1">AVERAGE(OFFSET($R$3,0,0,'Données projet'!$E$9+1,1))-AVERAGE(OFFSET($H$3,0,0,'Données projet'!$E$9+1,1))</f>
        <v>224.7049802939942</v>
      </c>
      <c r="T21" s="59">
        <f t="shared" si="34"/>
        <v>203.48513862195352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7.2264102564102561</v>
      </c>
      <c r="AI21" s="13">
        <f>IF('Données projet'!$A$62&gt;35,AI20+AH21-AQ20,IF(A21&lt;'Données projet'!$A$62,$AF$205^A21,IF(A21='Données projet'!$A$62,'Données projet'!$B$62,AI20+AH21-AQ20)))</f>
        <v>25.213104335913162</v>
      </c>
      <c r="AJ21" s="13">
        <f>AI21*VLOOKUP('Données projet'!$B$10,Paramètres!$A$1:$I$89,3,0)*VLOOKUP('Données projet'!$B$10,Paramètres!$A$1:$I$89,5,0)</f>
        <v>11.799732829207361</v>
      </c>
      <c r="AK21" s="13">
        <f t="shared" si="35"/>
        <v>4.079982665155371</v>
      </c>
      <c r="AL21" s="20">
        <f t="shared" si="4"/>
        <v>27.657171152681755</v>
      </c>
      <c r="AM21" s="59">
        <f t="shared" si="5"/>
        <v>320.99050448601508</v>
      </c>
      <c r="AN21" s="59">
        <f ca="1">AVERAGE(OFFSET($AM$3,0,0,'Données projet'!$E$10+1,1))-AVERAGE(OFFSET($H$3,0,0,'Données projet'!$E$10+1,1))</f>
        <v>158.58786357608489</v>
      </c>
      <c r="AO21" s="59">
        <f t="shared" si="36"/>
        <v>163.20074068819849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148.17692307692306</v>
      </c>
      <c r="L22" s="12">
        <f>VLOOKUP(A22,'Données projet'!$A$35:$I$55,9,0)</f>
        <v>7.7987854251012134</v>
      </c>
      <c r="M22" s="12">
        <f t="array" ref="M22">INDEX(L:L,MIN(IF(ISNUMBER(L22:L218),ROW(L22:L218),"")))</f>
        <v>7.7987854251012134</v>
      </c>
      <c r="N22" s="13">
        <f>IF('Données projet'!$A$36&gt;35,N21+M22-V21,IF(A22&lt;'Données projet'!$A$36,$K$205^A22,IF(A22='Données projet'!$A$36,'Données projet'!$B$36,N21+M22-V21)))</f>
        <v>148.17692307692306</v>
      </c>
      <c r="O22" s="13">
        <f>N22*VLOOKUP('Données projet'!$B$9,Paramètres!$A$1:$I$89,3,0)*VLOOKUP('Données projet'!$B$9,Paramètres!$A$1:$I$89,5,0)</f>
        <v>82.830899999999986</v>
      </c>
      <c r="P22" s="13">
        <f t="shared" si="33"/>
        <v>22.827946813839315</v>
      </c>
      <c r="Q22" s="20">
        <f t="shared" si="2"/>
        <v>184.02249153410344</v>
      </c>
      <c r="R22" s="59">
        <f t="shared" si="0"/>
        <v>477.35582486743675</v>
      </c>
      <c r="S22" s="59">
        <f ca="1">AVERAGE(OFFSET($R$3,0,0,'Données projet'!$E$9+1,1))-AVERAGE(OFFSET($H$3,0,0,'Données projet'!$E$9+1,1))</f>
        <v>224.7049802939942</v>
      </c>
      <c r="T22" s="59">
        <f t="shared" si="34"/>
        <v>203.48513862195352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7.2264102564102561</v>
      </c>
      <c r="AI22" s="13">
        <f>IF('Données projet'!$A$62&gt;35,AI21+AH22-AQ21,IF(A22&lt;'Données projet'!$A$62,$AF$205^A22,IF(A22='Données projet'!$A$62,'Données projet'!$B$62,AI21+AH22-AQ21)))</f>
        <v>30.164383244315122</v>
      </c>
      <c r="AJ22" s="13">
        <f>AI22*VLOOKUP('Données projet'!$B$10,Paramètres!$A$1:$I$89,3,0)*VLOOKUP('Données projet'!$B$10,Paramètres!$A$1:$I$89,5,0)</f>
        <v>14.116931358339476</v>
      </c>
      <c r="AK22" s="13">
        <f t="shared" si="35"/>
        <v>4.7803819359082427</v>
      </c>
      <c r="AL22" s="20">
        <f t="shared" si="4"/>
        <v>32.912820654148106</v>
      </c>
      <c r="AM22" s="59">
        <f t="shared" si="5"/>
        <v>326.24615398748142</v>
      </c>
      <c r="AN22" s="59">
        <f ca="1">AVERAGE(OFFSET($AM$3,0,0,'Données projet'!$E$10+1,1))-AVERAGE(OFFSET($H$3,0,0,'Données projet'!$E$10+1,1))</f>
        <v>158.58786357608489</v>
      </c>
      <c r="AO22" s="59">
        <f t="shared" si="36"/>
        <v>163.20074068819849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15.942307692307708</v>
      </c>
      <c r="N23" s="13">
        <f>IF('Données projet'!$A$36&gt;35,N22+M23-V22,IF(A23&lt;'Données projet'!$A$36,$K$205^A23,IF(A23='Données projet'!$A$36,'Données projet'!$B$36,N22+M23-V22)))</f>
        <v>164.11923076923077</v>
      </c>
      <c r="O23" s="13">
        <f>N23*VLOOKUP('Données projet'!$B$9,Paramètres!$A$1:$I$89,3,0)*VLOOKUP('Données projet'!$B$9,Paramètres!$A$1:$I$89,5,0)</f>
        <v>91.742650000000012</v>
      </c>
      <c r="P23" s="13">
        <f t="shared" si="33"/>
        <v>24.985039964008102</v>
      </c>
      <c r="Q23" s="20">
        <f t="shared" si="2"/>
        <v>203.3007266873141</v>
      </c>
      <c r="R23" s="59">
        <f t="shared" si="0"/>
        <v>496.63406002064744</v>
      </c>
      <c r="S23" s="59">
        <f ca="1">AVERAGE(OFFSET($R$3,0,0,'Données projet'!$E$9+1,1))-AVERAGE(OFFSET($H$3,0,0,'Données projet'!$E$9+1,1))</f>
        <v>224.7049802939942</v>
      </c>
      <c r="T23" s="59">
        <f t="shared" si="34"/>
        <v>203.48513862195352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7.2264102564102561</v>
      </c>
      <c r="AI23" s="13">
        <f>IF('Données projet'!$A$62&gt;35,AI22+AH23-AQ22,IF(A23&lt;'Données projet'!$A$62,$AF$205^A23,IF(A23='Données projet'!$A$62,'Données projet'!$B$62,AI22+AH23-AQ22)))</f>
        <v>36.0879804560157</v>
      </c>
      <c r="AJ23" s="13">
        <f>AI23*VLOOKUP('Données projet'!$B$10,Paramètres!$A$1:$I$89,3,0)*VLOOKUP('Données projet'!$B$10,Paramètres!$A$1:$I$89,5,0)</f>
        <v>16.889174853415348</v>
      </c>
      <c r="AK23" s="13">
        <f t="shared" si="35"/>
        <v>5.6010168004690764</v>
      </c>
      <c r="AL23" s="20">
        <f t="shared" si="4"/>
        <v>39.170417130515368</v>
      </c>
      <c r="AM23" s="59">
        <f t="shared" si="5"/>
        <v>332.50375046384869</v>
      </c>
      <c r="AN23" s="59">
        <f ca="1">AVERAGE(OFFSET($AM$3,0,0,'Données projet'!$E$10+1,1))-AVERAGE(OFFSET($H$3,0,0,'Données projet'!$E$10+1,1))</f>
        <v>158.58786357608489</v>
      </c>
      <c r="AO23" s="59">
        <f t="shared" si="36"/>
        <v>163.20074068819849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180.06153846153848</v>
      </c>
      <c r="L24" s="12">
        <f>VLOOKUP(A24,'Données projet'!$A$35:$I$55,9,0)</f>
        <v>15.942307692307708</v>
      </c>
      <c r="M24" s="12">
        <f t="array" ref="M24">INDEX(L:L,MIN(IF(ISNUMBER(L24:L220),ROW(L24:L220),"")))</f>
        <v>15.942307692307708</v>
      </c>
      <c r="N24" s="13">
        <f>IF('Données projet'!$A$36&gt;35,N23+M24-V23,IF(A24&lt;'Données projet'!$A$36,$K$205^A24,IF(A24='Données projet'!$A$36,'Données projet'!$B$36,N23+M24-V23)))</f>
        <v>180.06153846153848</v>
      </c>
      <c r="O24" s="13">
        <f>N24*VLOOKUP('Données projet'!$B$9,Paramètres!$A$1:$I$89,3,0)*VLOOKUP('Données projet'!$B$9,Paramètres!$A$1:$I$89,5,0)</f>
        <v>100.65440000000001</v>
      </c>
      <c r="P24" s="13">
        <f t="shared" si="33"/>
        <v>27.117840091618859</v>
      </c>
      <c r="Q24" s="20">
        <f t="shared" si="2"/>
        <v>222.53665149290285</v>
      </c>
      <c r="R24" s="59">
        <f t="shared" si="0"/>
        <v>515.86998482623619</v>
      </c>
      <c r="S24" s="59">
        <f ca="1">AVERAGE(OFFSET($R$3,0,0,'Données projet'!$E$9+1,1))-AVERAGE(OFFSET($H$3,0,0,'Données projet'!$E$9+1,1))</f>
        <v>224.7049802939942</v>
      </c>
      <c r="T24" s="59">
        <f t="shared" si="34"/>
        <v>203.48513862195352</v>
      </c>
      <c r="U24" s="15">
        <f>IF(ISNA(VLOOKUP(A24,'Données projet'!$A$35:$I$55,3,0)),0,VLOOKUP(A24,'Données projet'!$A$35:$I$55,3,0))</f>
        <v>1</v>
      </c>
      <c r="V24" s="15">
        <f>IF(ISNA(VLOOKUP(A24,'Données projet'!$A$35:$I$55,4,0)),0,VLOOKUP(A24,'Données projet'!$A$35:$I$55,4,0))</f>
        <v>61.169230769230765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0.27500000000000002</v>
      </c>
      <c r="Y24" s="16">
        <f>IF(ISNA(VLOOKUP(A24,'Données projet'!$A$35:$I$55,7,0)),0%,VLOOKUP(A24,'Données projet'!$A$35:$I$55,7,0))</f>
        <v>0.5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12.424889043448148</v>
      </c>
      <c r="AB24" s="21">
        <f>EXP(-LN(2)/2)*AB23+(1-EXP(-LN(2)/2))/(LN(2)/2)*V24*Y24*VLOOKUP('Données projet'!$B$9,Paramètres!$A$1:$I$89,3,0)*0.475*44/12</f>
        <v>19.357549144350479</v>
      </c>
      <c r="AC24" s="22">
        <f t="shared" si="3"/>
        <v>31.782438187798626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7.2264102564102561</v>
      </c>
      <c r="AI24" s="13">
        <f>IF('Données projet'!$A$62&gt;35,AI23+AH24-AQ23,IF(A24&lt;'Données projet'!$A$62,$AF$205^A24,IF(A24='Données projet'!$A$62,'Données projet'!$B$62,AI23+AH24-AQ23)))</f>
        <v>43.17483711984115</v>
      </c>
      <c r="AJ24" s="13">
        <f>AI24*VLOOKUP('Données projet'!$B$10,Paramètres!$A$1:$I$89,3,0)*VLOOKUP('Données projet'!$B$10,Paramètres!$A$1:$I$89,5,0)</f>
        <v>20.205823772085658</v>
      </c>
      <c r="AK24" s="13">
        <f t="shared" si="35"/>
        <v>6.5625277686471071</v>
      </c>
      <c r="AL24" s="20">
        <f t="shared" si="4"/>
        <v>46.621545600109563</v>
      </c>
      <c r="AM24" s="59">
        <f t="shared" si="5"/>
        <v>339.9548789334429</v>
      </c>
      <c r="AN24" s="59">
        <f ca="1">AVERAGE(OFFSET($AM$3,0,0,'Données projet'!$E$10+1,1))-AVERAGE(OFFSET($H$3,0,0,'Données projet'!$E$10+1,1))</f>
        <v>158.58786357608489</v>
      </c>
      <c r="AO24" s="59">
        <f t="shared" si="36"/>
        <v>163.20074068819849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16.687912087912085</v>
      </c>
      <c r="N25" s="13">
        <f>IF('Données projet'!$A$36&gt;35,N24+M25-V24,IF(A25&lt;'Données projet'!$A$36,$K$205^A25,IF(A25='Données projet'!$A$36,'Données projet'!$B$36,N24+M25-V24)))</f>
        <v>135.58021978021981</v>
      </c>
      <c r="O25" s="13">
        <f>N25*VLOOKUP('Données projet'!$B$9,Paramètres!$A$1:$I$89,3,0)*VLOOKUP('Données projet'!$B$9,Paramètres!$A$1:$I$89,5,0)</f>
        <v>75.78934285714287</v>
      </c>
      <c r="P25" s="13">
        <f t="shared" si="33"/>
        <v>21.104439314832948</v>
      </c>
      <c r="Q25" s="20">
        <f t="shared" si="2"/>
        <v>168.7566706161912</v>
      </c>
      <c r="R25" s="59">
        <f t="shared" si="0"/>
        <v>462.09000394952454</v>
      </c>
      <c r="S25" s="59">
        <f ca="1">AVERAGE(OFFSET($R$3,0,0,'Données projet'!$E$9+1,1))-AVERAGE(OFFSET($H$3,0,0,'Données projet'!$E$9+1,1))</f>
        <v>224.7049802939942</v>
      </c>
      <c r="T25" s="59">
        <f t="shared" si="34"/>
        <v>203.48513862195352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12.085129799158542</v>
      </c>
      <c r="AB25" s="21">
        <f>EXP(-LN(2)/2)*AB24+(1-EXP(-LN(2)/2))/(LN(2)/2)*V25*Y25*VLOOKUP('Données projet'!$B$9,Paramètres!$A$1:$I$89,3,0)*0.475*44/12</f>
        <v>13.687854267122075</v>
      </c>
      <c r="AC25" s="22">
        <f t="shared" si="3"/>
        <v>25.772984066280618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7.2264102564102561</v>
      </c>
      <c r="AI25" s="13">
        <f>IF('Données projet'!$A$62&gt;35,AI24+AH25-AQ24,IF(A25&lt;'Données projet'!$A$62,$AF$205^A25,IF(A25='Données projet'!$A$62,'Données projet'!$B$62,AI24+AH25-AQ24)))</f>
        <v>51.653390873361616</v>
      </c>
      <c r="AJ25" s="13">
        <f>AI25*VLOOKUP('Données projet'!$B$10,Paramètres!$A$1:$I$89,3,0)*VLOOKUP('Données projet'!$B$10,Paramètres!$A$1:$I$89,5,0)</f>
        <v>24.173786928733236</v>
      </c>
      <c r="AK25" s="13">
        <f t="shared" si="35"/>
        <v>7.6890986491341353</v>
      </c>
      <c r="AL25" s="20">
        <f t="shared" si="4"/>
        <v>55.494525714785674</v>
      </c>
      <c r="AM25" s="59">
        <f t="shared" si="5"/>
        <v>348.82785904811897</v>
      </c>
      <c r="AN25" s="59">
        <f ca="1">AVERAGE(OFFSET($AM$3,0,0,'Données projet'!$E$10+1,1))-AVERAGE(OFFSET($H$3,0,0,'Données projet'!$E$10+1,1))</f>
        <v>158.58786357608489</v>
      </c>
      <c r="AO25" s="59">
        <f t="shared" si="36"/>
        <v>163.20074068819849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16.687912087912085</v>
      </c>
      <c r="N26" s="13">
        <f>IF('Données projet'!$A$36&gt;35,N25+M26-V25,IF(A26&lt;'Données projet'!$A$36,$K$205^A26,IF(A26='Données projet'!$A$36,'Données projet'!$B$36,N25+M26-V25)))</f>
        <v>152.26813186813189</v>
      </c>
      <c r="O26" s="13">
        <f>N26*VLOOKUP('Données projet'!$B$9,Paramètres!$A$1:$I$89,3,0)*VLOOKUP('Données projet'!$B$9,Paramètres!$A$1:$I$89,5,0)</f>
        <v>85.11788571428572</v>
      </c>
      <c r="P26" s="13">
        <f t="shared" si="33"/>
        <v>23.383981996566973</v>
      </c>
      <c r="Q26" s="20">
        <f t="shared" si="2"/>
        <v>188.97408626306844</v>
      </c>
      <c r="R26" s="59">
        <f t="shared" si="0"/>
        <v>482.30741959640176</v>
      </c>
      <c r="S26" s="59">
        <f ca="1">AVERAGE(OFFSET($R$3,0,0,'Données projet'!$E$9+1,1))-AVERAGE(OFFSET($H$3,0,0,'Données projet'!$E$9+1,1))</f>
        <v>224.7049802939942</v>
      </c>
      <c r="T26" s="59">
        <f t="shared" si="34"/>
        <v>203.48513862195352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11.754661289271196</v>
      </c>
      <c r="AB26" s="21">
        <f>EXP(-LN(2)/2)*AB25+(1-EXP(-LN(2)/2))/(LN(2)/2)*V26*Y26*VLOOKUP('Données projet'!$B$9,Paramètres!$A$1:$I$89,3,0)*0.475*44/12</f>
        <v>9.6787745721752412</v>
      </c>
      <c r="AC26" s="22">
        <f t="shared" si="3"/>
        <v>21.433435861446437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7.2264102564102561</v>
      </c>
      <c r="AI26" s="13">
        <f>IF('Données projet'!$A$62&gt;35,AI25+AH26-AQ25,IF(A26&lt;'Données projet'!$A$62,$AF$205^A26,IF(A26='Données projet'!$A$62,'Données projet'!$B$62,AI25+AH26-AQ25)))</f>
        <v>61.796939298472864</v>
      </c>
      <c r="AJ26" s="13">
        <f>AI26*VLOOKUP('Données projet'!$B$10,Paramètres!$A$1:$I$89,3,0)*VLOOKUP('Données projet'!$B$10,Paramètres!$A$1:$I$89,5,0)</f>
        <v>28.920967591685301</v>
      </c>
      <c r="AK26" s="13">
        <f t="shared" si="35"/>
        <v>9.0090648177637647</v>
      </c>
      <c r="AL26" s="20">
        <f t="shared" si="4"/>
        <v>66.061473113123796</v>
      </c>
      <c r="AM26" s="59">
        <f t="shared" si="5"/>
        <v>359.3948064464571</v>
      </c>
      <c r="AN26" s="59">
        <f ca="1">AVERAGE(OFFSET($AM$3,0,0,'Données projet'!$E$10+1,1))-AVERAGE(OFFSET($H$3,0,0,'Données projet'!$E$10+1,1))</f>
        <v>158.58786357608489</v>
      </c>
      <c r="AO26" s="59">
        <f t="shared" si="36"/>
        <v>163.20074068819849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16.687912087912085</v>
      </c>
      <c r="N27" s="13">
        <f>IF('Données projet'!$A$36&gt;35,N26+M27-V26,IF(A27&lt;'Données projet'!$A$36,$K$205^A27,IF(A27='Données projet'!$A$36,'Données projet'!$B$36,N26+M27-V26)))</f>
        <v>168.95604395604397</v>
      </c>
      <c r="O27" s="13">
        <f>N27*VLOOKUP('Données projet'!$B$9,Paramètres!$A$1:$I$89,3,0)*VLOOKUP('Données projet'!$B$9,Paramètres!$A$1:$I$89,5,0)</f>
        <v>94.446428571428584</v>
      </c>
      <c r="P27" s="13">
        <f t="shared" si="33"/>
        <v>25.634568296511581</v>
      </c>
      <c r="Q27" s="20">
        <f t="shared" si="2"/>
        <v>209.14106954499582</v>
      </c>
      <c r="R27" s="59">
        <f t="shared" si="0"/>
        <v>502.4744028783291</v>
      </c>
      <c r="S27" s="59">
        <f ca="1">AVERAGE(OFFSET($R$3,0,0,'Données projet'!$E$9+1,1))-AVERAGE(OFFSET($H$3,0,0,'Données projet'!$E$9+1,1))</f>
        <v>224.7049802939942</v>
      </c>
      <c r="T27" s="59">
        <f t="shared" si="34"/>
        <v>203.48513862195352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11.433229458165304</v>
      </c>
      <c r="AB27" s="21">
        <f>EXP(-LN(2)/2)*AB26+(1-EXP(-LN(2)/2))/(LN(2)/2)*V27*Y27*VLOOKUP('Données projet'!$B$9,Paramètres!$A$1:$I$89,3,0)*0.475*44/12</f>
        <v>6.8439271335610385</v>
      </c>
      <c r="AC27" s="22">
        <f t="shared" si="3"/>
        <v>18.277156591726342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7.2264102564102561</v>
      </c>
      <c r="AI27" s="13">
        <f>IF('Données projet'!$A$62&gt;35,AI26+AH27-AQ26,IF(A27&lt;'Données projet'!$A$62,$AF$205^A27,IF(A27='Données projet'!$A$62,'Données projet'!$B$62,AI26+AH27-AQ26)))</f>
        <v>73.932449391789717</v>
      </c>
      <c r="AJ27" s="13">
        <f>AI27*VLOOKUP('Données projet'!$B$10,Paramètres!$A$1:$I$89,3,0)*VLOOKUP('Données projet'!$B$10,Paramètres!$A$1:$I$89,5,0)</f>
        <v>34.600386315357589</v>
      </c>
      <c r="AK27" s="13">
        <f t="shared" si="35"/>
        <v>10.555625905490055</v>
      </c>
      <c r="AL27" s="20">
        <f t="shared" si="4"/>
        <v>78.646721284642979</v>
      </c>
      <c r="AM27" s="59">
        <f t="shared" si="5"/>
        <v>371.98005461797629</v>
      </c>
      <c r="AN27" s="59">
        <f ca="1">AVERAGE(OFFSET($AM$3,0,0,'Données projet'!$E$10+1,1))-AVERAGE(OFFSET($H$3,0,0,'Données projet'!$E$10+1,1))</f>
        <v>158.58786357608489</v>
      </c>
      <c r="AO27" s="59">
        <f t="shared" si="36"/>
        <v>163.20074068819849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16.687912087912085</v>
      </c>
      <c r="N28" s="13">
        <f>IF('Données projet'!$A$36&gt;35,N27+M28-V27,IF(A28&lt;'Données projet'!$A$36,$K$205^A28,IF(A28='Données projet'!$A$36,'Données projet'!$B$36,N27+M28-V27)))</f>
        <v>185.64395604395605</v>
      </c>
      <c r="O28" s="13">
        <f>N28*VLOOKUP('Données projet'!$B$9,Paramètres!$A$1:$I$89,3,0)*VLOOKUP('Données projet'!$B$9,Paramètres!$A$1:$I$89,5,0)</f>
        <v>103.77497142857143</v>
      </c>
      <c r="P28" s="13">
        <f t="shared" si="33"/>
        <v>27.859383782043167</v>
      </c>
      <c r="Q28" s="20">
        <f t="shared" si="2"/>
        <v>229.2631686584871</v>
      </c>
      <c r="R28" s="59">
        <f t="shared" si="0"/>
        <v>522.59650199182045</v>
      </c>
      <c r="S28" s="59">
        <f ca="1">AVERAGE(OFFSET($R$3,0,0,'Données projet'!$E$9+1,1))-AVERAGE(OFFSET($H$3,0,0,'Données projet'!$E$9+1,1))</f>
        <v>224.7049802939942</v>
      </c>
      <c r="T28" s="59">
        <f t="shared" si="34"/>
        <v>203.48513862195352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11.120587197384367</v>
      </c>
      <c r="AB28" s="21">
        <f>EXP(-LN(2)/2)*AB27+(1-EXP(-LN(2)/2))/(LN(2)/2)*V28*Y28*VLOOKUP('Données projet'!$B$9,Paramètres!$A$1:$I$89,3,0)*0.475*44/12</f>
        <v>4.8393872860876206</v>
      </c>
      <c r="AC28" s="22">
        <f t="shared" si="3"/>
        <v>15.959974483471989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7.2264102564102561</v>
      </c>
      <c r="AI28" s="13">
        <f>IF('Données projet'!$A$62&gt;35,AI27+AH28-AQ27,IF(A28&lt;'Données projet'!$A$62,$AF$205^A28,IF(A28='Données projet'!$A$62,'Données projet'!$B$62,AI27+AH28-AQ27)))</f>
        <v>88.451097014195071</v>
      </c>
      <c r="AJ28" s="13">
        <f>AI28*VLOOKUP('Données projet'!$B$10,Paramètres!$A$1:$I$89,3,0)*VLOOKUP('Données projet'!$B$10,Paramètres!$A$1:$I$89,5,0)</f>
        <v>41.39511340264329</v>
      </c>
      <c r="AK28" s="13">
        <f t="shared" si="35"/>
        <v>12.367680831528276</v>
      </c>
      <c r="AL28" s="20">
        <f t="shared" si="4"/>
        <v>93.636866624515463</v>
      </c>
      <c r="AM28" s="59">
        <f t="shared" si="5"/>
        <v>386.97019995784876</v>
      </c>
      <c r="AN28" s="59">
        <f ca="1">AVERAGE(OFFSET($AM$3,0,0,'Données projet'!$E$10+1,1))-AVERAGE(OFFSET($H$3,0,0,'Données projet'!$E$10+1,1))</f>
        <v>158.58786357608489</v>
      </c>
      <c r="AO28" s="59">
        <f t="shared" si="36"/>
        <v>163.20074068819849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16.687912087912085</v>
      </c>
      <c r="N29" s="13">
        <f>IF('Données projet'!$A$36&gt;35,N28+M29-V28,IF(A29&lt;'Données projet'!$A$36,$K$205^A29,IF(A29='Données projet'!$A$36,'Données projet'!$B$36,N28+M29-V28)))</f>
        <v>202.33186813186813</v>
      </c>
      <c r="O29" s="13">
        <f>N29*VLOOKUP('Données projet'!$B$9,Paramètres!$A$1:$I$89,3,0)*VLOOKUP('Données projet'!$B$9,Paramètres!$A$1:$I$89,5,0)</f>
        <v>113.1035142857143</v>
      </c>
      <c r="P29" s="13">
        <f t="shared" si="33"/>
        <v>30.061008485627202</v>
      </c>
      <c r="Q29" s="20">
        <f t="shared" si="2"/>
        <v>249.34487716008644</v>
      </c>
      <c r="R29" s="59">
        <f t="shared" si="0"/>
        <v>542.67821049341978</v>
      </c>
      <c r="S29" s="59">
        <f ca="1">AVERAGE(OFFSET($R$3,0,0,'Données projet'!$E$9+1,1))-AVERAGE(OFFSET($H$3,0,0,'Données projet'!$E$9+1,1))</f>
        <v>224.7049802939942</v>
      </c>
      <c r="T29" s="59">
        <f t="shared" si="34"/>
        <v>203.48513862195352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10.816494155665627</v>
      </c>
      <c r="AB29" s="21">
        <f>EXP(-LN(2)/2)*AB28+(1-EXP(-LN(2)/2))/(LN(2)/2)*V29*Y29*VLOOKUP('Données projet'!$B$9,Paramètres!$A$1:$I$89,3,0)*0.475*44/12</f>
        <v>3.4219635667805193</v>
      </c>
      <c r="AC29" s="22">
        <f t="shared" si="3"/>
        <v>14.238457722446146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7.2264102564102561</v>
      </c>
      <c r="AI29" s="13">
        <f>IF('Données projet'!$A$62&gt;35,AI28+AH29-AQ28,IF(A29&lt;'Données projet'!$A$62,$AF$205^A29,IF(A29='Données projet'!$A$62,'Données projet'!$B$62,AI28+AH29-AQ28)))</f>
        <v>105.82087604801265</v>
      </c>
      <c r="AJ29" s="13">
        <f>AI29*VLOOKUP('Données projet'!$B$10,Paramètres!$A$1:$I$89,3,0)*VLOOKUP('Données projet'!$B$10,Paramètres!$A$1:$I$89,5,0)</f>
        <v>49.524169990469915</v>
      </c>
      <c r="AK29" s="13">
        <f t="shared" si="35"/>
        <v>14.490806184311312</v>
      </c>
      <c r="AL29" s="20">
        <f t="shared" si="4"/>
        <v>111.4927501710773</v>
      </c>
      <c r="AM29" s="59">
        <f t="shared" si="5"/>
        <v>404.82608350441063</v>
      </c>
      <c r="AN29" s="59">
        <f ca="1">AVERAGE(OFFSET($AM$3,0,0,'Données projet'!$E$10+1,1))-AVERAGE(OFFSET($H$3,0,0,'Données projet'!$E$10+1,1))</f>
        <v>158.58786357608489</v>
      </c>
      <c r="AO29" s="59">
        <f t="shared" si="36"/>
        <v>163.20074068819849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16.687912087912085</v>
      </c>
      <c r="N30" s="13">
        <f>IF('Données projet'!$A$36&gt;35,N29+M30-V29,IF(A30&lt;'Données projet'!$A$36,$K$205^A30,IF(A30='Données projet'!$A$36,'Données projet'!$B$36,N29+M30-V29)))</f>
        <v>219.01978021978022</v>
      </c>
      <c r="O30" s="13">
        <f>N30*VLOOKUP('Données projet'!$B$9,Paramètres!$A$1:$I$89,3,0)*VLOOKUP('Données projet'!$B$9,Paramètres!$A$1:$I$89,5,0)</f>
        <v>122.43205714285713</v>
      </c>
      <c r="P30" s="13">
        <f t="shared" si="33"/>
        <v>32.241572593058322</v>
      </c>
      <c r="Q30" s="20">
        <f t="shared" si="2"/>
        <v>269.38990512338609</v>
      </c>
      <c r="R30" s="59">
        <f t="shared" si="0"/>
        <v>562.7232384567194</v>
      </c>
      <c r="S30" s="59">
        <f ca="1">AVERAGE(OFFSET($R$3,0,0,'Données projet'!$E$9+1,1))-AVERAGE(OFFSET($H$3,0,0,'Données projet'!$E$9+1,1))</f>
        <v>224.7049802939942</v>
      </c>
      <c r="T30" s="59">
        <f t="shared" si="34"/>
        <v>203.48513862195352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10.520716554164244</v>
      </c>
      <c r="AB30" s="21">
        <f>EXP(-LN(2)/2)*AB29+(1-EXP(-LN(2)/2))/(LN(2)/2)*V30*Y30*VLOOKUP('Données projet'!$B$9,Paramètres!$A$1:$I$89,3,0)*0.475*44/12</f>
        <v>2.4196936430438103</v>
      </c>
      <c r="AC30" s="22">
        <f t="shared" si="3"/>
        <v>12.940410197208054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7.2264102564102561</v>
      </c>
      <c r="AI30" s="13">
        <f>IF('Données projet'!$A$62&gt;35,AI29+AH30-AQ29,IF(A30&lt;'Données projet'!$A$62,$AF$205^A30,IF(A30='Données projet'!$A$62,'Données projet'!$B$62,AI29+AH30-AQ29)))</f>
        <v>126.60168370519743</v>
      </c>
      <c r="AJ30" s="13">
        <f>AI30*VLOOKUP('Données projet'!$B$10,Paramètres!$A$1:$I$89,3,0)*VLOOKUP('Données projet'!$B$10,Paramètres!$A$1:$I$89,5,0)</f>
        <v>59.249587974032401</v>
      </c>
      <c r="AK30" s="13">
        <f t="shared" si="35"/>
        <v>16.97840255838226</v>
      </c>
      <c r="AL30" s="20">
        <f t="shared" si="4"/>
        <v>132.76375017728887</v>
      </c>
      <c r="AM30" s="59">
        <f t="shared" si="5"/>
        <v>426.09708351062216</v>
      </c>
      <c r="AN30" s="59">
        <f ca="1">AVERAGE(OFFSET($AM$3,0,0,'Données projet'!$E$10+1,1))-AVERAGE(OFFSET($H$3,0,0,'Données projet'!$E$10+1,1))</f>
        <v>158.58786357608489</v>
      </c>
      <c r="AO30" s="59">
        <f t="shared" si="36"/>
        <v>163.20074068819849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235.7076923076923</v>
      </c>
      <c r="L31" s="12">
        <f>VLOOKUP(A31,'Données projet'!$A$35:$I$55,9,0)</f>
        <v>16.687912087912085</v>
      </c>
      <c r="M31" s="12">
        <f t="array" ref="M31">INDEX(L:L,MIN(IF(ISNUMBER(L31:L227),ROW(L31:L227),"")))</f>
        <v>16.687912087912085</v>
      </c>
      <c r="N31" s="13">
        <f>IF('Données projet'!$A$36&gt;35,N30+M31-V30,IF(A31&lt;'Données projet'!$A$36,$K$205^A31,IF(A31='Données projet'!$A$36,'Données projet'!$B$36,N30+M31-V30)))</f>
        <v>235.7076923076923</v>
      </c>
      <c r="O31" s="13">
        <f>N31*VLOOKUP('Données projet'!$B$9,Paramètres!$A$1:$I$89,3,0)*VLOOKUP('Données projet'!$B$9,Paramètres!$A$1:$I$89,5,0)</f>
        <v>131.76059999999998</v>
      </c>
      <c r="P31" s="13">
        <f t="shared" si="33"/>
        <v>34.402863243711892</v>
      </c>
      <c r="Q31" s="20">
        <f t="shared" si="2"/>
        <v>289.40136514946488</v>
      </c>
      <c r="R31" s="59">
        <f t="shared" si="0"/>
        <v>582.73469848279819</v>
      </c>
      <c r="S31" s="59">
        <f ca="1">AVERAGE(OFFSET($R$3,0,0,'Données projet'!$E$9+1,1))-AVERAGE(OFFSET($H$3,0,0,'Données projet'!$E$9+1,1))</f>
        <v>224.7049802939942</v>
      </c>
      <c r="T31" s="59">
        <f t="shared" si="34"/>
        <v>203.48513862195352</v>
      </c>
      <c r="U31" s="15">
        <f>IF(ISNA(VLOOKUP(A31,'Données projet'!$A$35:$I$55,3,0)),0,VLOOKUP(A31,'Données projet'!$A$35:$I$55,3,0))</f>
        <v>2</v>
      </c>
      <c r="V31" s="15">
        <f>IF(ISNA(VLOOKUP(A31,'Données projet'!$A$35:$I$55,4,0)),0,VLOOKUP(A31,'Données projet'!$A$35:$I$55,4,0))</f>
        <v>56.91538461538461</v>
      </c>
      <c r="W31" s="16">
        <f>IF(ISNA(VLOOKUP(A31,'Données projet'!$A$35:$I$55,5,0)),0%,VLOOKUP(A31,'Données projet'!$A$35:$I$55,5,0)*VLOOKUP('Données projet'!$B$9,Paramètres!$A$1:$I$89,7,0))</f>
        <v>5.5000000000000007E-2</v>
      </c>
      <c r="X31" s="16">
        <f>IF(ISNA(VLOOKUP(A31,'Données projet'!$A$35:$I$55,6,0)),0%,VLOOKUP(A31,'Données projet'!$A$35:$I$55,6,0)*VLOOKUP('Données projet'!$B$9,Paramètres!$A$1:$I$89,7,0))</f>
        <v>0.24750000000000003</v>
      </c>
      <c r="Y31" s="16">
        <f>IF(ISNA(VLOOKUP(A31,'Données projet'!$A$35:$I$55,7,0)),0%,VLOOKUP(A31,'Données projet'!$A$35:$I$55,7,0))</f>
        <v>0.45</v>
      </c>
      <c r="Z31" s="21">
        <f>EXP(-LN(2)/35)*Z30+(1-EXP(-LN(2)/35))/(LN(2)/35)*V31*W31*VLOOKUP('Données projet'!$B$9,Paramètres!$A$1:$I$89,3,0)*0.475*44/12</f>
        <v>2.3213067209710281</v>
      </c>
      <c r="AA31" s="21">
        <f>EXP(-LN(2)/25)*AA30+(1-EXP(-LN(2)/25))/(LN(2)/25)*Calculateur!V31*Calculateur!X31*VLOOKUP('Données projet'!$B$9,Paramètres!$A$1:$I$89,3,0)*0.475*44/12</f>
        <v>20.637777840385311</v>
      </c>
      <c r="AB31" s="21">
        <f>EXP(-LN(2)/2)*AB30+(1-EXP(-LN(2)/2))/(LN(2)/2)*V31*Y31*VLOOKUP('Données projet'!$B$9,Paramètres!$A$1:$I$89,3,0)*0.475*44/12</f>
        <v>17.921225182176006</v>
      </c>
      <c r="AC31" s="22">
        <f t="shared" si="3"/>
        <v>40.880309743532344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7.2264102564102561</v>
      </c>
      <c r="AI31" s="13">
        <f>IF('Données projet'!$A$62&gt;35,AI30+AH31-AQ30,IF(A31&lt;'Données projet'!$A$62,$AF$205^A31,IF(A31='Données projet'!$A$62,'Données projet'!$B$62,AI30+AH31-AQ30)))</f>
        <v>151.46336824615491</v>
      </c>
      <c r="AJ31" s="13">
        <f>AI31*VLOOKUP('Données projet'!$B$10,Paramètres!$A$1:$I$89,3,0)*VLOOKUP('Données projet'!$B$10,Paramètres!$A$1:$I$89,5,0)</f>
        <v>70.884856339200496</v>
      </c>
      <c r="AK31" s="13">
        <f t="shared" si="35"/>
        <v>19.893037679751526</v>
      </c>
      <c r="AL31" s="20">
        <f t="shared" si="4"/>
        <v>158.10483208300809</v>
      </c>
      <c r="AM31" s="59">
        <f t="shared" si="5"/>
        <v>451.43816541634141</v>
      </c>
      <c r="AN31" s="59">
        <f ca="1">AVERAGE(OFFSET($AM$3,0,0,'Données projet'!$E$10+1,1))-AVERAGE(OFFSET($H$3,0,0,'Données projet'!$E$10+1,1))</f>
        <v>158.58786357608489</v>
      </c>
      <c r="AO31" s="59">
        <f t="shared" si="36"/>
        <v>163.20074068819849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18.099999999999998</v>
      </c>
      <c r="N32" s="13">
        <f>IF('Données projet'!$A$36&gt;35,N31+M32-V31,IF(A32&lt;'Données projet'!$A$36,$K$205^A32,IF(A32='Données projet'!$A$36,'Données projet'!$B$36,N31+M32-V31)))</f>
        <v>196.89230769230767</v>
      </c>
      <c r="O32" s="13">
        <f>N32*VLOOKUP('Données projet'!$B$9,Paramètres!$A$1:$I$89,3,0)*VLOOKUP('Données projet'!$B$9,Paramètres!$A$1:$I$89,5,0)</f>
        <v>110.0628</v>
      </c>
      <c r="P32" s="13">
        <f t="shared" si="33"/>
        <v>29.345780250854382</v>
      </c>
      <c r="Q32" s="20">
        <f t="shared" si="2"/>
        <v>242.80327727023806</v>
      </c>
      <c r="R32" s="59">
        <f t="shared" si="0"/>
        <v>536.1366106035714</v>
      </c>
      <c r="S32" s="59">
        <f ca="1">AVERAGE(OFFSET($R$3,0,0,'Données projet'!$E$9+1,1))-AVERAGE(OFFSET($H$3,0,0,'Données projet'!$E$9+1,1))</f>
        <v>224.7049802939942</v>
      </c>
      <c r="T32" s="59">
        <f t="shared" si="34"/>
        <v>203.48513862195352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2.2757873120300816</v>
      </c>
      <c r="AA32" s="21">
        <f>EXP(-LN(2)/25)*AA31+(1-EXP(-LN(2)/25))/(LN(2)/25)*Calculateur!V32*Calculateur!X32*VLOOKUP('Données projet'!$B$9,Paramètres!$A$1:$I$89,3,0)*0.475*44/12</f>
        <v>20.073436720046406</v>
      </c>
      <c r="AB32" s="21">
        <f>EXP(-LN(2)/2)*AB31+(1-EXP(-LN(2)/2))/(LN(2)/2)*V32*Y32*VLOOKUP('Données projet'!$B$9,Paramètres!$A$1:$I$89,3,0)*0.475*44/12</f>
        <v>12.672219853487775</v>
      </c>
      <c r="AC32" s="22">
        <f t="shared" si="3"/>
        <v>35.021443885564267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7.2264102564102561</v>
      </c>
      <c r="AI32" s="13">
        <f>IF('Données projet'!$A$62&gt;35,AI31+AH32-AQ31,IF(A32&lt;'Données projet'!$A$62,$AF$205^A32,IF(A32='Données projet'!$A$62,'Données projet'!$B$62,AI31+AH32-AQ31)))</f>
        <v>181.20732085910257</v>
      </c>
      <c r="AJ32" s="13">
        <f>AI32*VLOOKUP('Données projet'!$B$10,Paramètres!$A$1:$I$89,3,0)*VLOOKUP('Données projet'!$B$10,Paramètres!$A$1:$I$89,5,0)</f>
        <v>84.805026162060003</v>
      </c>
      <c r="AK32" s="13">
        <f t="shared" si="35"/>
        <v>23.308020101846395</v>
      </c>
      <c r="AL32" s="20">
        <f t="shared" si="4"/>
        <v>188.29688890963698</v>
      </c>
      <c r="AM32" s="59">
        <f t="shared" si="5"/>
        <v>481.63022224297026</v>
      </c>
      <c r="AN32" s="59">
        <f ca="1">AVERAGE(OFFSET($AM$3,0,0,'Données projet'!$E$10+1,1))-AVERAGE(OFFSET($H$3,0,0,'Données projet'!$E$10+1,1))</f>
        <v>158.58786357608489</v>
      </c>
      <c r="AO32" s="59">
        <f t="shared" si="36"/>
        <v>163.20074068819849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18.099999999999998</v>
      </c>
      <c r="N33" s="13">
        <f>IF('Données projet'!$A$36&gt;35,N32+M33-V32,IF(A33&lt;'Données projet'!$A$36,$K$205^A33,IF(A33='Données projet'!$A$36,'Données projet'!$B$36,N32+M33-V32)))</f>
        <v>214.99230769230766</v>
      </c>
      <c r="O33" s="13">
        <f>N33*VLOOKUP('Données projet'!$B$9,Paramètres!$A$1:$I$89,3,0)*VLOOKUP('Données projet'!$B$9,Paramètres!$A$1:$I$89,5,0)</f>
        <v>120.18069999999997</v>
      </c>
      <c r="P33" s="13">
        <f t="shared" si="33"/>
        <v>31.717140910166616</v>
      </c>
      <c r="Q33" s="20">
        <f t="shared" si="2"/>
        <v>264.55540625187342</v>
      </c>
      <c r="R33" s="59">
        <f t="shared" si="0"/>
        <v>557.88873958520674</v>
      </c>
      <c r="S33" s="59">
        <f ca="1">AVERAGE(OFFSET($R$3,0,0,'Données projet'!$E$9+1,1))-AVERAGE(OFFSET($H$3,0,0,'Données projet'!$E$9+1,1))</f>
        <v>224.7049802939942</v>
      </c>
      <c r="T33" s="59">
        <f t="shared" si="34"/>
        <v>203.48513862195352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2.2311605109343691</v>
      </c>
      <c r="AA33" s="21">
        <f>EXP(-LN(2)/25)*AA32+(1-EXP(-LN(2)/25))/(LN(2)/25)*Calculateur!V33*Calculateur!X33*VLOOKUP('Données projet'!$B$9,Paramètres!$A$1:$I$89,3,0)*0.475*44/12</f>
        <v>19.524527537320576</v>
      </c>
      <c r="AB33" s="21">
        <f>EXP(-LN(2)/2)*AB32+(1-EXP(-LN(2)/2))/(LN(2)/2)*V33*Y33*VLOOKUP('Données projet'!$B$9,Paramètres!$A$1:$I$89,3,0)*0.475*44/12</f>
        <v>8.9606125910880046</v>
      </c>
      <c r="AC33" s="22">
        <f t="shared" si="3"/>
        <v>30.716300639342951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216.79230769230767</v>
      </c>
      <c r="AG33" s="12">
        <f>VLOOKUP(A33,'Données projet'!$A$61:$I$81,9,0)</f>
        <v>7.2264102564102561</v>
      </c>
      <c r="AH33" s="12">
        <f t="array" ref="AH33">INDEX(AG:AG,MIN(IF(ISNUMBER(AG33:AG229),ROW(AG33:AG229),"")))</f>
        <v>7.2264102564102561</v>
      </c>
      <c r="AI33" s="13">
        <f>IF('Données projet'!$A$62&gt;35,AI32+AH33-AQ32,IF(A33&lt;'Données projet'!$A$62,$AF$205^A33,IF(A33='Données projet'!$A$62,'Données projet'!$B$62,AI32+AH33-AQ32)))</f>
        <v>216.79230769230767</v>
      </c>
      <c r="AJ33" s="13">
        <f>AI33*VLOOKUP('Données projet'!$B$10,Paramètres!$A$1:$I$89,3,0)*VLOOKUP('Données projet'!$B$10,Paramètres!$A$1:$I$89,5,0)</f>
        <v>101.45879999999998</v>
      </c>
      <c r="AK33" s="13">
        <f t="shared" si="35"/>
        <v>27.309243053465156</v>
      </c>
      <c r="AL33" s="20">
        <f t="shared" si="4"/>
        <v>224.27100831811845</v>
      </c>
      <c r="AM33" s="59">
        <f t="shared" si="5"/>
        <v>517.6043416514517</v>
      </c>
      <c r="AN33" s="59">
        <f ca="1">AVERAGE(OFFSET($AM$3,0,0,'Données projet'!$E$10+1,1))-AVERAGE(OFFSET($H$3,0,0,'Données projet'!$E$10+1,1))</f>
        <v>158.58786357608489</v>
      </c>
      <c r="AO33" s="59">
        <f t="shared" si="36"/>
        <v>163.20074068819849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18.099999999999998</v>
      </c>
      <c r="N34" s="13">
        <f>IF('Données projet'!$A$36&gt;35,N33+M34-V33,IF(A34&lt;'Données projet'!$A$36,$K$205^A34,IF(A34='Données projet'!$A$36,'Données projet'!$B$36,N33+M34-V33)))</f>
        <v>233.09230769230766</v>
      </c>
      <c r="O34" s="13">
        <f>N34*VLOOKUP('Données projet'!$B$9,Paramètres!$A$1:$I$89,3,0)*VLOOKUP('Données projet'!$B$9,Paramètres!$A$1:$I$89,5,0)</f>
        <v>130.29859999999999</v>
      </c>
      <c r="P34" s="13">
        <f t="shared" si="33"/>
        <v>34.065347809437199</v>
      </c>
      <c r="Q34" s="20">
        <f t="shared" si="2"/>
        <v>286.26720910143649</v>
      </c>
      <c r="R34" s="59">
        <f t="shared" si="0"/>
        <v>579.60054243476975</v>
      </c>
      <c r="S34" s="59">
        <f ca="1">AVERAGE(OFFSET($R$3,0,0,'Données projet'!$E$9+1,1))-AVERAGE(OFFSET($H$3,0,0,'Données projet'!$E$9+1,1))</f>
        <v>224.7049802939942</v>
      </c>
      <c r="T34" s="59">
        <f t="shared" si="34"/>
        <v>203.48513862195352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2.1874088141884829</v>
      </c>
      <c r="AA34" s="21">
        <f>EXP(-LN(2)/25)*AA33+(1-EXP(-LN(2)/25))/(LN(2)/25)*Calculateur!V34*Calculateur!X34*VLOOKUP('Données projet'!$B$9,Paramètres!$A$1:$I$89,3,0)*0.475*44/12</f>
        <v>18.990628305062266</v>
      </c>
      <c r="AB34" s="21">
        <f>EXP(-LN(2)/2)*AB33+(1-EXP(-LN(2)/2))/(LN(2)/2)*V34*Y34*VLOOKUP('Données projet'!$B$9,Paramètres!$A$1:$I$89,3,0)*0.475*44/12</f>
        <v>6.3361099267438883</v>
      </c>
      <c r="AC34" s="22">
        <f t="shared" si="3"/>
        <v>27.514147045994637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16.131410256410259</v>
      </c>
      <c r="AI34" s="13">
        <f>IF('Données projet'!$A$62&gt;35,AI33+AH34-AQ33,IF(A34&lt;'Données projet'!$A$62,$AF$205^A34,IF(A34='Données projet'!$A$62,'Données projet'!$B$62,AI33+AH34-AQ33)))</f>
        <v>232.92371794871792</v>
      </c>
      <c r="AJ34" s="13">
        <f>AI34*VLOOKUP('Données projet'!$B$10,Paramètres!$A$1:$I$89,3,0)*VLOOKUP('Données projet'!$B$10,Paramètres!$A$1:$I$89,5,0)</f>
        <v>109.00829999999998</v>
      </c>
      <c r="AK34" s="13">
        <f t="shared" si="35"/>
        <v>29.097209307093255</v>
      </c>
      <c r="AL34" s="20">
        <f t="shared" si="4"/>
        <v>240.53376204318738</v>
      </c>
      <c r="AM34" s="59">
        <f t="shared" si="5"/>
        <v>533.86709537652064</v>
      </c>
      <c r="AN34" s="59">
        <f ca="1">AVERAGE(OFFSET($AM$3,0,0,'Données projet'!$E$10+1,1))-AVERAGE(OFFSET($H$3,0,0,'Données projet'!$E$10+1,1))</f>
        <v>158.58786357608489</v>
      </c>
      <c r="AO34" s="59">
        <f t="shared" si="36"/>
        <v>163.20074068819849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18.099999999999998</v>
      </c>
      <c r="N35" s="13">
        <f>IF('Données projet'!$A$36&gt;35,N34+M35-V34,IF(A35&lt;'Données projet'!$A$36,$K$205^A35,IF(A35='Données projet'!$A$36,'Données projet'!$B$36,N34+M35-V34)))</f>
        <v>251.19230769230765</v>
      </c>
      <c r="O35" s="13">
        <f>N35*VLOOKUP('Données projet'!$B$9,Paramètres!$A$1:$I$89,3,0)*VLOOKUP('Données projet'!$B$9,Paramètres!$A$1:$I$89,5,0)</f>
        <v>140.41649999999998</v>
      </c>
      <c r="P35" s="13">
        <f t="shared" si="33"/>
        <v>36.392403294074647</v>
      </c>
      <c r="Q35" s="20">
        <f t="shared" ref="Q35:Q66" si="53">(O35+P35)*0.475*44/12</f>
        <v>307.94217323717999</v>
      </c>
      <c r="R35" s="59">
        <f t="shared" si="0"/>
        <v>601.27550657051324</v>
      </c>
      <c r="S35" s="59">
        <f ca="1">AVERAGE(OFFSET($R$3,0,0,'Données projet'!$E$9+1,1))-AVERAGE(OFFSET($H$3,0,0,'Données projet'!$E$9+1,1))</f>
        <v>224.7049802939942</v>
      </c>
      <c r="T35" s="59">
        <f t="shared" si="34"/>
        <v>203.48513862195352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2.1445150615298831</v>
      </c>
      <c r="AA35" s="21">
        <f>EXP(-LN(2)/25)*AA34+(1-EXP(-LN(2)/25))/(LN(2)/25)*Calculateur!V35*Calculateur!X35*VLOOKUP('Données projet'!$B$9,Paramètres!$A$1:$I$89,3,0)*0.475*44/12</f>
        <v>18.4713285753866</v>
      </c>
      <c r="AB35" s="21">
        <f>EXP(-LN(2)/2)*AB34+(1-EXP(-LN(2)/2))/(LN(2)/2)*V35*Y35*VLOOKUP('Données projet'!$B$9,Paramètres!$A$1:$I$89,3,0)*0.475*44/12</f>
        <v>4.4803062955440023</v>
      </c>
      <c r="AC35" s="22">
        <f t="shared" si="3"/>
        <v>25.096149932460484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16.131410256410259</v>
      </c>
      <c r="AI35" s="13">
        <f>IF('Données projet'!$A$62&gt;35,AI34+AH35-AQ34,IF(A35&lt;'Données projet'!$A$62,$AF$205^A35,IF(A35='Données projet'!$A$62,'Données projet'!$B$62,AI34+AH35-AQ34)))</f>
        <v>249.05512820512817</v>
      </c>
      <c r="AJ35" s="13">
        <f>AI35*VLOOKUP('Données projet'!$B$10,Paramètres!$A$1:$I$89,3,0)*VLOOKUP('Données projet'!$B$10,Paramètres!$A$1:$I$89,5,0)</f>
        <v>116.55779999999997</v>
      </c>
      <c r="AK35" s="13">
        <f t="shared" si="35"/>
        <v>30.870807833785406</v>
      </c>
      <c r="AL35" s="20">
        <f t="shared" si="4"/>
        <v>256.7714919771762</v>
      </c>
      <c r="AM35" s="59">
        <f t="shared" si="5"/>
        <v>550.10482531050957</v>
      </c>
      <c r="AN35" s="59">
        <f ca="1">AVERAGE(OFFSET($AM$3,0,0,'Données projet'!$E$10+1,1))-AVERAGE(OFFSET($H$3,0,0,'Données projet'!$E$10+1,1))</f>
        <v>158.58786357608489</v>
      </c>
      <c r="AO35" s="59">
        <f t="shared" si="36"/>
        <v>163.20074068819849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18.099999999999998</v>
      </c>
      <c r="N36" s="13">
        <f>IF('Données projet'!$A$36&gt;35,N35+M36-V35,IF(A36&lt;'Données projet'!$A$36,$K$205^A36,IF(A36='Données projet'!$A$36,'Données projet'!$B$36,N35+M36-V35)))</f>
        <v>269.29230769230765</v>
      </c>
      <c r="O36" s="13">
        <f>N36*VLOOKUP('Données projet'!$B$9,Paramètres!$A$1:$I$89,3,0)*VLOOKUP('Données projet'!$B$9,Paramètres!$A$1:$I$89,5,0)</f>
        <v>150.53439999999998</v>
      </c>
      <c r="P36" s="13">
        <f t="shared" si="33"/>
        <v>38.700004790658191</v>
      </c>
      <c r="Q36" s="20">
        <f t="shared" si="53"/>
        <v>329.58325501039627</v>
      </c>
      <c r="R36" s="59">
        <f t="shared" si="0"/>
        <v>622.91658834372959</v>
      </c>
      <c r="S36" s="59">
        <f ca="1">AVERAGE(OFFSET($R$3,0,0,'Données projet'!$E$9+1,1))-AVERAGE(OFFSET($H$3,0,0,'Données projet'!$E$9+1,1))</f>
        <v>224.7049802939942</v>
      </c>
      <c r="T36" s="59">
        <f t="shared" si="34"/>
        <v>203.48513862195352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2.1024624291983129</v>
      </c>
      <c r="AA36" s="21">
        <f>EXP(-LN(2)/25)*AA35+(1-EXP(-LN(2)/25))/(LN(2)/25)*Calculateur!V36*Calculateur!X36*VLOOKUP('Données projet'!$B$9,Paramètres!$A$1:$I$89,3,0)*0.475*44/12</f>
        <v>17.9662291241277</v>
      </c>
      <c r="AB36" s="21">
        <f>EXP(-LN(2)/2)*AB35+(1-EXP(-LN(2)/2))/(LN(2)/2)*V36*Y36*VLOOKUP('Données projet'!$B$9,Paramètres!$A$1:$I$89,3,0)*0.475*44/12</f>
        <v>3.1680549633719441</v>
      </c>
      <c r="AC36" s="22">
        <f t="shared" si="3"/>
        <v>23.236746516697956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16.131410256410259</v>
      </c>
      <c r="AI36" s="13">
        <f>IF('Données projet'!$A$62&gt;35,AI35+AH36-AQ35,IF(A36&lt;'Données projet'!$A$62,$AF$205^A36,IF(A36='Données projet'!$A$62,'Données projet'!$B$62,AI35+AH36-AQ35)))</f>
        <v>265.18653846153842</v>
      </c>
      <c r="AJ36" s="13">
        <f>AI36*VLOOKUP('Données projet'!$B$10,Paramètres!$A$1:$I$89,3,0)*VLOOKUP('Données projet'!$B$10,Paramètres!$A$1:$I$89,5,0)</f>
        <v>124.10729999999997</v>
      </c>
      <c r="AK36" s="13">
        <f t="shared" si="35"/>
        <v>32.631075149258578</v>
      </c>
      <c r="AL36" s="20">
        <f t="shared" si="4"/>
        <v>272.98600338495862</v>
      </c>
      <c r="AM36" s="59">
        <f t="shared" si="5"/>
        <v>566.31933671829188</v>
      </c>
      <c r="AN36" s="59">
        <f ca="1">AVERAGE(OFFSET($AM$3,0,0,'Données projet'!$E$10+1,1))-AVERAGE(OFFSET($H$3,0,0,'Données projet'!$E$10+1,1))</f>
        <v>158.58786357608489</v>
      </c>
      <c r="AO36" s="59">
        <f t="shared" si="36"/>
        <v>163.20074068819849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18.099999999999998</v>
      </c>
      <c r="N37" s="13">
        <f>IF('Données projet'!$A$36&gt;35,N36+M37-V36,IF(A37&lt;'Données projet'!$A$36,$K$205^A37,IF(A37='Données projet'!$A$36,'Données projet'!$B$36,N36+M37-V36)))</f>
        <v>287.39230769230767</v>
      </c>
      <c r="O37" s="13">
        <f>N37*VLOOKUP('Données projet'!$B$9,Paramètres!$A$1:$I$89,3,0)*VLOOKUP('Données projet'!$B$9,Paramètres!$A$1:$I$89,5,0)</f>
        <v>160.6523</v>
      </c>
      <c r="P37" s="13">
        <f t="shared" si="33"/>
        <v>40.989608635643826</v>
      </c>
      <c r="Q37" s="20">
        <f t="shared" si="53"/>
        <v>351.19299087374634</v>
      </c>
      <c r="R37" s="59">
        <f t="shared" si="0"/>
        <v>644.5263242070796</v>
      </c>
      <c r="S37" s="59">
        <f ca="1">AVERAGE(OFFSET($R$3,0,0,'Données projet'!$E$9+1,1))-AVERAGE(OFFSET($H$3,0,0,'Données projet'!$E$9+1,1))</f>
        <v>224.7049802939942</v>
      </c>
      <c r="T37" s="59">
        <f t="shared" si="34"/>
        <v>203.48513862195352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2.0612344233371918</v>
      </c>
      <c r="AA37" s="21">
        <f>EXP(-LN(2)/25)*AA36+(1-EXP(-LN(2)/25))/(LN(2)/25)*Calculateur!V37*Calculateur!X37*VLOOKUP('Données projet'!$B$9,Paramètres!$A$1:$I$89,3,0)*0.475*44/12</f>
        <v>17.474941643925501</v>
      </c>
      <c r="AB37" s="21">
        <f>EXP(-LN(2)/2)*AB36+(1-EXP(-LN(2)/2))/(LN(2)/2)*V37*Y37*VLOOKUP('Données projet'!$B$9,Paramètres!$A$1:$I$89,3,0)*0.475*44/12</f>
        <v>2.2401531477720011</v>
      </c>
      <c r="AC37" s="22">
        <f t="shared" si="3"/>
        <v>21.776329215034696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16.131410256410259</v>
      </c>
      <c r="AI37" s="13">
        <f>IF('Données projet'!$A$62&gt;35,AI36+AH37-AQ36,IF(A37&lt;'Données projet'!$A$62,$AF$205^A37,IF(A37='Données projet'!$A$62,'Données projet'!$B$62,AI36+AH37-AQ36)))</f>
        <v>281.3179487179487</v>
      </c>
      <c r="AJ37" s="13">
        <f>AI37*VLOOKUP('Données projet'!$B$10,Paramètres!$A$1:$I$89,3,0)*VLOOKUP('Données projet'!$B$10,Paramètres!$A$1:$I$89,5,0)</f>
        <v>131.65679999999998</v>
      </c>
      <c r="AK37" s="13">
        <f t="shared" si="35"/>
        <v>34.378914540413547</v>
      </c>
      <c r="AL37" s="20">
        <f t="shared" si="4"/>
        <v>289.17886949122021</v>
      </c>
      <c r="AM37" s="59">
        <f t="shared" si="5"/>
        <v>582.51220282455347</v>
      </c>
      <c r="AN37" s="59">
        <f ca="1">AVERAGE(OFFSET($AM$3,0,0,'Données projet'!$E$10+1,1))-AVERAGE(OFFSET($H$3,0,0,'Données projet'!$E$10+1,1))</f>
        <v>158.58786357608489</v>
      </c>
      <c r="AO37" s="59">
        <f t="shared" si="36"/>
        <v>163.20074068819849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305.49230769230769</v>
      </c>
      <c r="L38" s="12">
        <f>VLOOKUP(A38,'Données projet'!$A$35:$I$55,9,0)</f>
        <v>18.099999999999998</v>
      </c>
      <c r="M38" s="12">
        <f t="array" ref="M38">INDEX(L:L,MIN(IF(ISNUMBER(L38:L234),ROW(L38:L234),"")))</f>
        <v>18.099999999999998</v>
      </c>
      <c r="N38" s="13">
        <f>IF('Données projet'!$A$36&gt;35,N37+M38-V37,IF(A38&lt;'Données projet'!$A$36,$K$205^A38,IF(A38='Données projet'!$A$36,'Données projet'!$B$36,N37+M38-V37)))</f>
        <v>305.49230769230769</v>
      </c>
      <c r="O38" s="13">
        <f>N38*VLOOKUP('Données projet'!$B$9,Paramètres!$A$1:$I$89,3,0)*VLOOKUP('Données projet'!$B$9,Paramètres!$A$1:$I$89,5,0)</f>
        <v>170.77019999999999</v>
      </c>
      <c r="P38" s="13">
        <f t="shared" si="33"/>
        <v>43.26247735598961</v>
      </c>
      <c r="Q38" s="20">
        <f t="shared" si="53"/>
        <v>372.77357972834852</v>
      </c>
      <c r="R38" s="59">
        <f t="shared" si="0"/>
        <v>666.10691306168178</v>
      </c>
      <c r="S38" s="59">
        <f ca="1">AVERAGE(OFFSET($R$3,0,0,'Données projet'!$E$9+1,1))-AVERAGE(OFFSET($H$3,0,0,'Données projet'!$E$9+1,1))</f>
        <v>224.7049802939942</v>
      </c>
      <c r="T38" s="59">
        <f t="shared" si="34"/>
        <v>203.48513862195352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70.5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2.0208148735244067</v>
      </c>
      <c r="AA38" s="21">
        <f>EXP(-LN(2)/25)*AA37+(1-EXP(-LN(2)/25))/(LN(2)/25)*Calculateur!V38*Calculateur!X38*VLOOKUP('Données projet'!$B$9,Paramètres!$A$1:$I$89,3,0)*0.475*44/12</f>
        <v>16.997088445705117</v>
      </c>
      <c r="AB38" s="21">
        <f>EXP(-LN(2)/2)*AB37+(1-EXP(-LN(2)/2))/(LN(2)/2)*V38*Y38*VLOOKUP('Données projet'!$B$9,Paramètres!$A$1:$I$89,3,0)*0.475*44/12</f>
        <v>1.5840274816859721</v>
      </c>
      <c r="AC38" s="22">
        <f t="shared" si="3"/>
        <v>20.601930800915497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16.131410256410259</v>
      </c>
      <c r="AI38" s="13">
        <f>IF('Données projet'!$A$62&gt;35,AI37+AH38-AQ37,IF(A38&lt;'Données projet'!$A$62,$AF$205^A38,IF(A38='Données projet'!$A$62,'Données projet'!$B$62,AI37+AH38-AQ37)))</f>
        <v>297.44935897435897</v>
      </c>
      <c r="AJ38" s="13">
        <f>AI38*VLOOKUP('Données projet'!$B$10,Paramètres!$A$1:$I$89,3,0)*VLOOKUP('Données projet'!$B$10,Paramètres!$A$1:$I$89,5,0)</f>
        <v>139.2063</v>
      </c>
      <c r="AK38" s="13">
        <f t="shared" si="35"/>
        <v>36.115119849784641</v>
      </c>
      <c r="AL38" s="20">
        <f t="shared" si="4"/>
        <v>305.35147290504159</v>
      </c>
      <c r="AM38" s="59">
        <f t="shared" si="5"/>
        <v>598.6848062383749</v>
      </c>
      <c r="AN38" s="59">
        <f ca="1">AVERAGE(OFFSET($AM$3,0,0,'Données projet'!$E$10+1,1))-AVERAGE(OFFSET($H$3,0,0,'Données projet'!$E$10+1,1))</f>
        <v>158.58786357608489</v>
      </c>
      <c r="AO38" s="59">
        <f t="shared" si="36"/>
        <v>163.20074068819849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18.229670329670324</v>
      </c>
      <c r="N39" s="13">
        <f>IF('Données projet'!$A$36&gt;35,N38+M39-V38,IF(A39&lt;'Données projet'!$A$36,$K$205^A39,IF(A39='Données projet'!$A$36,'Données projet'!$B$36,N38+M39-V38)))</f>
        <v>253.22197802197803</v>
      </c>
      <c r="O39" s="13">
        <f>N39*VLOOKUP('Données projet'!$B$9,Paramètres!$A$1:$I$89,3,0)*VLOOKUP('Données projet'!$B$9,Paramètres!$A$1:$I$89,5,0)</f>
        <v>141.55108571428573</v>
      </c>
      <c r="P39" s="13">
        <f t="shared" si="33"/>
        <v>36.652109269178766</v>
      </c>
      <c r="Q39" s="20">
        <f t="shared" si="53"/>
        <v>310.37056459620067</v>
      </c>
      <c r="R39" s="59">
        <f t="shared" si="0"/>
        <v>603.70389792953392</v>
      </c>
      <c r="S39" s="59">
        <f ca="1">AVERAGE(OFFSET($R$3,0,0,'Données projet'!$E$9+1,1))-AVERAGE(OFFSET($H$3,0,0,'Données projet'!$E$9+1,1))</f>
        <v>224.7049802939942</v>
      </c>
      <c r="T39" s="59">
        <f t="shared" si="34"/>
        <v>203.48513862195352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1.9811879264299592</v>
      </c>
      <c r="AA39" s="21">
        <f>EXP(-LN(2)/25)*AA38+(1-EXP(-LN(2)/25))/(LN(2)/25)*Calculateur!V39*Calculateur!X39*VLOOKUP('Données projet'!$B$9,Paramètres!$A$1:$I$89,3,0)*0.475*44/12</f>
        <v>16.532302168319276</v>
      </c>
      <c r="AB39" s="21">
        <f>EXP(-LN(2)/2)*AB38+(1-EXP(-LN(2)/2))/(LN(2)/2)*V39*Y39*VLOOKUP('Données projet'!$B$9,Paramètres!$A$1:$I$89,3,0)*0.475*44/12</f>
        <v>1.1200765738860006</v>
      </c>
      <c r="AC39" s="22">
        <f t="shared" si="3"/>
        <v>19.633566668635236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16.131410256410259</v>
      </c>
      <c r="AI39" s="13">
        <f>IF('Données projet'!$A$62&gt;35,AI38+AH39-AQ38,IF(A39&lt;'Données projet'!$A$62,$AF$205^A39,IF(A39='Données projet'!$A$62,'Données projet'!$B$62,AI38+AH39-AQ38)))</f>
        <v>313.58076923076925</v>
      </c>
      <c r="AJ39" s="13">
        <f>AI39*VLOOKUP('Données projet'!$B$10,Paramètres!$A$1:$I$89,3,0)*VLOOKUP('Données projet'!$B$10,Paramètres!$A$1:$I$89,5,0)</f>
        <v>146.75580000000002</v>
      </c>
      <c r="AK39" s="13">
        <f t="shared" si="35"/>
        <v>37.840393952855997</v>
      </c>
      <c r="AL39" s="20">
        <f t="shared" si="4"/>
        <v>321.5050378012242</v>
      </c>
      <c r="AM39" s="59">
        <f t="shared" si="5"/>
        <v>614.83837113455752</v>
      </c>
      <c r="AN39" s="59">
        <f ca="1">AVERAGE(OFFSET($AM$3,0,0,'Données projet'!$E$10+1,1))-AVERAGE(OFFSET($H$3,0,0,'Données projet'!$E$10+1,1))</f>
        <v>158.58786357608489</v>
      </c>
      <c r="AO39" s="59">
        <f t="shared" si="36"/>
        <v>163.20074068819849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18.229670329670324</v>
      </c>
      <c r="N40" s="13">
        <f>IF('Données projet'!$A$36&gt;35,N39+M40-V39,IF(A40&lt;'Données projet'!$A$36,$K$205^A40,IF(A40='Données projet'!$A$36,'Données projet'!$B$36,N39+M40-V39)))</f>
        <v>271.45164835164837</v>
      </c>
      <c r="O40" s="13">
        <f>N40*VLOOKUP('Données projet'!$B$9,Paramètres!$A$1:$I$89,3,0)*VLOOKUP('Données projet'!$B$9,Paramètres!$A$1:$I$89,5,0)</f>
        <v>151.74147142857143</v>
      </c>
      <c r="P40" s="13">
        <f t="shared" si="33"/>
        <v>38.974074991810518</v>
      </c>
      <c r="Q40" s="20">
        <f t="shared" si="53"/>
        <v>332.16291001549854</v>
      </c>
      <c r="R40" s="59">
        <f t="shared" si="0"/>
        <v>625.49624334883185</v>
      </c>
      <c r="S40" s="59">
        <f ca="1">AVERAGE(OFFSET($R$3,0,0,'Données projet'!$E$9+1,1))-AVERAGE(OFFSET($H$3,0,0,'Données projet'!$E$9+1,1))</f>
        <v>224.7049802939942</v>
      </c>
      <c r="T40" s="59">
        <f t="shared" si="34"/>
        <v>203.48513862195352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1.9423380395979828</v>
      </c>
      <c r="AA40" s="21">
        <f>EXP(-LN(2)/25)*AA39+(1-EXP(-LN(2)/25))/(LN(2)/25)*Calculateur!V40*Calculateur!X40*VLOOKUP('Données projet'!$B$9,Paramètres!$A$1:$I$89,3,0)*0.475*44/12</f>
        <v>16.080225496130598</v>
      </c>
      <c r="AB40" s="21">
        <f>EXP(-LN(2)/2)*AB39+(1-EXP(-LN(2)/2))/(LN(2)/2)*V40*Y40*VLOOKUP('Données projet'!$B$9,Paramètres!$A$1:$I$89,3,0)*0.475*44/12</f>
        <v>0.79201374084298604</v>
      </c>
      <c r="AC40" s="22">
        <f t="shared" si="3"/>
        <v>18.814577276571566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16.131410256410259</v>
      </c>
      <c r="AI40" s="13">
        <f>IF('Données projet'!$A$62&gt;35,AI39+AH40-AQ39,IF(A40&lt;'Données projet'!$A$62,$AF$205^A40,IF(A40='Données projet'!$A$62,'Données projet'!$B$62,AI39+AH40-AQ39)))</f>
        <v>329.71217948717953</v>
      </c>
      <c r="AJ40" s="13">
        <f>AI40*VLOOKUP('Données projet'!$B$10,Paramètres!$A$1:$I$89,3,0)*VLOOKUP('Données projet'!$B$10,Paramètres!$A$1:$I$89,5,0)</f>
        <v>154.30530000000002</v>
      </c>
      <c r="AK40" s="13">
        <f t="shared" si="35"/>
        <v>39.555363325024224</v>
      </c>
      <c r="AL40" s="20">
        <f t="shared" si="4"/>
        <v>337.64065529108387</v>
      </c>
      <c r="AM40" s="59">
        <f t="shared" si="5"/>
        <v>630.97398862441719</v>
      </c>
      <c r="AN40" s="59">
        <f ca="1">AVERAGE(OFFSET($AM$3,0,0,'Données projet'!$E$10+1,1))-AVERAGE(OFFSET($H$3,0,0,'Données projet'!$E$10+1,1))</f>
        <v>158.58786357608489</v>
      </c>
      <c r="AO40" s="59">
        <f t="shared" si="36"/>
        <v>163.20074068819849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18.229670329670324</v>
      </c>
      <c r="N41" s="13">
        <f>IF('Données projet'!$A$36&gt;35,N40+M41-V40,IF(A41&lt;'Données projet'!$A$36,$K$205^A41,IF(A41='Données projet'!$A$36,'Données projet'!$B$36,N40+M41-V40)))</f>
        <v>289.68131868131871</v>
      </c>
      <c r="O41" s="13">
        <f>N41*VLOOKUP('Données projet'!$B$9,Paramètres!$A$1:$I$89,3,0)*VLOOKUP('Données projet'!$B$9,Paramètres!$A$1:$I$89,5,0)</f>
        <v>161.93185714285718</v>
      </c>
      <c r="P41" s="13">
        <f t="shared" si="33"/>
        <v>41.277946347593272</v>
      </c>
      <c r="Q41" s="20">
        <f t="shared" si="53"/>
        <v>353.92374107920119</v>
      </c>
      <c r="R41" s="59">
        <f t="shared" si="0"/>
        <v>647.25707441253451</v>
      </c>
      <c r="S41" s="59">
        <f ca="1">AVERAGE(OFFSET($R$3,0,0,'Données projet'!$E$9+1,1))-AVERAGE(OFFSET($H$3,0,0,'Données projet'!$E$9+1,1))</f>
        <v>224.7049802939942</v>
      </c>
      <c r="T41" s="59">
        <f t="shared" si="34"/>
        <v>203.48513862195352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1.9042499753506903</v>
      </c>
      <c r="AA41" s="21">
        <f>EXP(-LN(2)/25)*AA40+(1-EXP(-LN(2)/25))/(LN(2)/25)*Calculateur!V41*Calculateur!X41*VLOOKUP('Données projet'!$B$9,Paramètres!$A$1:$I$89,3,0)*0.475*44/12</f>
        <v>15.640510884316599</v>
      </c>
      <c r="AB41" s="21">
        <f>EXP(-LN(2)/2)*AB40+(1-EXP(-LN(2)/2))/(LN(2)/2)*V41*Y41*VLOOKUP('Données projet'!$B$9,Paramètres!$A$1:$I$89,3,0)*0.475*44/12</f>
        <v>0.56003828694300029</v>
      </c>
      <c r="AC41" s="22">
        <f t="shared" si="3"/>
        <v>18.10479914661029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16.131410256410259</v>
      </c>
      <c r="AI41" s="13">
        <f>IF('Données projet'!$A$62&gt;35,AI40+AH41-AQ40,IF(A41&lt;'Données projet'!$A$62,$AF$205^A41,IF(A41='Données projet'!$A$62,'Données projet'!$B$62,AI40+AH41-AQ40)))</f>
        <v>345.8435897435898</v>
      </c>
      <c r="AJ41" s="13">
        <f>AI41*VLOOKUP('Données projet'!$B$10,Paramètres!$A$1:$I$89,3,0)*VLOOKUP('Données projet'!$B$10,Paramètres!$A$1:$I$89,5,0)</f>
        <v>161.85480000000001</v>
      </c>
      <c r="AK41" s="13">
        <f t="shared" si="35"/>
        <v>41.260589676862445</v>
      </c>
      <c r="AL41" s="20">
        <f t="shared" si="4"/>
        <v>353.75930368720213</v>
      </c>
      <c r="AM41" s="59">
        <f t="shared" si="5"/>
        <v>647.09263702053545</v>
      </c>
      <c r="AN41" s="59">
        <f ca="1">AVERAGE(OFFSET($AM$3,0,0,'Données projet'!$E$10+1,1))-AVERAGE(OFFSET($H$3,0,0,'Données projet'!$E$10+1,1))</f>
        <v>158.58786357608489</v>
      </c>
      <c r="AO41" s="59">
        <f t="shared" si="36"/>
        <v>163.20074068819849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18.229670329670324</v>
      </c>
      <c r="N42" s="13">
        <f>IF('Données projet'!$A$36&gt;35,N41+M42-V41,IF(A42&lt;'Données projet'!$A$36,$K$205^A42,IF(A42='Données projet'!$A$36,'Données projet'!$B$36,N41+M42-V41)))</f>
        <v>307.91098901098906</v>
      </c>
      <c r="O42" s="13">
        <f>N42*VLOOKUP('Données projet'!$B$9,Paramètres!$A$1:$I$89,3,0)*VLOOKUP('Données projet'!$B$9,Paramètres!$A$1:$I$89,5,0)</f>
        <v>172.12224285714288</v>
      </c>
      <c r="P42" s="13">
        <f t="shared" si="33"/>
        <v>43.564991640658711</v>
      </c>
      <c r="Q42" s="20">
        <f t="shared" si="53"/>
        <v>375.65526675033772</v>
      </c>
      <c r="R42" s="59">
        <f t="shared" si="0"/>
        <v>668.98860008367103</v>
      </c>
      <c r="S42" s="59">
        <f ca="1">AVERAGE(OFFSET($R$3,0,0,'Données projet'!$E$9+1,1))-AVERAGE(OFFSET($H$3,0,0,'Données projet'!$E$9+1,1))</f>
        <v>224.7049802939942</v>
      </c>
      <c r="T42" s="59">
        <f t="shared" si="34"/>
        <v>203.48513862195352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1.8669087948118619</v>
      </c>
      <c r="AA42" s="21">
        <f>EXP(-LN(2)/25)*AA41+(1-EXP(-LN(2)/25))/(LN(2)/25)*Calculateur!V42*Calculateur!X42*VLOOKUP('Données projet'!$B$9,Paramètres!$A$1:$I$89,3,0)*0.475*44/12</f>
        <v>15.212820291686242</v>
      </c>
      <c r="AB42" s="21">
        <f>EXP(-LN(2)/2)*AB41+(1-EXP(-LN(2)/2))/(LN(2)/2)*V42*Y42*VLOOKUP('Données projet'!$B$9,Paramètres!$A$1:$I$89,3,0)*0.475*44/12</f>
        <v>0.39600687042149302</v>
      </c>
      <c r="AC42" s="22">
        <f t="shared" si="3"/>
        <v>17.4757359569196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16.131410256410259</v>
      </c>
      <c r="AI42" s="13">
        <f>IF('Données projet'!$A$62&gt;35,AI41+AH42-AQ41,IF(A42&lt;'Données projet'!$A$62,$AF$205^A42,IF(A42='Données projet'!$A$62,'Données projet'!$B$62,AI41+AH42-AQ41)))</f>
        <v>361.97500000000008</v>
      </c>
      <c r="AJ42" s="13">
        <f>AI42*VLOOKUP('Données projet'!$B$10,Paramètres!$A$1:$I$89,3,0)*VLOOKUP('Données projet'!$B$10,Paramètres!$A$1:$I$89,5,0)</f>
        <v>169.40430000000006</v>
      </c>
      <c r="AK42" s="13">
        <f t="shared" si="35"/>
        <v>42.956579357099159</v>
      </c>
      <c r="AL42" s="20">
        <f t="shared" si="4"/>
        <v>369.86186488028119</v>
      </c>
      <c r="AM42" s="59">
        <f t="shared" si="5"/>
        <v>663.1951982136145</v>
      </c>
      <c r="AN42" s="59">
        <f ca="1">AVERAGE(OFFSET($AM$3,0,0,'Données projet'!$E$10+1,1))-AVERAGE(OFFSET($H$3,0,0,'Données projet'!$E$10+1,1))</f>
        <v>158.58786357608489</v>
      </c>
      <c r="AO42" s="59">
        <f t="shared" si="36"/>
        <v>163.20074068819849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18.229670329670324</v>
      </c>
      <c r="N43" s="13">
        <f>IF('Données projet'!$A$36&gt;35,N42+M43-V42,IF(A43&lt;'Données projet'!$A$36,$K$205^A43,IF(A43='Données projet'!$A$36,'Données projet'!$B$36,N42+M43-V42)))</f>
        <v>326.1406593406594</v>
      </c>
      <c r="O43" s="13">
        <f>N43*VLOOKUP('Données projet'!$B$9,Paramètres!$A$1:$I$89,3,0)*VLOOKUP('Données projet'!$B$9,Paramètres!$A$1:$I$89,5,0)</f>
        <v>182.31262857142863</v>
      </c>
      <c r="P43" s="13">
        <f t="shared" si="33"/>
        <v>45.836320512875446</v>
      </c>
      <c r="Q43" s="20">
        <f t="shared" si="53"/>
        <v>397.35941965516298</v>
      </c>
      <c r="R43" s="59">
        <f t="shared" si="0"/>
        <v>690.6927529884963</v>
      </c>
      <c r="S43" s="59">
        <f ca="1">AVERAGE(OFFSET($R$3,0,0,'Données projet'!$E$9+1,1))-AVERAGE(OFFSET($H$3,0,0,'Données projet'!$E$9+1,1))</f>
        <v>224.7049802939942</v>
      </c>
      <c r="T43" s="59">
        <f t="shared" si="34"/>
        <v>203.48513862195352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1.8302998520475287</v>
      </c>
      <c r="AA43" s="21">
        <f>EXP(-LN(2)/25)*AA42+(1-EXP(-LN(2)/25))/(LN(2)/25)*Calculateur!V43*Calculateur!X43*VLOOKUP('Données projet'!$B$9,Paramètres!$A$1:$I$89,3,0)*0.475*44/12</f>
        <v>14.796824920802631</v>
      </c>
      <c r="AB43" s="21">
        <f>EXP(-LN(2)/2)*AB42+(1-EXP(-LN(2)/2))/(LN(2)/2)*V43*Y43*VLOOKUP('Données projet'!$B$9,Paramètres!$A$1:$I$89,3,0)*0.475*44/12</f>
        <v>0.28001914347150014</v>
      </c>
      <c r="AC43" s="22">
        <f t="shared" si="3"/>
        <v>16.907143916321658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16.131410256410259</v>
      </c>
      <c r="AI43" s="13">
        <f>IF('Données projet'!$A$62&gt;35,AI42+AH43-AQ42,IF(A43&lt;'Données projet'!$A$62,$AF$205^A43,IF(A43='Données projet'!$A$62,'Données projet'!$B$62,AI42+AH43-AQ42)))</f>
        <v>378.10641025641036</v>
      </c>
      <c r="AJ43" s="13">
        <f>AI43*VLOOKUP('Données projet'!$B$10,Paramètres!$A$1:$I$89,3,0)*VLOOKUP('Données projet'!$B$10,Paramètres!$A$1:$I$89,5,0)</f>
        <v>176.95380000000006</v>
      </c>
      <c r="AK43" s="13">
        <f t="shared" si="35"/>
        <v>44.643791032081154</v>
      </c>
      <c r="AL43" s="20">
        <f t="shared" si="4"/>
        <v>385.94913771420806</v>
      </c>
      <c r="AM43" s="59">
        <f t="shared" si="5"/>
        <v>679.28247104754132</v>
      </c>
      <c r="AN43" s="59">
        <f ca="1">AVERAGE(OFFSET($AM$3,0,0,'Données projet'!$E$10+1,1))-AVERAGE(OFFSET($H$3,0,0,'Données projet'!$E$10+1,1))</f>
        <v>158.58786357608489</v>
      </c>
      <c r="AO43" s="59">
        <f t="shared" si="36"/>
        <v>163.20074068819849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18.229670329670324</v>
      </c>
      <c r="N44" s="13">
        <f>IF('Données projet'!$A$36&gt;35,N43+M44-V43,IF(A44&lt;'Données projet'!$A$36,$K$205^A44,IF(A44='Données projet'!$A$36,'Données projet'!$B$36,N43+M44-V43)))</f>
        <v>344.37032967032974</v>
      </c>
      <c r="O44" s="13">
        <f>N44*VLOOKUP('Données projet'!$B$9,Paramètres!$A$1:$I$89,3,0)*VLOOKUP('Données projet'!$B$9,Paramètres!$A$1:$I$89,5,0)</f>
        <v>192.50301428571433</v>
      </c>
      <c r="P44" s="13">
        <f t="shared" si="33"/>
        <v>48.092911552862631</v>
      </c>
      <c r="Q44" s="20">
        <f t="shared" si="53"/>
        <v>419.03790416885482</v>
      </c>
      <c r="R44" s="59">
        <f t="shared" si="0"/>
        <v>712.37123750218814</v>
      </c>
      <c r="S44" s="59">
        <f ca="1">AVERAGE(OFFSET($R$3,0,0,'Données projet'!$E$9+1,1))-AVERAGE(OFFSET($H$3,0,0,'Données projet'!$E$9+1,1))</f>
        <v>224.7049802939942</v>
      </c>
      <c r="T44" s="59">
        <f t="shared" si="34"/>
        <v>203.48513862195352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1.7944087883215538</v>
      </c>
      <c r="AA44" s="21">
        <f>EXP(-LN(2)/25)*AA43+(1-EXP(-LN(2)/25))/(LN(2)/25)*Calculateur!V44*Calculateur!X44*VLOOKUP('Données projet'!$B$9,Paramètres!$A$1:$I$89,3,0)*0.475*44/12</f>
        <v>14.392204965212079</v>
      </c>
      <c r="AB44" s="21">
        <f>EXP(-LN(2)/2)*AB43+(1-EXP(-LN(2)/2))/(LN(2)/2)*V44*Y44*VLOOKUP('Données projet'!$B$9,Paramètres!$A$1:$I$89,3,0)*0.475*44/12</f>
        <v>0.19800343521074651</v>
      </c>
      <c r="AC44" s="22">
        <f t="shared" si="3"/>
        <v>16.384617188744379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16.131410256410259</v>
      </c>
      <c r="AI44" s="13">
        <f>IF('Données projet'!$A$62&gt;35,AI43+AH44-AQ43,IF(A44&lt;'Données projet'!$A$62,$AF$205^A44,IF(A44='Données projet'!$A$62,'Données projet'!$B$62,AI43+AH44-AQ43)))</f>
        <v>394.23782051282063</v>
      </c>
      <c r="AJ44" s="13">
        <f>AI44*VLOOKUP('Données projet'!$B$10,Paramètres!$A$1:$I$89,3,0)*VLOOKUP('Données projet'!$B$10,Paramètres!$A$1:$I$89,5,0)</f>
        <v>184.50330000000005</v>
      </c>
      <c r="AK44" s="13">
        <f t="shared" si="35"/>
        <v>46.32264201774467</v>
      </c>
      <c r="AL44" s="20">
        <f t="shared" si="4"/>
        <v>402.02184901423874</v>
      </c>
      <c r="AM44" s="59">
        <f t="shared" si="5"/>
        <v>695.35518234757205</v>
      </c>
      <c r="AN44" s="59">
        <f ca="1">AVERAGE(OFFSET($AM$3,0,0,'Données projet'!$E$10+1,1))-AVERAGE(OFFSET($H$3,0,0,'Données projet'!$E$10+1,1))</f>
        <v>158.58786357608489</v>
      </c>
      <c r="AO44" s="59">
        <f t="shared" si="36"/>
        <v>163.20074068819849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362.59999999999997</v>
      </c>
      <c r="L45" s="12">
        <f>VLOOKUP(A45,'Données projet'!$A$35:$I$55,9,0)</f>
        <v>18.229670329670324</v>
      </c>
      <c r="M45" s="12">
        <f t="array" ref="M45">INDEX(L:L,MIN(IF(ISNUMBER(L45:L241),ROW(L45:L241),"")))</f>
        <v>18.229670329670324</v>
      </c>
      <c r="N45" s="13">
        <f>IF('Données projet'!$A$36&gt;35,N44+M45-V44,IF(A45&lt;'Données projet'!$A$36,$K$205^A45,IF(A45='Données projet'!$A$36,'Données projet'!$B$36,N44+M45-V44)))</f>
        <v>362.60000000000008</v>
      </c>
      <c r="O45" s="13">
        <f>N45*VLOOKUP('Données projet'!$B$9,Paramètres!$A$1:$I$89,3,0)*VLOOKUP('Données projet'!$B$9,Paramètres!$A$1:$I$89,5,0)</f>
        <v>202.69340000000005</v>
      </c>
      <c r="P45" s="13">
        <f t="shared" si="33"/>
        <v>50.335633892078647</v>
      </c>
      <c r="Q45" s="20">
        <f t="shared" si="53"/>
        <v>440.69223402870375</v>
      </c>
      <c r="R45" s="59">
        <f t="shared" si="0"/>
        <v>734.02556736203701</v>
      </c>
      <c r="S45" s="59">
        <f ca="1">AVERAGE(OFFSET($R$3,0,0,'Données projet'!$E$9+1,1))-AVERAGE(OFFSET($H$3,0,0,'Données projet'!$E$9+1,1))</f>
        <v>224.7049802939942</v>
      </c>
      <c r="T45" s="59">
        <f t="shared" si="34"/>
        <v>203.48513862195352</v>
      </c>
      <c r="U45" s="15">
        <f>IF(ISNA(VLOOKUP(A45,'Données projet'!$A$35:$I$55,3,0)),0,VLOOKUP(A45,'Données projet'!$A$35:$I$55,3,0))</f>
        <v>4</v>
      </c>
      <c r="V45" s="15">
        <f>IF(ISNA(VLOOKUP(A45,'Données projet'!$A$35:$I$55,4,0)),0,VLOOKUP(A45,'Données projet'!$A$35:$I$55,4,0))</f>
        <v>80.669230769230765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1.759221526463858</v>
      </c>
      <c r="AA45" s="21">
        <f>EXP(-LN(2)/25)*AA44+(1-EXP(-LN(2)/25))/(LN(2)/25)*Calculateur!V45*Calculateur!X45*VLOOKUP('Données projet'!$B$9,Paramètres!$A$1:$I$89,3,0)*0.475*44/12</f>
        <v>13.998649363585189</v>
      </c>
      <c r="AB45" s="21">
        <f>EXP(-LN(2)/2)*AB44+(1-EXP(-LN(2)/2))/(LN(2)/2)*V45*Y45*VLOOKUP('Données projet'!$B$9,Paramètres!$A$1:$I$89,3,0)*0.475*44/12</f>
        <v>0.14000957173575007</v>
      </c>
      <c r="AC45" s="22">
        <f t="shared" si="3"/>
        <v>15.897880461784796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410.3692307692308</v>
      </c>
      <c r="AG45" s="12">
        <f>VLOOKUP(A45,'Données projet'!$A$61:$I$81,9,0)</f>
        <v>16.131410256410259</v>
      </c>
      <c r="AH45" s="12">
        <f t="array" ref="AH45">INDEX(AG:AG,MIN(IF(ISNUMBER(AG45:AG241),ROW(AG45:AG241),"")))</f>
        <v>16.131410256410259</v>
      </c>
      <c r="AI45" s="13">
        <f>IF('Données projet'!$A$62&gt;35,AI44+AH45-AQ44,IF(A45&lt;'Données projet'!$A$62,$AF$205^A45,IF(A45='Données projet'!$A$62,'Données projet'!$B$62,AI44+AH45-AQ44)))</f>
        <v>410.36923076923091</v>
      </c>
      <c r="AJ45" s="13">
        <f>AI45*VLOOKUP('Données projet'!$B$10,Paramètres!$A$1:$I$89,3,0)*VLOOKUP('Données projet'!$B$10,Paramètres!$A$1:$I$89,5,0)</f>
        <v>192.05280000000008</v>
      </c>
      <c r="AK45" s="13">
        <f t="shared" si="35"/>
        <v>47.993513546032311</v>
      </c>
      <c r="AL45" s="20">
        <f t="shared" si="4"/>
        <v>418.08066275933976</v>
      </c>
      <c r="AM45" s="59">
        <f t="shared" si="5"/>
        <v>711.41399609267307</v>
      </c>
      <c r="AN45" s="59">
        <f ca="1">AVERAGE(OFFSET($AM$3,0,0,'Données projet'!$E$10+1,1))-AVERAGE(OFFSET($H$3,0,0,'Données projet'!$E$10+1,1))</f>
        <v>158.58786357608489</v>
      </c>
      <c r="AO45" s="59">
        <f t="shared" si="36"/>
        <v>163.20074068819849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179.84615384615384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17.519780219780223</v>
      </c>
      <c r="N46" s="13">
        <f>IF('Données projet'!$A$36&gt;35,N45+M46-V45,IF(A46&lt;'Données projet'!$A$36,$K$205^A46,IF(A46='Données projet'!$A$36,'Données projet'!$B$36,N45+M46-V45)))</f>
        <v>299.45054945054954</v>
      </c>
      <c r="O46" s="13">
        <f>N46*VLOOKUP('Données projet'!$B$9,Paramètres!$A$1:$I$89,3,0)*VLOOKUP('Données projet'!$B$9,Paramètres!$A$1:$I$89,5,0)</f>
        <v>167.3928571428572</v>
      </c>
      <c r="P46" s="13">
        <f t="shared" si="33"/>
        <v>42.505586135425617</v>
      </c>
      <c r="Q46" s="20">
        <f t="shared" si="53"/>
        <v>365.57312204300916</v>
      </c>
      <c r="R46" s="59">
        <f t="shared" si="0"/>
        <v>658.90645537634248</v>
      </c>
      <c r="S46" s="59">
        <f ca="1">AVERAGE(OFFSET($R$3,0,0,'Données projet'!$E$9+1,1))-AVERAGE(OFFSET($H$3,0,0,'Données projet'!$E$9+1,1))</f>
        <v>224.7049802939942</v>
      </c>
      <c r="T46" s="59">
        <f t="shared" si="34"/>
        <v>203.48513862195352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1.7247242653490811</v>
      </c>
      <c r="AA46" s="21">
        <f>EXP(-LN(2)/25)*AA45+(1-EXP(-LN(2)/25))/(LN(2)/25)*Calculateur!V46*Calculateur!X46*VLOOKUP('Données projet'!$B$9,Paramètres!$A$1:$I$89,3,0)*0.475*44/12</f>
        <v>13.615855560580977</v>
      </c>
      <c r="AB46" s="21">
        <f>EXP(-LN(2)/2)*AB45+(1-EXP(-LN(2)/2))/(LN(2)/2)*V46*Y46*VLOOKUP('Données projet'!$B$9,Paramètres!$A$1:$I$89,3,0)*0.475*44/12</f>
        <v>9.9001717605373254E-2</v>
      </c>
      <c r="AC46" s="22">
        <f t="shared" si="3"/>
        <v>15.439581543535432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15.618681318681309</v>
      </c>
      <c r="AI46" s="13">
        <f>IF('Données projet'!$A$62&gt;35,AI45+AH46-AQ45,IF(A46&lt;'Données projet'!$A$62,$AF$205^A46,IF(A46='Données projet'!$A$62,'Données projet'!$B$62,AI45+AH46-AQ45)))</f>
        <v>246.14175824175837</v>
      </c>
      <c r="AJ46" s="13">
        <f>AI46*VLOOKUP('Données projet'!$B$10,Paramètres!$A$1:$I$89,3,0)*VLOOKUP('Données projet'!$B$10,Paramètres!$A$1:$I$89,5,0)</f>
        <v>115.19434285714291</v>
      </c>
      <c r="AK46" s="13">
        <f t="shared" si="35"/>
        <v>30.5515065129288</v>
      </c>
      <c r="AL46" s="20">
        <f t="shared" si="4"/>
        <v>253.84068765287489</v>
      </c>
      <c r="AM46" s="59">
        <f t="shared" si="5"/>
        <v>547.17402098620823</v>
      </c>
      <c r="AN46" s="59">
        <f ca="1">AVERAGE(OFFSET($AM$3,0,0,'Données projet'!$E$10+1,1))-AVERAGE(OFFSET($H$3,0,0,'Données projet'!$E$10+1,1))</f>
        <v>158.58786357608489</v>
      </c>
      <c r="AO46" s="59">
        <f t="shared" si="36"/>
        <v>163.20074068819849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17.519780219780223</v>
      </c>
      <c r="N47" s="13">
        <f>IF('Données projet'!$A$36&gt;35,N46+M47-V46,IF(A47&lt;'Données projet'!$A$36,$K$205^A47,IF(A47='Données projet'!$A$36,'Données projet'!$B$36,N46+M47-V46)))</f>
        <v>316.97032967032976</v>
      </c>
      <c r="O47" s="13">
        <f>N47*VLOOKUP('Données projet'!$B$9,Paramètres!$A$1:$I$89,3,0)*VLOOKUP('Données projet'!$B$9,Paramètres!$A$1:$I$89,5,0)</f>
        <v>177.18641428571433</v>
      </c>
      <c r="P47" s="13">
        <f t="shared" si="33"/>
        <v>44.695642380138821</v>
      </c>
      <c r="Q47" s="20">
        <f t="shared" si="53"/>
        <v>386.44458202636088</v>
      </c>
      <c r="R47" s="59">
        <f t="shared" si="0"/>
        <v>679.77791535969413</v>
      </c>
      <c r="S47" s="59">
        <f ca="1">AVERAGE(OFFSET($R$3,0,0,'Données projet'!$E$9+1,1))-AVERAGE(OFFSET($H$3,0,0,'Données projet'!$E$9+1,1))</f>
        <v>224.7049802939942</v>
      </c>
      <c r="T47" s="59">
        <f t="shared" si="34"/>
        <v>203.48513862195352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1.6909034744835132</v>
      </c>
      <c r="AA47" s="21">
        <f>EXP(-LN(2)/25)*AA46+(1-EXP(-LN(2)/25))/(LN(2)/25)*Calculateur!V47*Calculateur!X47*VLOOKUP('Données projet'!$B$9,Paramètres!$A$1:$I$89,3,0)*0.475*44/12</f>
        <v>13.243529274250166</v>
      </c>
      <c r="AB47" s="21">
        <f>EXP(-LN(2)/2)*AB46+(1-EXP(-LN(2)/2))/(LN(2)/2)*V47*Y47*VLOOKUP('Données projet'!$B$9,Paramètres!$A$1:$I$89,3,0)*0.475*44/12</f>
        <v>7.0004785867875036E-2</v>
      </c>
      <c r="AC47" s="22">
        <f t="shared" si="3"/>
        <v>15.004437534601553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15.618681318681309</v>
      </c>
      <c r="AI47" s="13">
        <f>IF('Données projet'!$A$62&gt;35,AI46+AH47-AQ46,IF(A47&lt;'Données projet'!$A$62,$AF$205^A47,IF(A47='Données projet'!$A$62,'Données projet'!$B$62,AI46+AH47-AQ46)))</f>
        <v>261.76043956043969</v>
      </c>
      <c r="AJ47" s="13">
        <f>AI47*VLOOKUP('Données projet'!$B$10,Paramètres!$A$1:$I$89,3,0)*VLOOKUP('Données projet'!$B$10,Paramètres!$A$1:$I$89,5,0)</f>
        <v>122.50388571428577</v>
      </c>
      <c r="AK47" s="13">
        <f t="shared" si="35"/>
        <v>32.258285776503719</v>
      </c>
      <c r="AL47" s="20">
        <f t="shared" si="4"/>
        <v>269.54411534645834</v>
      </c>
      <c r="AM47" s="59">
        <f t="shared" si="5"/>
        <v>562.87744867979166</v>
      </c>
      <c r="AN47" s="59">
        <f ca="1">AVERAGE(OFFSET($AM$3,0,0,'Données projet'!$E$10+1,1))-AVERAGE(OFFSET($H$3,0,0,'Données projet'!$E$10+1,1))</f>
        <v>158.58786357608489</v>
      </c>
      <c r="AO47" s="59">
        <f t="shared" si="36"/>
        <v>163.20074068819849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17.519780219780223</v>
      </c>
      <c r="N48" s="13">
        <f>IF('Données projet'!$A$36&gt;35,N47+M48-V47,IF(A48&lt;'Données projet'!$A$36,$K$205^A48,IF(A48='Données projet'!$A$36,'Données projet'!$B$36,N47+M48-V47)))</f>
        <v>334.49010989010998</v>
      </c>
      <c r="O48" s="13">
        <f>N48*VLOOKUP('Données projet'!$B$9,Paramètres!$A$1:$I$89,3,0)*VLOOKUP('Données projet'!$B$9,Paramètres!$A$1:$I$89,5,0)</f>
        <v>186.9799714285715</v>
      </c>
      <c r="P48" s="13">
        <f t="shared" si="33"/>
        <v>46.871646064498115</v>
      </c>
      <c r="Q48" s="20">
        <f t="shared" si="53"/>
        <v>407.29156713376295</v>
      </c>
      <c r="R48" s="59">
        <f t="shared" si="0"/>
        <v>700.62490046709627</v>
      </c>
      <c r="S48" s="59">
        <f ca="1">AVERAGE(OFFSET($R$3,0,0,'Données projet'!$E$9+1,1))-AVERAGE(OFFSET($H$3,0,0,'Données projet'!$E$9+1,1))</f>
        <v>224.7049802939942</v>
      </c>
      <c r="T48" s="59">
        <f t="shared" si="34"/>
        <v>203.48513862195352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1.6577458886981737</v>
      </c>
      <c r="AA48" s="21">
        <f>EXP(-LN(2)/25)*AA47+(1-EXP(-LN(2)/25))/(LN(2)/25)*Calculateur!V48*Calculateur!X48*VLOOKUP('Données projet'!$B$9,Paramètres!$A$1:$I$89,3,0)*0.475*44/12</f>
        <v>12.881384269798859</v>
      </c>
      <c r="AB48" s="21">
        <f>EXP(-LN(2)/2)*AB47+(1-EXP(-LN(2)/2))/(LN(2)/2)*V48*Y48*VLOOKUP('Données projet'!$B$9,Paramètres!$A$1:$I$89,3,0)*0.475*44/12</f>
        <v>4.9500858802686627E-2</v>
      </c>
      <c r="AC48" s="22">
        <f t="shared" si="3"/>
        <v>14.588631017299718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15.618681318681309</v>
      </c>
      <c r="AI48" s="13">
        <f>IF('Données projet'!$A$62&gt;35,AI47+AH48-AQ47,IF(A48&lt;'Données projet'!$A$62,$AF$205^A48,IF(A48='Données projet'!$A$62,'Données projet'!$B$62,AI47+AH48-AQ47)))</f>
        <v>277.37912087912099</v>
      </c>
      <c r="AJ48" s="13">
        <f>AI48*VLOOKUP('Données projet'!$B$10,Paramètres!$A$1:$I$89,3,0)*VLOOKUP('Données projet'!$B$10,Paramètres!$A$1:$I$89,5,0)</f>
        <v>129.81342857142863</v>
      </c>
      <c r="AK48" s="13">
        <f t="shared" si="35"/>
        <v>33.953244550224326</v>
      </c>
      <c r="AL48" s="20">
        <f t="shared" si="4"/>
        <v>285.22695568687891</v>
      </c>
      <c r="AM48" s="59">
        <f t="shared" si="5"/>
        <v>578.56028902021217</v>
      </c>
      <c r="AN48" s="59">
        <f ca="1">AVERAGE(OFFSET($AM$3,0,0,'Données projet'!$E$10+1,1))-AVERAGE(OFFSET($H$3,0,0,'Données projet'!$E$10+1,1))</f>
        <v>158.58786357608489</v>
      </c>
      <c r="AO48" s="59">
        <f t="shared" si="36"/>
        <v>163.20074068819849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17.519780219780223</v>
      </c>
      <c r="N49" s="13">
        <f>IF('Données projet'!$A$36&gt;35,N48+M49-V48,IF(A49&lt;'Données projet'!$A$36,$K$205^A49,IF(A49='Données projet'!$A$36,'Données projet'!$B$36,N48+M49-V48)))</f>
        <v>352.00989010989019</v>
      </c>
      <c r="O49" s="13">
        <f>N49*VLOOKUP('Données projet'!$B$9,Paramètres!$A$1:$I$89,3,0)*VLOOKUP('Données projet'!$B$9,Paramètres!$A$1:$I$89,5,0)</f>
        <v>196.77352857142861</v>
      </c>
      <c r="P49" s="13">
        <f t="shared" si="33"/>
        <v>49.034417171503861</v>
      </c>
      <c r="Q49" s="20">
        <f t="shared" si="53"/>
        <v>428.11550550227406</v>
      </c>
      <c r="R49" s="59">
        <f t="shared" si="0"/>
        <v>721.44883883560738</v>
      </c>
      <c r="S49" s="59">
        <f ca="1">AVERAGE(OFFSET($R$3,0,0,'Données projet'!$E$9+1,1))-AVERAGE(OFFSET($H$3,0,0,'Données projet'!$E$9+1,1))</f>
        <v>224.7049802939942</v>
      </c>
      <c r="T49" s="59">
        <f t="shared" si="34"/>
        <v>203.48513862195352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1.6252385029459544</v>
      </c>
      <c r="AA49" s="21">
        <f>EXP(-LN(2)/25)*AA48+(1-EXP(-LN(2)/25))/(LN(2)/25)*Calculateur!V49*Calculateur!X49*VLOOKUP('Données projet'!$B$9,Paramètres!$A$1:$I$89,3,0)*0.475*44/12</f>
        <v>12.529142139538651</v>
      </c>
      <c r="AB49" s="21">
        <f>EXP(-LN(2)/2)*AB48+(1-EXP(-LN(2)/2))/(LN(2)/2)*V49*Y49*VLOOKUP('Données projet'!$B$9,Paramètres!$A$1:$I$89,3,0)*0.475*44/12</f>
        <v>3.5002392933937518E-2</v>
      </c>
      <c r="AC49" s="22">
        <f t="shared" si="3"/>
        <v>14.189383035418544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15.618681318681309</v>
      </c>
      <c r="AI49" s="13">
        <f>IF('Données projet'!$A$62&gt;35,AI48+AH49-AQ48,IF(A49&lt;'Données projet'!$A$62,$AF$205^A49,IF(A49='Données projet'!$A$62,'Données projet'!$B$62,AI48+AH49-AQ48)))</f>
        <v>292.99780219780229</v>
      </c>
      <c r="AJ49" s="13">
        <f>AI49*VLOOKUP('Données projet'!$B$10,Paramètres!$A$1:$I$89,3,0)*VLOOKUP('Données projet'!$B$10,Paramètres!$A$1:$I$89,5,0)</f>
        <v>137.12297142857147</v>
      </c>
      <c r="AK49" s="13">
        <f t="shared" si="35"/>
        <v>35.63712427284996</v>
      </c>
      <c r="AL49" s="20">
        <f t="shared" si="4"/>
        <v>300.89050001330901</v>
      </c>
      <c r="AM49" s="59">
        <f t="shared" si="5"/>
        <v>594.22383334664232</v>
      </c>
      <c r="AN49" s="59">
        <f ca="1">AVERAGE(OFFSET($AM$3,0,0,'Données projet'!$E$10+1,1))-AVERAGE(OFFSET($H$3,0,0,'Données projet'!$E$10+1,1))</f>
        <v>158.58786357608489</v>
      </c>
      <c r="AO49" s="59">
        <f t="shared" si="36"/>
        <v>163.20074068819849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17.519780219780223</v>
      </c>
      <c r="N50" s="13">
        <f>IF('Données projet'!$A$36&gt;35,N49+M50-V49,IF(A50&lt;'Données projet'!$A$36,$K$205^A50,IF(A50='Données projet'!$A$36,'Données projet'!$B$36,N49+M50-V49)))</f>
        <v>369.52967032967041</v>
      </c>
      <c r="O50" s="13">
        <f>N50*VLOOKUP('Données projet'!$B$9,Paramètres!$A$1:$I$89,3,0)*VLOOKUP('Données projet'!$B$9,Paramètres!$A$1:$I$89,5,0)</f>
        <v>206.56708571428578</v>
      </c>
      <c r="P50" s="13">
        <f t="shared" si="33"/>
        <v>51.184689450990696</v>
      </c>
      <c r="Q50" s="20">
        <f t="shared" si="53"/>
        <v>448.91767507952318</v>
      </c>
      <c r="R50" s="59">
        <f t="shared" si="0"/>
        <v>742.25100841285644</v>
      </c>
      <c r="S50" s="59">
        <f ca="1">AVERAGE(OFFSET($R$3,0,0,'Données projet'!$E$9+1,1))-AVERAGE(OFFSET($H$3,0,0,'Données projet'!$E$9+1,1))</f>
        <v>224.7049802939942</v>
      </c>
      <c r="T50" s="59">
        <f t="shared" si="34"/>
        <v>203.48513862195352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1.5933685672007885</v>
      </c>
      <c r="AA50" s="21">
        <f>EXP(-LN(2)/25)*AA49+(1-EXP(-LN(2)/25))/(LN(2)/25)*Calculateur!V50*Calculateur!X50*VLOOKUP('Données projet'!$B$9,Paramètres!$A$1:$I$89,3,0)*0.475*44/12</f>
        <v>12.186532088854017</v>
      </c>
      <c r="AB50" s="21">
        <f>EXP(-LN(2)/2)*AB49+(1-EXP(-LN(2)/2))/(LN(2)/2)*V50*Y50*VLOOKUP('Données projet'!$B$9,Paramètres!$A$1:$I$89,3,0)*0.475*44/12</f>
        <v>2.4750429401343314E-2</v>
      </c>
      <c r="AC50" s="22">
        <f t="shared" si="3"/>
        <v>13.80465108545615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15.618681318681309</v>
      </c>
      <c r="AI50" s="13">
        <f>IF('Données projet'!$A$62&gt;35,AI49+AH50-AQ49,IF(A50&lt;'Données projet'!$A$62,$AF$205^A50,IF(A50='Données projet'!$A$62,'Données projet'!$B$62,AI49+AH50-AQ49)))</f>
        <v>308.61648351648358</v>
      </c>
      <c r="AJ50" s="13">
        <f>AI50*VLOOKUP('Données projet'!$B$10,Paramètres!$A$1:$I$89,3,0)*VLOOKUP('Données projet'!$B$10,Paramètres!$A$1:$I$89,5,0)</f>
        <v>144.43251428571432</v>
      </c>
      <c r="AK50" s="13">
        <f t="shared" si="35"/>
        <v>37.310582871696397</v>
      </c>
      <c r="AL50" s="20">
        <f t="shared" si="4"/>
        <v>316.5358942158237</v>
      </c>
      <c r="AM50" s="59">
        <f t="shared" si="5"/>
        <v>609.86922754915702</v>
      </c>
      <c r="AN50" s="59">
        <f ca="1">AVERAGE(OFFSET($AM$3,0,0,'Données projet'!$E$10+1,1))-AVERAGE(OFFSET($H$3,0,0,'Données projet'!$E$10+1,1))</f>
        <v>158.58786357608489</v>
      </c>
      <c r="AO50" s="59">
        <f t="shared" si="36"/>
        <v>163.20074068819849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17.519780219780223</v>
      </c>
      <c r="N51" s="13">
        <f>IF('Données projet'!$A$36&gt;35,N50+M51-V50,IF(A51&lt;'Données projet'!$A$36,$K$205^A51,IF(A51='Données projet'!$A$36,'Données projet'!$B$36,N50+M51-V50)))</f>
        <v>387.04945054945063</v>
      </c>
      <c r="O51" s="13">
        <f>N51*VLOOKUP('Données projet'!$B$9,Paramètres!$A$1:$I$89,3,0)*VLOOKUP('Données projet'!$B$9,Paramètres!$A$1:$I$89,5,0)</f>
        <v>216.36064285714289</v>
      </c>
      <c r="P51" s="13">
        <f t="shared" si="33"/>
        <v>53.323123145592824</v>
      </c>
      <c r="Q51" s="20">
        <f t="shared" si="53"/>
        <v>469.69922578809798</v>
      </c>
      <c r="R51" s="59">
        <f t="shared" si="0"/>
        <v>763.03255912143129</v>
      </c>
      <c r="S51" s="59">
        <f ca="1">AVERAGE(OFFSET($R$3,0,0,'Données projet'!$E$9+1,1))-AVERAGE(OFFSET($H$3,0,0,'Données projet'!$E$9+1,1))</f>
        <v>224.7049802939942</v>
      </c>
      <c r="T51" s="59">
        <f t="shared" si="34"/>
        <v>203.48513862195352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1.5621235814568439</v>
      </c>
      <c r="AA51" s="21">
        <f>EXP(-LN(2)/25)*AA50+(1-EXP(-LN(2)/25))/(LN(2)/25)*Calculateur!V51*Calculateur!X51*VLOOKUP('Données projet'!$B$9,Paramètres!$A$1:$I$89,3,0)*0.475*44/12</f>
        <v>11.853290728022435</v>
      </c>
      <c r="AB51" s="21">
        <f>EXP(-LN(2)/2)*AB50+(1-EXP(-LN(2)/2))/(LN(2)/2)*V51*Y51*VLOOKUP('Données projet'!$B$9,Paramètres!$A$1:$I$89,3,0)*0.475*44/12</f>
        <v>1.7501196466968759E-2</v>
      </c>
      <c r="AC51" s="22">
        <f t="shared" si="3"/>
        <v>13.432915505946246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15.618681318681309</v>
      </c>
      <c r="AI51" s="13">
        <f>IF('Données projet'!$A$62&gt;35,AI50+AH51-AQ50,IF(A51&lt;'Données projet'!$A$62,$AF$205^A51,IF(A51='Données projet'!$A$62,'Données projet'!$B$62,AI50+AH51-AQ50)))</f>
        <v>324.23516483516488</v>
      </c>
      <c r="AJ51" s="13">
        <f>AI51*VLOOKUP('Données projet'!$B$10,Paramètres!$A$1:$I$89,3,0)*VLOOKUP('Données projet'!$B$10,Paramètres!$A$1:$I$89,5,0)</f>
        <v>151.74205714285716</v>
      </c>
      <c r="AK51" s="13">
        <f t="shared" si="35"/>
        <v>38.974207918733512</v>
      </c>
      <c r="AL51" s="20">
        <f t="shared" si="4"/>
        <v>332.16416164893707</v>
      </c>
      <c r="AM51" s="59">
        <f t="shared" si="5"/>
        <v>625.49749498227038</v>
      </c>
      <c r="AN51" s="59">
        <f ca="1">AVERAGE(OFFSET($AM$3,0,0,'Données projet'!$E$10+1,1))-AVERAGE(OFFSET($H$3,0,0,'Données projet'!$E$10+1,1))</f>
        <v>158.58786357608489</v>
      </c>
      <c r="AO51" s="59">
        <f t="shared" si="36"/>
        <v>163.20074068819849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>
        <f>VLOOKUP(A52,'Données projet'!$A$35:$I$55,2,0)</f>
        <v>404.56923076923078</v>
      </c>
      <c r="L52" s="12">
        <f>VLOOKUP(A52,'Données projet'!$A$35:$I$55,9,0)</f>
        <v>17.519780219780223</v>
      </c>
      <c r="M52" s="12">
        <f t="array" ref="M52">INDEX(L:L,MIN(IF(ISNUMBER(L52:L248),ROW(L52:L248),"")))</f>
        <v>17.519780219780223</v>
      </c>
      <c r="N52" s="13">
        <f>IF('Données projet'!$A$36&gt;35,N51+M52-V51,IF(A52&lt;'Données projet'!$A$36,$K$205^A52,IF(A52='Données projet'!$A$36,'Données projet'!$B$36,N51+M52-V51)))</f>
        <v>404.56923076923084</v>
      </c>
      <c r="O52" s="13">
        <f>N52*VLOOKUP('Données projet'!$B$9,Paramètres!$A$1:$I$89,3,0)*VLOOKUP('Données projet'!$B$9,Paramètres!$A$1:$I$89,5,0)</f>
        <v>226.15420000000006</v>
      </c>
      <c r="P52" s="13">
        <f t="shared" si="33"/>
        <v>55.450315347427065</v>
      </c>
      <c r="Q52" s="20">
        <f t="shared" si="53"/>
        <v>490.46119756343563</v>
      </c>
      <c r="R52" s="59">
        <f t="shared" si="0"/>
        <v>783.79453089676895</v>
      </c>
      <c r="S52" s="59">
        <f ca="1">AVERAGE(OFFSET($R$3,0,0,'Données projet'!$E$9+1,1))-AVERAGE(OFFSET($H$3,0,0,'Données projet'!$E$9+1,1))</f>
        <v>224.7049802939942</v>
      </c>
      <c r="T52" s="59">
        <f t="shared" si="34"/>
        <v>203.48513862195352</v>
      </c>
      <c r="U52" s="15">
        <f>IF(ISNA(VLOOKUP(A52,'Données projet'!$A$35:$I$55,3,0)),0,VLOOKUP(A52,'Données projet'!$A$35:$I$55,3,0))</f>
        <v>5</v>
      </c>
      <c r="V52" s="15">
        <f>IF(ISNA(VLOOKUP(A52,'Données projet'!$A$35:$I$55,4,0)),0,VLOOKUP(A52,'Données projet'!$A$35:$I$55,4,0))</f>
        <v>90.453846153846158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1.5314912908257785</v>
      </c>
      <c r="AA52" s="21">
        <f>EXP(-LN(2)/25)*AA51+(1-EXP(-LN(2)/25))/(LN(2)/25)*Calculateur!V52*Calculateur!X52*VLOOKUP('Données projet'!$B$9,Paramètres!$A$1:$I$89,3,0)*0.475*44/12</f>
        <v>11.529161869727194</v>
      </c>
      <c r="AB52" s="21">
        <f>EXP(-LN(2)/2)*AB51+(1-EXP(-LN(2)/2))/(LN(2)/2)*V52*Y52*VLOOKUP('Données projet'!$B$9,Paramètres!$A$1:$I$89,3,0)*0.475*44/12</f>
        <v>1.2375214700671657E-2</v>
      </c>
      <c r="AC52" s="22">
        <f t="shared" si="3"/>
        <v>13.073028375253644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>
        <f>VLOOKUP(A52,'Données projet'!$A$61:$I$81,2,0)</f>
        <v>339.85384615384612</v>
      </c>
      <c r="AG52" s="12">
        <f>VLOOKUP(A52,'Données projet'!$A$61:$I$81,9,0)</f>
        <v>15.618681318681309</v>
      </c>
      <c r="AH52" s="12">
        <f t="array" ref="AH52">INDEX(AG:AG,MIN(IF(ISNUMBER(AG52:AG248),ROW(AG52:AG248),"")))</f>
        <v>15.618681318681309</v>
      </c>
      <c r="AI52" s="13">
        <f>IF('Données projet'!$A$62&gt;35,AI51+AH52-AQ51,IF(A52&lt;'Données projet'!$A$62,$AF$205^A52,IF(A52='Données projet'!$A$62,'Données projet'!$B$62,AI51+AH52-AQ51)))</f>
        <v>339.85384615384618</v>
      </c>
      <c r="AJ52" s="13">
        <f>AI52*VLOOKUP('Données projet'!$B$10,Paramètres!$A$1:$I$89,3,0)*VLOOKUP('Données projet'!$B$10,Paramètres!$A$1:$I$89,5,0)</f>
        <v>159.05160000000001</v>
      </c>
      <c r="AK52" s="13">
        <f t="shared" si="35"/>
        <v>40.628527179850586</v>
      </c>
      <c r="AL52" s="20">
        <f t="shared" si="4"/>
        <v>347.77622150490646</v>
      </c>
      <c r="AM52" s="59">
        <f t="shared" si="5"/>
        <v>641.10955483823977</v>
      </c>
      <c r="AN52" s="59">
        <f ca="1">AVERAGE(OFFSET($AM$3,0,0,'Données projet'!$E$10+1,1))-AVERAGE(OFFSET($H$3,0,0,'Données projet'!$E$10+1,1))</f>
        <v>158.58786357608489</v>
      </c>
      <c r="AO52" s="59">
        <f t="shared" si="36"/>
        <v>163.20074068819849</v>
      </c>
      <c r="AP52" s="15">
        <f>IF(ISNA(VLOOKUP(A52,'Données projet'!$A$61:$I$81,3,0)),0,VLOOKUP(A52,'Données projet'!$A$61:$I$81,3,0))</f>
        <v>2</v>
      </c>
      <c r="AQ52" s="15">
        <f>IF(ISNA(VLOOKUP(A52,'Données projet'!$A$61:$I$81,4,0)),0,VLOOKUP(A52,'Données projet'!$A$61:$I$81,4,0))</f>
        <v>94.476923076923072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16.227472527472521</v>
      </c>
      <c r="N53" s="13">
        <f>IF('Données projet'!$A$36&gt;35,N52+M53-V52,IF(A53&lt;'Données projet'!$A$36,$K$205^A53,IF(A53='Données projet'!$A$36,'Données projet'!$B$36,N52+M53-V52)))</f>
        <v>330.34285714285721</v>
      </c>
      <c r="O53" s="13">
        <f>N53*VLOOKUP('Données projet'!$B$9,Paramètres!$A$1:$I$89,3,0)*VLOOKUP('Données projet'!$B$9,Paramètres!$A$1:$I$89,5,0)</f>
        <v>184.66165714285719</v>
      </c>
      <c r="P53" s="13">
        <f t="shared" si="33"/>
        <v>46.357770619215231</v>
      </c>
      <c r="Q53" s="20">
        <f t="shared" si="53"/>
        <v>402.3588366856095</v>
      </c>
      <c r="R53" s="59">
        <f t="shared" si="0"/>
        <v>695.69217001894276</v>
      </c>
      <c r="S53" s="59">
        <f ca="1">AVERAGE(OFFSET($R$3,0,0,'Données projet'!$E$9+1,1))-AVERAGE(OFFSET($H$3,0,0,'Données projet'!$E$9+1,1))</f>
        <v>224.7049802939942</v>
      </c>
      <c r="T53" s="59">
        <f t="shared" si="34"/>
        <v>203.48513862195352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1.5014596807301359</v>
      </c>
      <c r="AA53" s="21">
        <f>EXP(-LN(2)/25)*AA52+(1-EXP(-LN(2)/25))/(LN(2)/25)*Calculateur!V53*Calculateur!X53*VLOOKUP('Données projet'!$B$9,Paramètres!$A$1:$I$89,3,0)*0.475*44/12</f>
        <v>11.213896332107231</v>
      </c>
      <c r="AB53" s="21">
        <f>EXP(-LN(2)/2)*AB52+(1-EXP(-LN(2)/2))/(LN(2)/2)*V53*Y53*VLOOKUP('Données projet'!$B$9,Paramètres!$A$1:$I$89,3,0)*0.475*44/12</f>
        <v>8.7505982334843795E-3</v>
      </c>
      <c r="AC53" s="22">
        <f t="shared" si="3"/>
        <v>12.724106611070852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14.668131868131875</v>
      </c>
      <c r="AI53" s="13">
        <f>IF('Données projet'!$A$62&gt;35,AI52+AH53-AQ52,IF(A53&lt;'Données projet'!$A$62,$AF$205^A53,IF(A53='Données projet'!$A$62,'Données projet'!$B$62,AI52+AH53-AQ52)))</f>
        <v>260.04505494505497</v>
      </c>
      <c r="AJ53" s="13">
        <f>AI53*VLOOKUP('Données projet'!$B$10,Paramètres!$A$1:$I$89,3,0)*VLOOKUP('Données projet'!$B$10,Paramètres!$A$1:$I$89,5,0)</f>
        <v>121.70108571428571</v>
      </c>
      <c r="AK53" s="13">
        <f t="shared" si="35"/>
        <v>32.071423986344442</v>
      </c>
      <c r="AL53" s="20">
        <f t="shared" si="4"/>
        <v>267.82045439526422</v>
      </c>
      <c r="AM53" s="59">
        <f t="shared" si="5"/>
        <v>561.15378772859754</v>
      </c>
      <c r="AN53" s="59">
        <f ca="1">AVERAGE(OFFSET($AM$3,0,0,'Données projet'!$E$10+1,1))-AVERAGE(OFFSET($H$3,0,0,'Données projet'!$E$10+1,1))</f>
        <v>158.58786357608489</v>
      </c>
      <c r="AO53" s="59">
        <f t="shared" si="36"/>
        <v>163.20074068819849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16.227472527472521</v>
      </c>
      <c r="N54" s="13">
        <f>IF('Données projet'!$A$36&gt;35,N53+M54-V53,IF(A54&lt;'Données projet'!$A$36,$K$205^A54,IF(A54='Données projet'!$A$36,'Données projet'!$B$36,N53+M54-V53)))</f>
        <v>346.57032967032973</v>
      </c>
      <c r="O54" s="13">
        <f>N54*VLOOKUP('Données projet'!$B$9,Paramètres!$A$1:$I$89,3,0)*VLOOKUP('Données projet'!$B$9,Paramètres!$A$1:$I$89,5,0)</f>
        <v>193.73281428571431</v>
      </c>
      <c r="P54" s="13">
        <f t="shared" si="33"/>
        <v>48.364288285880889</v>
      </c>
      <c r="Q54" s="20">
        <f t="shared" si="53"/>
        <v>421.65245364552828</v>
      </c>
      <c r="R54" s="59">
        <f t="shared" si="0"/>
        <v>714.9857869788616</v>
      </c>
      <c r="S54" s="59">
        <f ca="1">AVERAGE(OFFSET($R$3,0,0,'Données projet'!$E$9+1,1))-AVERAGE(OFFSET($H$3,0,0,'Données projet'!$E$9+1,1))</f>
        <v>224.7049802939942</v>
      </c>
      <c r="T54" s="59">
        <f t="shared" si="34"/>
        <v>203.48513862195352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1.4720169721909955</v>
      </c>
      <c r="AA54" s="21">
        <f>EXP(-LN(2)/25)*AA53+(1-EXP(-LN(2)/25))/(LN(2)/25)*Calculateur!V54*Calculateur!X54*VLOOKUP('Données projet'!$B$9,Paramètres!$A$1:$I$89,3,0)*0.475*44/12</f>
        <v>10.90725174719258</v>
      </c>
      <c r="AB54" s="21">
        <f>EXP(-LN(2)/2)*AB53+(1-EXP(-LN(2)/2))/(LN(2)/2)*V54*Y54*VLOOKUP('Données projet'!$B$9,Paramètres!$A$1:$I$89,3,0)*0.475*44/12</f>
        <v>6.1876073503358284E-3</v>
      </c>
      <c r="AC54" s="22">
        <f t="shared" si="3"/>
        <v>12.385456326733912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14.668131868131875</v>
      </c>
      <c r="AI54" s="13">
        <f>IF('Données projet'!$A$62&gt;35,AI53+AH54-AQ53,IF(A54&lt;'Données projet'!$A$62,$AF$205^A54,IF(A54='Données projet'!$A$62,'Données projet'!$B$62,AI53+AH54-AQ53)))</f>
        <v>274.71318681318684</v>
      </c>
      <c r="AJ54" s="13">
        <f>AI54*VLOOKUP('Données projet'!$B$10,Paramètres!$A$1:$I$89,3,0)*VLOOKUP('Données projet'!$B$10,Paramètres!$A$1:$I$89,5,0)</f>
        <v>128.56577142857145</v>
      </c>
      <c r="AK54" s="13">
        <f t="shared" si="35"/>
        <v>33.664737545838108</v>
      </c>
      <c r="AL54" s="20">
        <f t="shared" si="4"/>
        <v>282.55146979709662</v>
      </c>
      <c r="AM54" s="59">
        <f t="shared" si="5"/>
        <v>575.88480313042987</v>
      </c>
      <c r="AN54" s="59">
        <f ca="1">AVERAGE(OFFSET($AM$3,0,0,'Données projet'!$E$10+1,1))-AVERAGE(OFFSET($H$3,0,0,'Données projet'!$E$10+1,1))</f>
        <v>158.58786357608489</v>
      </c>
      <c r="AO54" s="59">
        <f t="shared" si="36"/>
        <v>163.20074068819849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16.227472527472521</v>
      </c>
      <c r="N55" s="13">
        <f>IF('Données projet'!$A$36&gt;35,N54+M55-V54,IF(A55&lt;'Données projet'!$A$36,$K$205^A55,IF(A55='Données projet'!$A$36,'Données projet'!$B$36,N54+M55-V54)))</f>
        <v>362.79780219780224</v>
      </c>
      <c r="O55" s="13">
        <f>N55*VLOOKUP('Données projet'!$B$9,Paramètres!$A$1:$I$89,3,0)*VLOOKUP('Données projet'!$B$9,Paramètres!$A$1:$I$89,5,0)</f>
        <v>202.80397142857146</v>
      </c>
      <c r="P55" s="13">
        <f t="shared" si="33"/>
        <v>50.359895566849652</v>
      </c>
      <c r="Q55" s="20">
        <f t="shared" si="53"/>
        <v>440.92706835035841</v>
      </c>
      <c r="R55" s="59">
        <f t="shared" si="0"/>
        <v>734.26040168369173</v>
      </c>
      <c r="S55" s="59">
        <f ca="1">AVERAGE(OFFSET($R$3,0,0,'Données projet'!$E$9+1,1))-AVERAGE(OFFSET($H$3,0,0,'Données projet'!$E$9+1,1))</f>
        <v>224.7049802939942</v>
      </c>
      <c r="T55" s="59">
        <f t="shared" si="34"/>
        <v>203.48513862195352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1.4431516172080285</v>
      </c>
      <c r="AA55" s="21">
        <f>EXP(-LN(2)/25)*AA54+(1-EXP(-LN(2)/25))/(LN(2)/25)*Calculateur!V55*Calculateur!X55*VLOOKUP('Données projet'!$B$9,Paramètres!$A$1:$I$89,3,0)*0.475*44/12</f>
        <v>10.608992374578159</v>
      </c>
      <c r="AB55" s="21">
        <f>EXP(-LN(2)/2)*AB54+(1-EXP(-LN(2)/2))/(LN(2)/2)*V55*Y55*VLOOKUP('Données projet'!$B$9,Paramètres!$A$1:$I$89,3,0)*0.475*44/12</f>
        <v>4.3752991167421897E-3</v>
      </c>
      <c r="AC55" s="22">
        <f t="shared" si="3"/>
        <v>12.05651929090293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14.668131868131875</v>
      </c>
      <c r="AI55" s="13">
        <f>IF('Données projet'!$A$62&gt;35,AI54+AH55-AQ54,IF(A55&lt;'Données projet'!$A$62,$AF$205^A55,IF(A55='Données projet'!$A$62,'Données projet'!$B$62,AI54+AH55-AQ54)))</f>
        <v>289.3813186813187</v>
      </c>
      <c r="AJ55" s="13">
        <f>AI55*VLOOKUP('Données projet'!$B$10,Paramètres!$A$1:$I$89,3,0)*VLOOKUP('Données projet'!$B$10,Paramètres!$A$1:$I$89,5,0)</f>
        <v>135.43045714285716</v>
      </c>
      <c r="AK55" s="13">
        <f t="shared" si="35"/>
        <v>35.248174253598229</v>
      </c>
      <c r="AL55" s="20">
        <f t="shared" si="4"/>
        <v>297.26528301549314</v>
      </c>
      <c r="AM55" s="59">
        <f t="shared" si="5"/>
        <v>590.59861634882645</v>
      </c>
      <c r="AN55" s="59">
        <f ca="1">AVERAGE(OFFSET($AM$3,0,0,'Données projet'!$E$10+1,1))-AVERAGE(OFFSET($H$3,0,0,'Données projet'!$E$10+1,1))</f>
        <v>158.58786357608489</v>
      </c>
      <c r="AO55" s="59">
        <f t="shared" si="36"/>
        <v>163.20074068819849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16.227472527472521</v>
      </c>
      <c r="N56" s="13">
        <f>IF('Données projet'!$A$36&gt;35,N55+M56-V55,IF(A56&lt;'Données projet'!$A$36,$K$205^A56,IF(A56='Données projet'!$A$36,'Données projet'!$B$36,N55+M56-V55)))</f>
        <v>379.02527472527476</v>
      </c>
      <c r="O56" s="13">
        <f>N56*VLOOKUP('Données projet'!$B$9,Paramètres!$A$1:$I$89,3,0)*VLOOKUP('Données projet'!$B$9,Paramètres!$A$1:$I$89,5,0)</f>
        <v>211.87512857142858</v>
      </c>
      <c r="P56" s="13">
        <f t="shared" si="33"/>
        <v>52.345136228066735</v>
      </c>
      <c r="Q56" s="20">
        <f t="shared" si="53"/>
        <v>460.18362785912103</v>
      </c>
      <c r="R56" s="59">
        <f t="shared" si="0"/>
        <v>753.51696119245435</v>
      </c>
      <c r="S56" s="59">
        <f ca="1">AVERAGE(OFFSET($R$3,0,0,'Données projet'!$E$9+1,1))-AVERAGE(OFFSET($H$3,0,0,'Données projet'!$E$9+1,1))</f>
        <v>224.7049802939942</v>
      </c>
      <c r="T56" s="59">
        <f t="shared" si="34"/>
        <v>203.48513862195352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1.4148522942301496</v>
      </c>
      <c r="AA56" s="21">
        <f>EXP(-LN(2)/25)*AA55+(1-EXP(-LN(2)/25))/(LN(2)/25)*Calculateur!V56*Calculateur!X56*VLOOKUP('Données projet'!$B$9,Paramètres!$A$1:$I$89,3,0)*0.475*44/12</f>
        <v>10.318888920192657</v>
      </c>
      <c r="AB56" s="21">
        <f>EXP(-LN(2)/2)*AB55+(1-EXP(-LN(2)/2))/(LN(2)/2)*V56*Y56*VLOOKUP('Données projet'!$B$9,Paramètres!$A$1:$I$89,3,0)*0.475*44/12</f>
        <v>3.0938036751679142E-3</v>
      </c>
      <c r="AC56" s="22">
        <f t="shared" si="3"/>
        <v>11.736835018097974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14.668131868131875</v>
      </c>
      <c r="AI56" s="13">
        <f>IF('Données projet'!$A$62&gt;35,AI55+AH56-AQ55,IF(A56&lt;'Données projet'!$A$62,$AF$205^A56,IF(A56='Données projet'!$A$62,'Données projet'!$B$62,AI55+AH56-AQ55)))</f>
        <v>304.04945054945057</v>
      </c>
      <c r="AJ56" s="13">
        <f>AI56*VLOOKUP('Données projet'!$B$10,Paramètres!$A$1:$I$89,3,0)*VLOOKUP('Données projet'!$B$10,Paramètres!$A$1:$I$89,5,0)</f>
        <v>142.29514285714285</v>
      </c>
      <c r="AK56" s="13">
        <f t="shared" si="35"/>
        <v>36.822291864436032</v>
      </c>
      <c r="AL56" s="20">
        <f t="shared" si="4"/>
        <v>311.96286547341651</v>
      </c>
      <c r="AM56" s="59">
        <f t="shared" si="5"/>
        <v>605.29619880674977</v>
      </c>
      <c r="AN56" s="59">
        <f ca="1">AVERAGE(OFFSET($AM$3,0,0,'Données projet'!$E$10+1,1))-AVERAGE(OFFSET($H$3,0,0,'Données projet'!$E$10+1,1))</f>
        <v>158.58786357608489</v>
      </c>
      <c r="AO56" s="59">
        <f t="shared" si="36"/>
        <v>163.20074068819849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16.227472527472521</v>
      </c>
      <c r="N57" s="13">
        <f>IF('Données projet'!$A$36&gt;35,N56+M57-V56,IF(A57&lt;'Données projet'!$A$36,$K$205^A57,IF(A57='Données projet'!$A$36,'Données projet'!$B$36,N56+M57-V56)))</f>
        <v>395.25274725274727</v>
      </c>
      <c r="O57" s="13">
        <f>N57*VLOOKUP('Données projet'!$B$9,Paramètres!$A$1:$I$89,3,0)*VLOOKUP('Données projet'!$B$9,Paramètres!$A$1:$I$89,5,0)</f>
        <v>220.94628571428572</v>
      </c>
      <c r="P57" s="13">
        <f t="shared" si="33"/>
        <v>54.320504840756463</v>
      </c>
      <c r="Q57" s="20">
        <f t="shared" si="53"/>
        <v>479.42299355003178</v>
      </c>
      <c r="R57" s="59">
        <f t="shared" si="0"/>
        <v>772.75632688336509</v>
      </c>
      <c r="S57" s="59">
        <f ca="1">AVERAGE(OFFSET($R$3,0,0,'Données projet'!$E$9+1,1))-AVERAGE(OFFSET($H$3,0,0,'Données projet'!$E$9+1,1))</f>
        <v>224.7049802939942</v>
      </c>
      <c r="T57" s="59">
        <f t="shared" si="34"/>
        <v>203.48513862195352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1.387107903714984</v>
      </c>
      <c r="AA57" s="21">
        <f>EXP(-LN(2)/25)*AA56+(1-EXP(-LN(2)/25))/(LN(2)/25)*Calculateur!V57*Calculateur!X57*VLOOKUP('Données projet'!$B$9,Paramètres!$A$1:$I$89,3,0)*0.475*44/12</f>
        <v>10.036718360023205</v>
      </c>
      <c r="AB57" s="21">
        <f>EXP(-LN(2)/2)*AB56+(1-EXP(-LN(2)/2))/(LN(2)/2)*V57*Y57*VLOOKUP('Données projet'!$B$9,Paramètres!$A$1:$I$89,3,0)*0.475*44/12</f>
        <v>2.1876495583710949E-3</v>
      </c>
      <c r="AC57" s="22">
        <f t="shared" si="3"/>
        <v>11.426013913296559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14.668131868131875</v>
      </c>
      <c r="AI57" s="13">
        <f>IF('Données projet'!$A$62&gt;35,AI56+AH57-AQ56,IF(A57&lt;'Données projet'!$A$62,$AF$205^A57,IF(A57='Données projet'!$A$62,'Données projet'!$B$62,AI56+AH57-AQ56)))</f>
        <v>318.71758241758243</v>
      </c>
      <c r="AJ57" s="13">
        <f>AI57*VLOOKUP('Données projet'!$B$10,Paramètres!$A$1:$I$89,3,0)*VLOOKUP('Données projet'!$B$10,Paramètres!$A$1:$I$89,5,0)</f>
        <v>149.15982857142859</v>
      </c>
      <c r="AK57" s="13">
        <f t="shared" si="35"/>
        <v>38.387591277502224</v>
      </c>
      <c r="AL57" s="20">
        <f t="shared" si="4"/>
        <v>326.64508957022116</v>
      </c>
      <c r="AM57" s="59">
        <f t="shared" si="5"/>
        <v>619.97842290355447</v>
      </c>
      <c r="AN57" s="59">
        <f ca="1">AVERAGE(OFFSET($AM$3,0,0,'Données projet'!$E$10+1,1))-AVERAGE(OFFSET($H$3,0,0,'Données projet'!$E$10+1,1))</f>
        <v>158.58786357608489</v>
      </c>
      <c r="AO57" s="59">
        <f t="shared" si="36"/>
        <v>163.20074068819849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16.227472527472521</v>
      </c>
      <c r="N58" s="13">
        <f>IF('Données projet'!$A$36&gt;35,N57+M58-V57,IF(A58&lt;'Données projet'!$A$36,$K$205^A58,IF(A58='Données projet'!$A$36,'Données projet'!$B$36,N57+M58-V57)))</f>
        <v>411.48021978021978</v>
      </c>
      <c r="O58" s="13">
        <f>N58*VLOOKUP('Données projet'!$B$9,Paramètres!$A$1:$I$89,3,0)*VLOOKUP('Données projet'!$B$9,Paramètres!$A$1:$I$89,5,0)</f>
        <v>230.01744285714284</v>
      </c>
      <c r="P58" s="13">
        <f t="shared" si="33"/>
        <v>56.286453068022915</v>
      </c>
      <c r="Q58" s="20">
        <f t="shared" si="53"/>
        <v>498.64595206966368</v>
      </c>
      <c r="R58" s="59">
        <f t="shared" si="0"/>
        <v>791.97928540299699</v>
      </c>
      <c r="S58" s="59">
        <f ca="1">AVERAGE(OFFSET($R$3,0,0,'Données projet'!$E$9+1,1))-AVERAGE(OFFSET($H$3,0,0,'Données projet'!$E$9+1,1))</f>
        <v>224.7049802939942</v>
      </c>
      <c r="T58" s="59">
        <f t="shared" si="34"/>
        <v>203.48513862195352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1.3599075637754137</v>
      </c>
      <c r="AA58" s="21">
        <f>EXP(-LN(2)/25)*AA57+(1-EXP(-LN(2)/25))/(LN(2)/25)*Calculateur!V58*Calculateur!X58*VLOOKUP('Données projet'!$B$9,Paramètres!$A$1:$I$89,3,0)*0.475*44/12</f>
        <v>9.76226376866029</v>
      </c>
      <c r="AB58" s="21">
        <f>EXP(-LN(2)/2)*AB57+(1-EXP(-LN(2)/2))/(LN(2)/2)*V58*Y58*VLOOKUP('Données projet'!$B$9,Paramètres!$A$1:$I$89,3,0)*0.475*44/12</f>
        <v>1.5469018375839571E-3</v>
      </c>
      <c r="AC58" s="22">
        <f t="shared" si="3"/>
        <v>11.123718234273287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14.668131868131875</v>
      </c>
      <c r="AI58" s="13">
        <f>IF('Données projet'!$A$62&gt;35,AI57+AH58-AQ57,IF(A58&lt;'Données projet'!$A$62,$AF$205^A58,IF(A58='Données projet'!$A$62,'Données projet'!$B$62,AI57+AH58-AQ57)))</f>
        <v>333.3857142857143</v>
      </c>
      <c r="AJ58" s="13">
        <f>AI58*VLOOKUP('Données projet'!$B$10,Paramètres!$A$1:$I$89,3,0)*VLOOKUP('Données projet'!$B$10,Paramètres!$A$1:$I$89,5,0)</f>
        <v>156.0245142857143</v>
      </c>
      <c r="AK58" s="13">
        <f t="shared" si="35"/>
        <v>39.944524680961258</v>
      </c>
      <c r="AL58" s="20">
        <f t="shared" si="4"/>
        <v>341.31274286695992</v>
      </c>
      <c r="AM58" s="59">
        <f t="shared" si="5"/>
        <v>634.64607620029324</v>
      </c>
      <c r="AN58" s="59">
        <f ca="1">AVERAGE(OFFSET($AM$3,0,0,'Données projet'!$E$10+1,1))-AVERAGE(OFFSET($H$3,0,0,'Données projet'!$E$10+1,1))</f>
        <v>158.58786357608489</v>
      </c>
      <c r="AO58" s="59">
        <f t="shared" si="36"/>
        <v>163.20074068819849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427.7076923076923</v>
      </c>
      <c r="L59" s="12">
        <f>VLOOKUP(A59,'Données projet'!$A$35:$I$55,9,0)</f>
        <v>16.227472527472521</v>
      </c>
      <c r="M59" s="12">
        <f t="array" ref="M59">INDEX(L:L,MIN(IF(ISNUMBER(L59:L255),ROW(L59:L255),"")))</f>
        <v>16.227472527472521</v>
      </c>
      <c r="N59" s="13">
        <f>IF('Données projet'!$A$36&gt;35,N58+M59-V58,IF(A59&lt;'Données projet'!$A$36,$K$205^A59,IF(A59='Données projet'!$A$36,'Données projet'!$B$36,N58+M59-V58)))</f>
        <v>427.7076923076923</v>
      </c>
      <c r="O59" s="13">
        <f>N59*VLOOKUP('Données projet'!$B$9,Paramètres!$A$1:$I$89,3,0)*VLOOKUP('Données projet'!$B$9,Paramètres!$A$1:$I$89,5,0)</f>
        <v>239.08860000000001</v>
      </c>
      <c r="P59" s="13">
        <f t="shared" si="33"/>
        <v>58.243394931850105</v>
      </c>
      <c r="Q59" s="20">
        <f t="shared" si="53"/>
        <v>517.85322450630554</v>
      </c>
      <c r="R59" s="59">
        <f t="shared" si="0"/>
        <v>811.18655783963891</v>
      </c>
      <c r="S59" s="59">
        <f ca="1">AVERAGE(OFFSET($R$3,0,0,'Données projet'!$E$9+1,1))-AVERAGE(OFFSET($H$3,0,0,'Données projet'!$E$9+1,1))</f>
        <v>224.7049802939942</v>
      </c>
      <c r="T59" s="59">
        <f t="shared" si="34"/>
        <v>203.48513862195352</v>
      </c>
      <c r="U59" s="15">
        <f>IF(ISNA(VLOOKUP(A59,'Données projet'!$A$35:$I$55,3,0)),0,VLOOKUP(A59,'Données projet'!$A$35:$I$55,3,0))</f>
        <v>6</v>
      </c>
      <c r="V59" s="15">
        <f>IF(ISNA(VLOOKUP(A59,'Données projet'!$A$35:$I$55,4,0)),0,VLOOKUP(A59,'Données projet'!$A$35:$I$55,4,0))</f>
        <v>75.869230769230768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1.3332406059114892</v>
      </c>
      <c r="AA59" s="21">
        <f>EXP(-LN(2)/25)*AA58+(1-EXP(-LN(2)/25))/(LN(2)/25)*Calculateur!V59*Calculateur!X59*VLOOKUP('Données projet'!$B$9,Paramètres!$A$1:$I$89,3,0)*0.475*44/12</f>
        <v>9.4953141525311349</v>
      </c>
      <c r="AB59" s="21">
        <f>EXP(-LN(2)/2)*AB58+(1-EXP(-LN(2)/2))/(LN(2)/2)*V59*Y59*VLOOKUP('Données projet'!$B$9,Paramètres!$A$1:$I$89,3,0)*0.475*44/12</f>
        <v>1.0938247791855474E-3</v>
      </c>
      <c r="AC59" s="22">
        <f t="shared" si="3"/>
        <v>10.829648583221811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348.05384615384617</v>
      </c>
      <c r="AG59" s="12">
        <f>VLOOKUP(A59,'Données projet'!$A$61:$I$81,9,0)</f>
        <v>14.668131868131875</v>
      </c>
      <c r="AH59" s="12">
        <f t="array" ref="AH59">INDEX(AG:AG,MIN(IF(ISNUMBER(AG59:AG255),ROW(AG59:AG255),"")))</f>
        <v>14.668131868131875</v>
      </c>
      <c r="AI59" s="13">
        <f>IF('Données projet'!$A$62&gt;35,AI58+AH59-AQ58,IF(A59&lt;'Données projet'!$A$62,$AF$205^A59,IF(A59='Données projet'!$A$62,'Données projet'!$B$62,AI58+AH59-AQ58)))</f>
        <v>348.05384615384617</v>
      </c>
      <c r="AJ59" s="13">
        <f>AI59*VLOOKUP('Données projet'!$B$10,Paramètres!$A$1:$I$89,3,0)*VLOOKUP('Données projet'!$B$10,Paramètres!$A$1:$I$89,5,0)</f>
        <v>162.88919999999999</v>
      </c>
      <c r="AK59" s="13">
        <f t="shared" si="35"/>
        <v>41.493502222820894</v>
      </c>
      <c r="AL59" s="20">
        <f t="shared" si="4"/>
        <v>355.96653970474637</v>
      </c>
      <c r="AM59" s="59">
        <f t="shared" si="5"/>
        <v>649.29987303807968</v>
      </c>
      <c r="AN59" s="59">
        <f ca="1">AVERAGE(OFFSET($AM$3,0,0,'Données projet'!$E$10+1,1))-AVERAGE(OFFSET($H$3,0,0,'Données projet'!$E$10+1,1))</f>
        <v>158.58786357608489</v>
      </c>
      <c r="AO59" s="59">
        <f t="shared" si="36"/>
        <v>163.20074068819849</v>
      </c>
      <c r="AP59" s="15">
        <f>IF(ISNA(VLOOKUP(A59,'Données projet'!$A$61:$I$81,3,0)),0,VLOOKUP(A59,'Données projet'!$A$61:$I$81,3,0))</f>
        <v>3</v>
      </c>
      <c r="AQ59" s="15">
        <f>IF(ISNA(VLOOKUP(A59,'Données projet'!$A$61:$I$81,4,0)),0,VLOOKUP(A59,'Données projet'!$A$61:$I$81,4,0))</f>
        <v>72.769230769230759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14.839560439560435</v>
      </c>
      <c r="N60" s="13">
        <f>IF('Données projet'!$A$36&gt;35,N59+M60-V59,IF(A60&lt;'Données projet'!$A$36,$K$205^A60,IF(A60='Données projet'!$A$36,'Données projet'!$B$36,N59+M60-V59)))</f>
        <v>366.678021978022</v>
      </c>
      <c r="O60" s="13">
        <f>N60*VLOOKUP('Données projet'!$B$9,Paramètres!$A$1:$I$89,3,0)*VLOOKUP('Données projet'!$B$9,Paramètres!$A$1:$I$89,5,0)</f>
        <v>204.9730142857143</v>
      </c>
      <c r="P60" s="13">
        <f t="shared" si="33"/>
        <v>50.835518579260878</v>
      </c>
      <c r="Q60" s="20">
        <f t="shared" si="53"/>
        <v>445.53319473983174</v>
      </c>
      <c r="R60" s="59">
        <f t="shared" si="0"/>
        <v>738.866528073165</v>
      </c>
      <c r="S60" s="59">
        <f ca="1">AVERAGE(OFFSET($R$3,0,0,'Données projet'!$E$9+1,1))-AVERAGE(OFFSET($H$3,0,0,'Données projet'!$E$9+1,1))</f>
        <v>224.7049802939942</v>
      </c>
      <c r="T60" s="59">
        <f t="shared" si="34"/>
        <v>203.48513862195352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1.307096570826038</v>
      </c>
      <c r="AA60" s="21">
        <f>EXP(-LN(2)/25)*AA59+(1-EXP(-LN(2)/25))/(LN(2)/25)*Calculateur!V60*Calculateur!X60*VLOOKUP('Données projet'!$B$9,Paramètres!$A$1:$I$89,3,0)*0.475*44/12</f>
        <v>9.2356642876933019</v>
      </c>
      <c r="AB60" s="21">
        <f>EXP(-LN(2)/2)*AB59+(1-EXP(-LN(2)/2))/(LN(2)/2)*V60*Y60*VLOOKUP('Données projet'!$B$9,Paramètres!$A$1:$I$89,3,0)*0.475*44/12</f>
        <v>7.7345091879197855E-4</v>
      </c>
      <c r="AC60" s="22">
        <f t="shared" si="3"/>
        <v>10.543534309438133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14.270329670329668</v>
      </c>
      <c r="AI60" s="13">
        <f>IF('Données projet'!$A$62&gt;35,AI59+AH60-AQ59,IF(A60&lt;'Données projet'!$A$62,$AF$205^A60,IF(A60='Données projet'!$A$62,'Données projet'!$B$62,AI59+AH60-AQ59)))</f>
        <v>289.55494505494505</v>
      </c>
      <c r="AJ60" s="13">
        <f>AI60*VLOOKUP('Données projet'!$B$10,Paramètres!$A$1:$I$89,3,0)*VLOOKUP('Données projet'!$B$10,Paramètres!$A$1:$I$89,5,0)</f>
        <v>135.51171428571428</v>
      </c>
      <c r="AK60" s="13">
        <f t="shared" si="35"/>
        <v>35.26686051307076</v>
      </c>
      <c r="AL60" s="20">
        <f t="shared" si="4"/>
        <v>297.43935110788397</v>
      </c>
      <c r="AM60" s="59">
        <f t="shared" si="5"/>
        <v>590.77268444121728</v>
      </c>
      <c r="AN60" s="59">
        <f ca="1">AVERAGE(OFFSET($AM$3,0,0,'Données projet'!$E$10+1,1))-AVERAGE(OFFSET($H$3,0,0,'Données projet'!$E$10+1,1))</f>
        <v>158.58786357608489</v>
      </c>
      <c r="AO60" s="59">
        <f t="shared" si="36"/>
        <v>163.20074068819849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14.839560439560435</v>
      </c>
      <c r="N61" s="13">
        <f>IF('Données projet'!$A$36&gt;35,N60+M61-V60,IF(A61&lt;'Données projet'!$A$36,$K$205^A61,IF(A61='Données projet'!$A$36,'Données projet'!$B$36,N60+M61-V60)))</f>
        <v>381.51758241758245</v>
      </c>
      <c r="O61" s="13">
        <f>N61*VLOOKUP('Données projet'!$B$9,Paramètres!$A$1:$I$89,3,0)*VLOOKUP('Données projet'!$B$9,Paramètres!$A$1:$I$89,5,0)</f>
        <v>213.26832857142858</v>
      </c>
      <c r="P61" s="13">
        <f t="shared" si="33"/>
        <v>52.649154508451623</v>
      </c>
      <c r="Q61" s="20">
        <f t="shared" si="53"/>
        <v>463.13961636412461</v>
      </c>
      <c r="R61" s="59">
        <f t="shared" si="0"/>
        <v>756.47294969745792</v>
      </c>
      <c r="S61" s="59">
        <f ca="1">AVERAGE(OFFSET($R$3,0,0,'Données projet'!$E$9+1,1))-AVERAGE(OFFSET($H$3,0,0,'Données projet'!$E$9+1,1))</f>
        <v>224.7049802939942</v>
      </c>
      <c r="T61" s="59">
        <f t="shared" si="34"/>
        <v>203.48513862195352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1.2814652043223258</v>
      </c>
      <c r="AA61" s="21">
        <f>EXP(-LN(2)/25)*AA60+(1-EXP(-LN(2)/25))/(LN(2)/25)*Calculateur!V61*Calculateur!X61*VLOOKUP('Données projet'!$B$9,Paramètres!$A$1:$I$89,3,0)*0.475*44/12</f>
        <v>8.9831145620638519</v>
      </c>
      <c r="AB61" s="21">
        <f>EXP(-LN(2)/2)*AB60+(1-EXP(-LN(2)/2))/(LN(2)/2)*V61*Y61*VLOOKUP('Données projet'!$B$9,Paramètres!$A$1:$I$89,3,0)*0.475*44/12</f>
        <v>5.4691238959277372E-4</v>
      </c>
      <c r="AC61" s="22">
        <f t="shared" si="3"/>
        <v>10.26512667877577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14.270329670329668</v>
      </c>
      <c r="AI61" s="13">
        <f>IF('Données projet'!$A$62&gt;35,AI60+AH61-AQ60,IF(A61&lt;'Données projet'!$A$62,$AF$205^A61,IF(A61='Données projet'!$A$62,'Données projet'!$B$62,AI60+AH61-AQ60)))</f>
        <v>303.82527472527471</v>
      </c>
      <c r="AJ61" s="13">
        <f>AI61*VLOOKUP('Données projet'!$B$10,Paramètres!$A$1:$I$89,3,0)*VLOOKUP('Données projet'!$B$10,Paramètres!$A$1:$I$89,5,0)</f>
        <v>142.19022857142855</v>
      </c>
      <c r="AK61" s="13">
        <f t="shared" si="35"/>
        <v>36.798301893816983</v>
      </c>
      <c r="AL61" s="20">
        <f t="shared" si="4"/>
        <v>311.7383572269693</v>
      </c>
      <c r="AM61" s="59">
        <f t="shared" si="5"/>
        <v>605.07169056030261</v>
      </c>
      <c r="AN61" s="59">
        <f ca="1">AVERAGE(OFFSET($AM$3,0,0,'Données projet'!$E$10+1,1))-AVERAGE(OFFSET($H$3,0,0,'Données projet'!$E$10+1,1))</f>
        <v>158.58786357608489</v>
      </c>
      <c r="AO61" s="59">
        <f t="shared" si="36"/>
        <v>163.20074068819849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14.839560439560435</v>
      </c>
      <c r="N62" s="13">
        <f>IF('Données projet'!$A$36&gt;35,N61+M62-V61,IF(A62&lt;'Données projet'!$A$36,$K$205^A62,IF(A62='Données projet'!$A$36,'Données projet'!$B$36,N61+M62-V61)))</f>
        <v>396.35714285714289</v>
      </c>
      <c r="O62" s="13">
        <f>N62*VLOOKUP('Données projet'!$B$9,Paramètres!$A$1:$I$89,3,0)*VLOOKUP('Données projet'!$B$9,Paramètres!$A$1:$I$89,5,0)</f>
        <v>221.56364285714287</v>
      </c>
      <c r="P62" s="13">
        <f t="shared" si="33"/>
        <v>54.45459555983345</v>
      </c>
      <c r="Q62" s="20">
        <f t="shared" si="53"/>
        <v>480.73176524290039</v>
      </c>
      <c r="R62" s="59">
        <f t="shared" si="0"/>
        <v>774.06509857623371</v>
      </c>
      <c r="S62" s="59">
        <f ca="1">AVERAGE(OFFSET($R$3,0,0,'Données projet'!$E$9+1,1))-AVERAGE(OFFSET($H$3,0,0,'Données projet'!$E$9+1,1))</f>
        <v>224.7049802939942</v>
      </c>
      <c r="T62" s="59">
        <f t="shared" si="34"/>
        <v>203.48513862195352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1.2563364532821615</v>
      </c>
      <c r="AA62" s="21">
        <f>EXP(-LN(2)/25)*AA61+(1-EXP(-LN(2)/25))/(LN(2)/25)*Calculateur!V62*Calculateur!X62*VLOOKUP('Données projet'!$B$9,Paramètres!$A$1:$I$89,3,0)*0.475*44/12</f>
        <v>8.7374708219627522</v>
      </c>
      <c r="AB62" s="21">
        <f>EXP(-LN(2)/2)*AB61+(1-EXP(-LN(2)/2))/(LN(2)/2)*V62*Y62*VLOOKUP('Données projet'!$B$9,Paramètres!$A$1:$I$89,3,0)*0.475*44/12</f>
        <v>3.8672545939598928E-4</v>
      </c>
      <c r="AC62" s="22">
        <f t="shared" si="3"/>
        <v>9.9941940007043097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14.270329670329668</v>
      </c>
      <c r="AI62" s="13">
        <f>IF('Données projet'!$A$62&gt;35,AI61+AH62-AQ61,IF(A62&lt;'Données projet'!$A$62,$AF$205^A62,IF(A62='Données projet'!$A$62,'Données projet'!$B$62,AI61+AH62-AQ61)))</f>
        <v>318.09560439560437</v>
      </c>
      <c r="AJ62" s="13">
        <f>AI62*VLOOKUP('Données projet'!$B$10,Paramètres!$A$1:$I$89,3,0)*VLOOKUP('Données projet'!$B$10,Paramètres!$A$1:$I$89,5,0)</f>
        <v>148.86874285714285</v>
      </c>
      <c r="AK62" s="13">
        <f t="shared" si="35"/>
        <v>38.321390217280914</v>
      </c>
      <c r="AL62" s="20">
        <f t="shared" si="4"/>
        <v>326.02281510462137</v>
      </c>
      <c r="AM62" s="59">
        <f t="shared" si="5"/>
        <v>619.35614843795474</v>
      </c>
      <c r="AN62" s="59">
        <f ca="1">AVERAGE(OFFSET($AM$3,0,0,'Données projet'!$E$10+1,1))-AVERAGE(OFFSET($H$3,0,0,'Données projet'!$E$10+1,1))</f>
        <v>158.58786357608489</v>
      </c>
      <c r="AO62" s="59">
        <f t="shared" si="36"/>
        <v>163.20074068819849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14.839560439560435</v>
      </c>
      <c r="N63" s="13">
        <f>IF('Données projet'!$A$36&gt;35,N62+M63-V62,IF(A63&lt;'Données projet'!$A$36,$K$205^A63,IF(A63='Données projet'!$A$36,'Données projet'!$B$36,N62+M63-V62)))</f>
        <v>411.19670329670333</v>
      </c>
      <c r="O63" s="13">
        <f>N63*VLOOKUP('Données projet'!$B$9,Paramètres!$A$1:$I$89,3,0)*VLOOKUP('Données projet'!$B$9,Paramètres!$A$1:$I$89,5,0)</f>
        <v>229.85895714285718</v>
      </c>
      <c r="P63" s="13">
        <f t="shared" si="33"/>
        <v>56.252183679167004</v>
      </c>
      <c r="Q63" s="20">
        <f t="shared" si="53"/>
        <v>498.31023693169209</v>
      </c>
      <c r="R63" s="59">
        <f t="shared" si="0"/>
        <v>791.64357026502535</v>
      </c>
      <c r="S63" s="59">
        <f ca="1">AVERAGE(OFFSET($R$3,0,0,'Données projet'!$E$9+1,1))-AVERAGE(OFFSET($H$3,0,0,'Données projet'!$E$9+1,1))</f>
        <v>224.7049802939942</v>
      </c>
      <c r="T63" s="59">
        <f t="shared" si="34"/>
        <v>203.48513862195352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1.23170046172287</v>
      </c>
      <c r="AA63" s="21">
        <f>EXP(-LN(2)/25)*AA62+(1-EXP(-LN(2)/25))/(LN(2)/25)*Calculateur!V63*Calculateur!X63*VLOOKUP('Données projet'!$B$9,Paramètres!$A$1:$I$89,3,0)*0.475*44/12</f>
        <v>8.4985442228525603</v>
      </c>
      <c r="AB63" s="21">
        <f>EXP(-LN(2)/2)*AB62+(1-EXP(-LN(2)/2))/(LN(2)/2)*V63*Y63*VLOOKUP('Données projet'!$B$9,Paramètres!$A$1:$I$89,3,0)*0.475*44/12</f>
        <v>2.7345619479638686E-4</v>
      </c>
      <c r="AC63" s="22">
        <f t="shared" si="3"/>
        <v>9.7305181407702257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14.270329670329668</v>
      </c>
      <c r="AI63" s="13">
        <f>IF('Données projet'!$A$62&gt;35,AI62+AH63-AQ62,IF(A63&lt;'Données projet'!$A$62,$AF$205^A63,IF(A63='Données projet'!$A$62,'Données projet'!$B$62,AI62+AH63-AQ62)))</f>
        <v>332.36593406593403</v>
      </c>
      <c r="AJ63" s="13">
        <f>AI63*VLOOKUP('Données projet'!$B$10,Paramètres!$A$1:$I$89,3,0)*VLOOKUP('Données projet'!$B$10,Paramètres!$A$1:$I$89,5,0)</f>
        <v>155.54725714285712</v>
      </c>
      <c r="AK63" s="13">
        <f t="shared" si="35"/>
        <v>39.836543030962723</v>
      </c>
      <c r="AL63" s="20">
        <f t="shared" si="4"/>
        <v>340.29345196940289</v>
      </c>
      <c r="AM63" s="59">
        <f t="shared" si="5"/>
        <v>633.62678530273615</v>
      </c>
      <c r="AN63" s="59">
        <f ca="1">AVERAGE(OFFSET($AM$3,0,0,'Données projet'!$E$10+1,1))-AVERAGE(OFFSET($H$3,0,0,'Données projet'!$E$10+1,1))</f>
        <v>158.58786357608489</v>
      </c>
      <c r="AO63" s="59">
        <f t="shared" si="36"/>
        <v>163.20074068819849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14.839560439560435</v>
      </c>
      <c r="N64" s="13">
        <f>IF('Données projet'!$A$36&gt;35,N63+M64-V63,IF(A64&lt;'Données projet'!$A$36,$K$205^A64,IF(A64='Données projet'!$A$36,'Données projet'!$B$36,N63+M64-V63)))</f>
        <v>426.03626373626378</v>
      </c>
      <c r="O64" s="13">
        <f>N64*VLOOKUP('Données projet'!$B$9,Paramètres!$A$1:$I$89,3,0)*VLOOKUP('Données projet'!$B$9,Paramètres!$A$1:$I$89,5,0)</f>
        <v>238.15427142857146</v>
      </c>
      <c r="P64" s="13">
        <f t="shared" si="33"/>
        <v>58.042234732541061</v>
      </c>
      <c r="Q64" s="20">
        <f t="shared" si="53"/>
        <v>515.87558156393777</v>
      </c>
      <c r="R64" s="59">
        <f t="shared" si="0"/>
        <v>809.20891489727114</v>
      </c>
      <c r="S64" s="59">
        <f ca="1">AVERAGE(OFFSET($R$3,0,0,'Données projet'!$E$9+1,1))-AVERAGE(OFFSET($H$3,0,0,'Données projet'!$E$9+1,1))</f>
        <v>224.7049802939942</v>
      </c>
      <c r="T64" s="59">
        <f t="shared" si="34"/>
        <v>203.48513862195352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1.2075475669315852</v>
      </c>
      <c r="AA64" s="21">
        <f>EXP(-LN(2)/25)*AA63+(1-EXP(-LN(2)/25))/(LN(2)/25)*Calculateur!V64*Calculateur!X64*VLOOKUP('Données projet'!$B$9,Paramètres!$A$1:$I$89,3,0)*0.475*44/12</f>
        <v>8.26615108415964</v>
      </c>
      <c r="AB64" s="21">
        <f>EXP(-LN(2)/2)*AB63+(1-EXP(-LN(2)/2))/(LN(2)/2)*V64*Y64*VLOOKUP('Données projet'!$B$9,Paramètres!$A$1:$I$89,3,0)*0.475*44/12</f>
        <v>1.9336272969799464E-4</v>
      </c>
      <c r="AC64" s="22">
        <f t="shared" si="3"/>
        <v>9.4738920138209242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14.270329670329668</v>
      </c>
      <c r="AI64" s="13">
        <f>IF('Données projet'!$A$62&gt;35,AI63+AH64-AQ63,IF(A64&lt;'Données projet'!$A$62,$AF$205^A64,IF(A64='Données projet'!$A$62,'Données projet'!$B$62,AI63+AH64-AQ63)))</f>
        <v>346.63626373626369</v>
      </c>
      <c r="AJ64" s="13">
        <f>AI64*VLOOKUP('Données projet'!$B$10,Paramètres!$A$1:$I$89,3,0)*VLOOKUP('Données projet'!$B$10,Paramètres!$A$1:$I$89,5,0)</f>
        <v>162.22577142857142</v>
      </c>
      <c r="AK64" s="13">
        <f t="shared" si="35"/>
        <v>41.344139999178246</v>
      </c>
      <c r="AL64" s="20">
        <f t="shared" si="4"/>
        <v>354.55092906999738</v>
      </c>
      <c r="AM64" s="59">
        <f t="shared" si="5"/>
        <v>647.88426240333069</v>
      </c>
      <c r="AN64" s="59">
        <f ca="1">AVERAGE(OFFSET($AM$3,0,0,'Données projet'!$E$10+1,1))-AVERAGE(OFFSET($H$3,0,0,'Données projet'!$E$10+1,1))</f>
        <v>158.58786357608489</v>
      </c>
      <c r="AO64" s="59">
        <f t="shared" si="36"/>
        <v>163.20074068819849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14.839560439560435</v>
      </c>
      <c r="N65" s="13">
        <f>IF('Données projet'!$A$36&gt;35,N64+M65-V64,IF(A65&lt;'Données projet'!$A$36,$K$205^A65,IF(A65='Données projet'!$A$36,'Données projet'!$B$36,N64+M65-V64)))</f>
        <v>440.87582417582422</v>
      </c>
      <c r="O65" s="13">
        <f>N65*VLOOKUP('Données projet'!$B$9,Paramètres!$A$1:$I$89,3,0)*VLOOKUP('Données projet'!$B$9,Paramètres!$A$1:$I$89,5,0)</f>
        <v>246.44958571428575</v>
      </c>
      <c r="P65" s="13">
        <f t="shared" si="33"/>
        <v>59.825041333918982</v>
      </c>
      <c r="Q65" s="20">
        <f t="shared" si="53"/>
        <v>533.42830877562324</v>
      </c>
      <c r="R65" s="59">
        <f t="shared" si="0"/>
        <v>826.76164210895649</v>
      </c>
      <c r="S65" s="59">
        <f ca="1">AVERAGE(OFFSET($R$3,0,0,'Données projet'!$E$9+1,1))-AVERAGE(OFFSET($H$3,0,0,'Données projet'!$E$9+1,1))</f>
        <v>224.7049802939942</v>
      </c>
      <c r="T65" s="59">
        <f t="shared" si="34"/>
        <v>203.48513862195352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1.1838682956753461</v>
      </c>
      <c r="AA65" s="21">
        <f>EXP(-LN(2)/25)*AA64+(1-EXP(-LN(2)/25))/(LN(2)/25)*Calculateur!V65*Calculateur!X65*VLOOKUP('Données projet'!$B$9,Paramètres!$A$1:$I$89,3,0)*0.475*44/12</f>
        <v>8.040112748065301</v>
      </c>
      <c r="AB65" s="21">
        <f>EXP(-LN(2)/2)*AB64+(1-EXP(-LN(2)/2))/(LN(2)/2)*V65*Y65*VLOOKUP('Données projet'!$B$9,Paramètres!$A$1:$I$89,3,0)*0.475*44/12</f>
        <v>1.3672809739819343E-4</v>
      </c>
      <c r="AC65" s="22">
        <f t="shared" si="3"/>
        <v>9.2241177718380456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14.270329670329668</v>
      </c>
      <c r="AI65" s="13">
        <f>IF('Données projet'!$A$62&gt;35,AI64+AH65-AQ64,IF(A65&lt;'Données projet'!$A$62,$AF$205^A65,IF(A65='Données projet'!$A$62,'Données projet'!$B$62,AI64+AH65-AQ64)))</f>
        <v>360.90659340659334</v>
      </c>
      <c r="AJ65" s="13">
        <f>AI65*VLOOKUP('Données projet'!$B$10,Paramètres!$A$1:$I$89,3,0)*VLOOKUP('Données projet'!$B$10,Paramètres!$A$1:$I$89,5,0)</f>
        <v>168.90428571428566</v>
      </c>
      <c r="AK65" s="13">
        <f t="shared" si="35"/>
        <v>42.844527757373569</v>
      </c>
      <c r="AL65" s="20">
        <f t="shared" si="4"/>
        <v>368.79585012980647</v>
      </c>
      <c r="AM65" s="59">
        <f t="shared" si="5"/>
        <v>662.12918346313973</v>
      </c>
      <c r="AN65" s="59">
        <f ca="1">AVERAGE(OFFSET($AM$3,0,0,'Données projet'!$E$10+1,1))-AVERAGE(OFFSET($H$3,0,0,'Données projet'!$E$10+1,1))</f>
        <v>158.58786357608489</v>
      </c>
      <c r="AO65" s="59">
        <f t="shared" si="36"/>
        <v>163.20074068819849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455.71538461538455</v>
      </c>
      <c r="L66" s="12">
        <f>VLOOKUP(A66,'Données projet'!$A$35:$I$55,9,0)</f>
        <v>14.839560439560435</v>
      </c>
      <c r="M66" s="12">
        <f t="array" ref="M66">INDEX(L:L,MIN(IF(ISNUMBER(L66:L262),ROW(L66:L262),"")))</f>
        <v>14.839560439560435</v>
      </c>
      <c r="N66" s="13">
        <f>IF('Données projet'!$A$36&gt;35,N65+M66-V65,IF(A66&lt;'Données projet'!$A$36,$K$205^A66,IF(A66='Données projet'!$A$36,'Données projet'!$B$36,N65+M66-V65)))</f>
        <v>455.71538461538466</v>
      </c>
      <c r="O66" s="13">
        <f>N66*VLOOKUP('Données projet'!$B$9,Paramètres!$A$1:$I$89,3,0)*VLOOKUP('Données projet'!$B$9,Paramètres!$A$1:$I$89,5,0)</f>
        <v>254.74490000000003</v>
      </c>
      <c r="P66" s="13">
        <f t="shared" si="33"/>
        <v>61.600875281297732</v>
      </c>
      <c r="Q66" s="20">
        <f t="shared" si="53"/>
        <v>550.96889194826019</v>
      </c>
      <c r="R66" s="59">
        <f t="shared" si="0"/>
        <v>844.30222528159356</v>
      </c>
      <c r="S66" s="59">
        <f ca="1">AVERAGE(OFFSET($R$3,0,0,'Données projet'!$E$9+1,1))-AVERAGE(OFFSET($H$3,0,0,'Données projet'!$E$9+1,1))</f>
        <v>224.7049802939942</v>
      </c>
      <c r="T66" s="59">
        <f t="shared" si="34"/>
        <v>203.48513862195352</v>
      </c>
      <c r="U66" s="15">
        <f>IF(ISNA(VLOOKUP(A66,'Données projet'!$A$35:$I$55,3,0)),0,VLOOKUP(A66,'Données projet'!$A$35:$I$55,3,0))</f>
        <v>7</v>
      </c>
      <c r="V66" s="15">
        <f>IF(ISNA(VLOOKUP(A66,'Données projet'!$A$35:$I$55,4,0)),0,VLOOKUP(A66,'Données projet'!$A$35:$I$55,4,0))</f>
        <v>79.723076923076917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1.1606533604855127</v>
      </c>
      <c r="AA66" s="21">
        <f>EXP(-LN(2)/25)*AA65+(1-EXP(-LN(2)/25))/(LN(2)/25)*Calculateur!V66*Calculateur!X66*VLOOKUP('Données projet'!$B$9,Paramètres!$A$1:$I$89,3,0)*0.475*44/12</f>
        <v>7.8202554421583015</v>
      </c>
      <c r="AB66" s="21">
        <f>EXP(-LN(2)/2)*AB65+(1-EXP(-LN(2)/2))/(LN(2)/2)*V66*Y66*VLOOKUP('Données projet'!$B$9,Paramètres!$A$1:$I$89,3,0)*0.475*44/12</f>
        <v>9.6681364848997319E-5</v>
      </c>
      <c r="AC66" s="22">
        <f t="shared" si="3"/>
        <v>8.9810054840086622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375.17692307692306</v>
      </c>
      <c r="AG66" s="12">
        <f>VLOOKUP(A66,'Données projet'!$A$61:$I$81,9,0)</f>
        <v>14.270329670329668</v>
      </c>
      <c r="AH66" s="12">
        <f t="array" ref="AH66">INDEX(AG:AG,MIN(IF(ISNUMBER(AG66:AG262),ROW(AG66:AG262),"")))</f>
        <v>14.270329670329668</v>
      </c>
      <c r="AI66" s="13">
        <f>IF('Données projet'!$A$62&gt;35,AI65+AH66-AQ65,IF(A66&lt;'Données projet'!$A$62,$AF$205^A66,IF(A66='Données projet'!$A$62,'Données projet'!$B$62,AI65+AH66-AQ65)))</f>
        <v>375.176923076923</v>
      </c>
      <c r="AJ66" s="13">
        <f>AI66*VLOOKUP('Données projet'!$B$10,Paramètres!$A$1:$I$89,3,0)*VLOOKUP('Données projet'!$B$10,Paramètres!$A$1:$I$89,5,0)</f>
        <v>175.58279999999996</v>
      </c>
      <c r="AK66" s="13">
        <f t="shared" si="35"/>
        <v>44.338023977070598</v>
      </c>
      <c r="AL66" s="20">
        <f t="shared" si="4"/>
        <v>383.02876842673123</v>
      </c>
      <c r="AM66" s="59">
        <f t="shared" si="5"/>
        <v>676.36210176006455</v>
      </c>
      <c r="AN66" s="59">
        <f ca="1">AVERAGE(OFFSET($AM$3,0,0,'Données projet'!$E$10+1,1))-AVERAGE(OFFSET($H$3,0,0,'Données projet'!$E$10+1,1))</f>
        <v>158.58786357608489</v>
      </c>
      <c r="AO66" s="59">
        <f t="shared" si="36"/>
        <v>163.20074068819849</v>
      </c>
      <c r="AP66" s="15">
        <f>IF(ISNA(VLOOKUP(A66,'Données projet'!$A$61:$I$81,3,0)),0,VLOOKUP(A66,'Données projet'!$A$61:$I$81,3,0))</f>
        <v>4</v>
      </c>
      <c r="AQ66" s="15">
        <f>IF(ISNA(VLOOKUP(A66,'Données projet'!$A$61:$I$81,4,0)),0,VLOOKUP(A66,'Données projet'!$A$61:$I$81,4,0))</f>
        <v>71.123076923076923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13.296703296703299</v>
      </c>
      <c r="N67" s="13">
        <f>IF('Données projet'!$A$36&gt;35,N66+M67-V66,IF(A67&lt;'Données projet'!$A$36,$K$205^A67,IF(A67='Données projet'!$A$36,'Données projet'!$B$36,N66+M67-V66)))</f>
        <v>389.28901098901105</v>
      </c>
      <c r="O67" s="13">
        <f>N67*VLOOKUP('Données projet'!$B$9,Paramètres!$A$1:$I$89,3,0)*VLOOKUP('Données projet'!$B$9,Paramètres!$A$1:$I$89,5,0)</f>
        <v>217.61255714285718</v>
      </c>
      <c r="P67" s="13">
        <f t="shared" si="33"/>
        <v>53.595657750447323</v>
      </c>
      <c r="Q67" s="20">
        <f t="shared" ref="Q67:Q98" si="54">(O67+P67)*0.475*44/12</f>
        <v>472.35430760583859</v>
      </c>
      <c r="R67" s="59">
        <f t="shared" ref="R67:R130" si="55">Q67+(I67+J67)*44/12</f>
        <v>765.68764093917184</v>
      </c>
      <c r="S67" s="59">
        <f ca="1">AVERAGE(OFFSET($R$3,0,0,'Données projet'!$E$9+1,1))-AVERAGE(OFFSET($H$3,0,0,'Données projet'!$E$9+1,1))</f>
        <v>224.7049802939942</v>
      </c>
      <c r="T67" s="59">
        <f t="shared" si="34"/>
        <v>203.48513862195352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1.1378936560150394</v>
      </c>
      <c r="AA67" s="21">
        <f>EXP(-LN(2)/25)*AA66+(1-EXP(-LN(2)/25))/(LN(2)/25)*Calculateur!V67*Calculateur!X67*VLOOKUP('Données projet'!$B$9,Paramètres!$A$1:$I$89,3,0)*0.475*44/12</f>
        <v>7.6064101458431228</v>
      </c>
      <c r="AB67" s="21">
        <f>EXP(-LN(2)/2)*AB66+(1-EXP(-LN(2)/2))/(LN(2)/2)*V67*Y67*VLOOKUP('Données projet'!$B$9,Paramètres!$A$1:$I$89,3,0)*0.475*44/12</f>
        <v>6.8364048699096715E-5</v>
      </c>
      <c r="AC67" s="22">
        <f t="shared" si="3"/>
        <v>8.7443721659068618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13.737499999999997</v>
      </c>
      <c r="AI67" s="13">
        <f>IF('Données projet'!$A$62&gt;35,AI66+AH67-AQ66,IF(A67&lt;'Données projet'!$A$62,$AF$205^A67,IF(A67='Données projet'!$A$62,'Données projet'!$B$62,AI66+AH67-AQ66)))</f>
        <v>317.79134615384612</v>
      </c>
      <c r="AJ67" s="13">
        <f>AI67*VLOOKUP('Données projet'!$B$10,Paramètres!$A$1:$I$89,3,0)*VLOOKUP('Données projet'!$B$10,Paramètres!$A$1:$I$89,5,0)</f>
        <v>148.72635</v>
      </c>
      <c r="AK67" s="13">
        <f t="shared" si="35"/>
        <v>38.289000598915827</v>
      </c>
      <c r="AL67" s="20">
        <f t="shared" si="4"/>
        <v>325.71840229311169</v>
      </c>
      <c r="AM67" s="59">
        <f t="shared" si="5"/>
        <v>619.05173562644495</v>
      </c>
      <c r="AN67" s="59">
        <f ca="1">AVERAGE(OFFSET($AM$3,0,0,'Données projet'!$E$10+1,1))-AVERAGE(OFFSET($H$3,0,0,'Données projet'!$E$10+1,1))</f>
        <v>158.58786357608489</v>
      </c>
      <c r="AO67" s="59">
        <f t="shared" si="36"/>
        <v>163.20074068819849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13.296703296703299</v>
      </c>
      <c r="N68" s="13">
        <f>IF('Données projet'!$A$36&gt;35,N67+M68-V67,IF(A68&lt;'Données projet'!$A$36,$K$205^A68,IF(A68='Données projet'!$A$36,'Données projet'!$B$36,N67+M68-V67)))</f>
        <v>402.58571428571435</v>
      </c>
      <c r="O68" s="13">
        <f>N68*VLOOKUP('Données projet'!$B$9,Paramètres!$A$1:$I$89,3,0)*VLOOKUP('Données projet'!$B$9,Paramètres!$A$1:$I$89,5,0)</f>
        <v>225.04541428571432</v>
      </c>
      <c r="P68" s="13">
        <f t="shared" si="33"/>
        <v>55.210030257376133</v>
      </c>
      <c r="Q68" s="20">
        <f t="shared" si="54"/>
        <v>488.11156591254917</v>
      </c>
      <c r="R68" s="59">
        <f t="shared" si="55"/>
        <v>781.44489924588243</v>
      </c>
      <c r="S68" s="59">
        <f ca="1">AVERAGE(OFFSET($R$3,0,0,'Données projet'!$E$9+1,1))-AVERAGE(OFFSET($H$3,0,0,'Données projet'!$E$9+1,1))</f>
        <v>224.7049802939942</v>
      </c>
      <c r="T68" s="59">
        <f t="shared" si="34"/>
        <v>203.48513862195352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1.1155802554671832</v>
      </c>
      <c r="AA68" s="21">
        <f>EXP(-LN(2)/25)*AA67+(1-EXP(-LN(2)/25))/(LN(2)/25)*Calculateur!V68*Calculateur!X68*VLOOKUP('Données projet'!$B$9,Paramètres!$A$1:$I$89,3,0)*0.475*44/12</f>
        <v>7.3984124604013175</v>
      </c>
      <c r="AB68" s="21">
        <f>EXP(-LN(2)/2)*AB67+(1-EXP(-LN(2)/2))/(LN(2)/2)*V68*Y68*VLOOKUP('Données projet'!$B$9,Paramètres!$A$1:$I$89,3,0)*0.475*44/12</f>
        <v>4.8340682424498659E-5</v>
      </c>
      <c r="AC68" s="22">
        <f t="shared" ref="AC68:AC131" si="57">SUM(Z68:AB68)</f>
        <v>8.5140410565509246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13.737499999999997</v>
      </c>
      <c r="AI68" s="13">
        <f>IF('Données projet'!$A$62&gt;35,AI67+AH68-AQ67,IF(A68&lt;'Données projet'!$A$62,$AF$205^A68,IF(A68='Données projet'!$A$62,'Données projet'!$B$62,AI67+AH68-AQ67)))</f>
        <v>331.52884615384613</v>
      </c>
      <c r="AJ68" s="13">
        <f>AI68*VLOOKUP('Données projet'!$B$10,Paramètres!$A$1:$I$89,3,0)*VLOOKUP('Données projet'!$B$10,Paramètres!$A$1:$I$89,5,0)</f>
        <v>155.15549999999999</v>
      </c>
      <c r="AK68" s="13">
        <f t="shared" si="35"/>
        <v>39.74787733410745</v>
      </c>
      <c r="AL68" s="20">
        <f t="shared" ref="AL68:AL131" si="58">(AJ68+AK68)*0.475*44/12</f>
        <v>339.45671552357044</v>
      </c>
      <c r="AM68" s="59">
        <f t="shared" ref="AM68:AM131" si="59">AL68+(AD68+AE68)*44/12</f>
        <v>632.7900488569037</v>
      </c>
      <c r="AN68" s="59">
        <f ca="1">AVERAGE(OFFSET($AM$3,0,0,'Données projet'!$E$10+1,1))-AVERAGE(OFFSET($H$3,0,0,'Données projet'!$E$10+1,1))</f>
        <v>158.58786357608489</v>
      </c>
      <c r="AO68" s="59">
        <f t="shared" si="36"/>
        <v>163.20074068819849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13.296703296703299</v>
      </c>
      <c r="N69" s="13">
        <f>IF('Données projet'!$A$36&gt;35,N68+M69-V68,IF(A69&lt;'Données projet'!$A$36,$K$205^A69,IF(A69='Données projet'!$A$36,'Données projet'!$B$36,N68+M69-V68)))</f>
        <v>415.88241758241765</v>
      </c>
      <c r="O69" s="13">
        <f>N69*VLOOKUP('Données projet'!$B$9,Paramètres!$A$1:$I$89,3,0)*VLOOKUP('Données projet'!$B$9,Paramètres!$A$1:$I$89,5,0)</f>
        <v>232.47827142857147</v>
      </c>
      <c r="P69" s="13">
        <f t="shared" ref="P69:P132" si="87">EXP(-1.0587+0.8836*LN(O69)+0.284)</f>
        <v>56.818207052289068</v>
      </c>
      <c r="Q69" s="20">
        <f t="shared" si="54"/>
        <v>503.85803335416534</v>
      </c>
      <c r="R69" s="59">
        <f t="shared" si="55"/>
        <v>797.19136668749866</v>
      </c>
      <c r="S69" s="59">
        <f ca="1">AVERAGE(OFFSET($R$3,0,0,'Données projet'!$E$9+1,1))-AVERAGE(OFFSET($H$3,0,0,'Données projet'!$E$9+1,1))</f>
        <v>224.7049802939942</v>
      </c>
      <c r="T69" s="59">
        <f t="shared" ref="T69:T132" si="88">$T$3</f>
        <v>203.48513862195352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1.0937044070942401</v>
      </c>
      <c r="AA69" s="21">
        <f>EXP(-LN(2)/25)*AA68+(1-EXP(-LN(2)/25))/(LN(2)/25)*Calculateur!V69*Calculateur!X69*VLOOKUP('Données projet'!$B$9,Paramètres!$A$1:$I$89,3,0)*0.475*44/12</f>
        <v>7.1961024826060411</v>
      </c>
      <c r="AB69" s="21">
        <f>EXP(-LN(2)/2)*AB68+(1-EXP(-LN(2)/2))/(LN(2)/2)*V69*Y69*VLOOKUP('Données projet'!$B$9,Paramètres!$A$1:$I$89,3,0)*0.475*44/12</f>
        <v>3.4182024349548357E-5</v>
      </c>
      <c r="AC69" s="22">
        <f t="shared" si="57"/>
        <v>8.2898410717246307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13.737499999999997</v>
      </c>
      <c r="AI69" s="13">
        <f>IF('Données projet'!$A$62&gt;35,AI68+AH69-AQ68,IF(A69&lt;'Données projet'!$A$62,$AF$205^A69,IF(A69='Données projet'!$A$62,'Données projet'!$B$62,AI68+AH69-AQ68)))</f>
        <v>345.26634615384614</v>
      </c>
      <c r="AJ69" s="13">
        <f>AI69*VLOOKUP('Données projet'!$B$10,Paramètres!$A$1:$I$89,3,0)*VLOOKUP('Données projet'!$B$10,Paramètres!$A$1:$I$89,5,0)</f>
        <v>161.58464999999998</v>
      </c>
      <c r="AK69" s="13">
        <f t="shared" ref="AK69:AK132" si="89">EXP(-1.0587+0.8836*LN(AJ69)+0.284)</f>
        <v>41.199732368807574</v>
      </c>
      <c r="AL69" s="20">
        <f t="shared" si="58"/>
        <v>353.18279929233978</v>
      </c>
      <c r="AM69" s="59">
        <f t="shared" si="59"/>
        <v>646.51613262567309</v>
      </c>
      <c r="AN69" s="59">
        <f ca="1">AVERAGE(OFFSET($AM$3,0,0,'Données projet'!$E$10+1,1))-AVERAGE(OFFSET($H$3,0,0,'Données projet'!$E$10+1,1))</f>
        <v>158.58786357608489</v>
      </c>
      <c r="AO69" s="59">
        <f t="shared" ref="AO69:AO132" si="90">$AO$3</f>
        <v>163.20074068819849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13.296703296703299</v>
      </c>
      <c r="N70" s="13">
        <f>IF('Données projet'!$A$36&gt;35,N69+M70-V69,IF(A70&lt;'Données projet'!$A$36,$K$205^A70,IF(A70='Données projet'!$A$36,'Données projet'!$B$36,N69+M70-V69)))</f>
        <v>429.17912087912094</v>
      </c>
      <c r="O70" s="13">
        <f>N70*VLOOKUP('Données projet'!$B$9,Paramètres!$A$1:$I$89,3,0)*VLOOKUP('Données projet'!$B$9,Paramètres!$A$1:$I$89,5,0)</f>
        <v>239.91112857142861</v>
      </c>
      <c r="P70" s="13">
        <f t="shared" si="87"/>
        <v>58.420408949287598</v>
      </c>
      <c r="Q70" s="20">
        <f t="shared" si="54"/>
        <v>519.59409451524732</v>
      </c>
      <c r="R70" s="59">
        <f t="shared" si="55"/>
        <v>812.92742784858069</v>
      </c>
      <c r="S70" s="59">
        <f ca="1">AVERAGE(OFFSET($R$3,0,0,'Données projet'!$E$9+1,1))-AVERAGE(OFFSET($H$3,0,0,'Données projet'!$E$9+1,1))</f>
        <v>224.7049802939942</v>
      </c>
      <c r="T70" s="59">
        <f t="shared" si="88"/>
        <v>203.48513862195352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1.0722575307649402</v>
      </c>
      <c r="AA70" s="21">
        <f>EXP(-LN(2)/25)*AA69+(1-EXP(-LN(2)/25))/(LN(2)/25)*Calculateur!V70*Calculateur!X70*VLOOKUP('Données projet'!$B$9,Paramètres!$A$1:$I$89,3,0)*0.475*44/12</f>
        <v>6.9993246817925963</v>
      </c>
      <c r="AB70" s="21">
        <f>EXP(-LN(2)/2)*AB69+(1-EXP(-LN(2)/2))/(LN(2)/2)*V70*Y70*VLOOKUP('Données projet'!$B$9,Paramètres!$A$1:$I$89,3,0)*0.475*44/12</f>
        <v>2.417034121224933E-5</v>
      </c>
      <c r="AC70" s="22">
        <f t="shared" si="57"/>
        <v>8.0716063828987501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13.737499999999997</v>
      </c>
      <c r="AI70" s="13">
        <f>IF('Données projet'!$A$62&gt;35,AI69+AH70-AQ69,IF(A70&lt;'Données projet'!$A$62,$AF$205^A70,IF(A70='Données projet'!$A$62,'Données projet'!$B$62,AI69+AH70-AQ69)))</f>
        <v>359.00384615384615</v>
      </c>
      <c r="AJ70" s="13">
        <f>AI70*VLOOKUP('Données projet'!$B$10,Paramètres!$A$1:$I$89,3,0)*VLOOKUP('Données projet'!$B$10,Paramètres!$A$1:$I$89,5,0)</f>
        <v>168.0138</v>
      </c>
      <c r="AK70" s="13">
        <f t="shared" si="89"/>
        <v>42.644877049412187</v>
      </c>
      <c r="AL70" s="20">
        <f t="shared" si="58"/>
        <v>366.89719586105952</v>
      </c>
      <c r="AM70" s="59">
        <f t="shared" si="59"/>
        <v>660.23052919439283</v>
      </c>
      <c r="AN70" s="59">
        <f ca="1">AVERAGE(OFFSET($AM$3,0,0,'Données projet'!$E$10+1,1))-AVERAGE(OFFSET($H$3,0,0,'Données projet'!$E$10+1,1))</f>
        <v>158.58786357608489</v>
      </c>
      <c r="AO70" s="59">
        <f t="shared" si="90"/>
        <v>163.20074068819849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13.296703296703299</v>
      </c>
      <c r="N71" s="13">
        <f>IF('Données projet'!$A$36&gt;35,N70+M71-V70,IF(A71&lt;'Données projet'!$A$36,$K$205^A71,IF(A71='Données projet'!$A$36,'Données projet'!$B$36,N70+M71-V70)))</f>
        <v>442.47582417582424</v>
      </c>
      <c r="O71" s="13">
        <f>N71*VLOOKUP('Données projet'!$B$9,Paramètres!$A$1:$I$89,3,0)*VLOOKUP('Données projet'!$B$9,Paramètres!$A$1:$I$89,5,0)</f>
        <v>247.34398571428574</v>
      </c>
      <c r="P71" s="13">
        <f t="shared" si="87"/>
        <v>60.016842302819605</v>
      </c>
      <c r="Q71" s="20">
        <f t="shared" si="54"/>
        <v>535.32010879645838</v>
      </c>
      <c r="R71" s="59">
        <f t="shared" si="55"/>
        <v>828.65344212979176</v>
      </c>
      <c r="S71" s="59">
        <f ca="1">AVERAGE(OFFSET($R$3,0,0,'Données projet'!$E$9+1,1))-AVERAGE(OFFSET($H$3,0,0,'Données projet'!$E$9+1,1))</f>
        <v>224.7049802939942</v>
      </c>
      <c r="T71" s="59">
        <f t="shared" si="88"/>
        <v>203.48513862195352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1.0512312145991551</v>
      </c>
      <c r="AA71" s="21">
        <f>EXP(-LN(2)/25)*AA70+(1-EXP(-LN(2)/25))/(LN(2)/25)*Calculateur!V71*Calculateur!X71*VLOOKUP('Données projet'!$B$9,Paramètres!$A$1:$I$89,3,0)*0.475*44/12</f>
        <v>6.8079277802904903</v>
      </c>
      <c r="AB71" s="21">
        <f>EXP(-LN(2)/2)*AB70+(1-EXP(-LN(2)/2))/(LN(2)/2)*V71*Y71*VLOOKUP('Données projet'!$B$9,Paramètres!$A$1:$I$89,3,0)*0.475*44/12</f>
        <v>1.7091012174774179E-5</v>
      </c>
      <c r="AC71" s="22">
        <f t="shared" si="57"/>
        <v>7.8591760859018196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13.737499999999997</v>
      </c>
      <c r="AI71" s="13">
        <f>IF('Données projet'!$A$62&gt;35,AI70+AH71-AQ70,IF(A71&lt;'Données projet'!$A$62,$AF$205^A71,IF(A71='Données projet'!$A$62,'Données projet'!$B$62,AI70+AH71-AQ70)))</f>
        <v>372.74134615384617</v>
      </c>
      <c r="AJ71" s="13">
        <f>AI71*VLOOKUP('Données projet'!$B$10,Paramètres!$A$1:$I$89,3,0)*VLOOKUP('Données projet'!$B$10,Paramètres!$A$1:$I$89,5,0)</f>
        <v>174.44295000000002</v>
      </c>
      <c r="AK71" s="13">
        <f t="shared" si="89"/>
        <v>44.083597545116064</v>
      </c>
      <c r="AL71" s="20">
        <f t="shared" si="58"/>
        <v>380.60040364107721</v>
      </c>
      <c r="AM71" s="59">
        <f t="shared" si="59"/>
        <v>673.93373697441052</v>
      </c>
      <c r="AN71" s="59">
        <f ca="1">AVERAGE(OFFSET($AM$3,0,0,'Données projet'!$E$10+1,1))-AVERAGE(OFFSET($H$3,0,0,'Données projet'!$E$10+1,1))</f>
        <v>158.58786357608489</v>
      </c>
      <c r="AO71" s="59">
        <f t="shared" si="90"/>
        <v>163.20074068819849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13.296703296703299</v>
      </c>
      <c r="N72" s="13">
        <f>IF('Données projet'!$A$36&gt;35,N71+M72-V71,IF(A72&lt;'Données projet'!$A$36,$K$205^A72,IF(A72='Données projet'!$A$36,'Données projet'!$B$36,N71+M72-V71)))</f>
        <v>455.77252747252754</v>
      </c>
      <c r="O72" s="13">
        <f>N72*VLOOKUP('Données projet'!$B$9,Paramètres!$A$1:$I$89,3,0)*VLOOKUP('Données projet'!$B$9,Paramètres!$A$1:$I$89,5,0)</f>
        <v>254.7768428571429</v>
      </c>
      <c r="P72" s="13">
        <f t="shared" si="87"/>
        <v>61.607700360287495</v>
      </c>
      <c r="Q72" s="20">
        <f t="shared" si="54"/>
        <v>551.03641277035797</v>
      </c>
      <c r="R72" s="59">
        <f t="shared" si="55"/>
        <v>844.36974610369134</v>
      </c>
      <c r="S72" s="59">
        <f ca="1">AVERAGE(OFFSET($R$3,0,0,'Données projet'!$E$9+1,1))-AVERAGE(OFFSET($H$3,0,0,'Données projet'!$E$9+1,1))</f>
        <v>224.7049802939942</v>
      </c>
      <c r="T72" s="59">
        <f t="shared" si="88"/>
        <v>203.48513862195352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1.0306172116685945</v>
      </c>
      <c r="AA72" s="21">
        <f>EXP(-LN(2)/25)*AA71+(1-EXP(-LN(2)/25))/(LN(2)/25)*Calculateur!V72*Calculateur!X72*VLOOKUP('Données projet'!$B$9,Paramètres!$A$1:$I$89,3,0)*0.475*44/12</f>
        <v>6.6217646371250849</v>
      </c>
      <c r="AB72" s="21">
        <f>EXP(-LN(2)/2)*AB71+(1-EXP(-LN(2)/2))/(LN(2)/2)*V72*Y72*VLOOKUP('Données projet'!$B$9,Paramètres!$A$1:$I$89,3,0)*0.475*44/12</f>
        <v>1.2085170606124665E-5</v>
      </c>
      <c r="AC72" s="22">
        <f t="shared" si="57"/>
        <v>7.6523939339642855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13.737499999999997</v>
      </c>
      <c r="AI72" s="13">
        <f>IF('Données projet'!$A$62&gt;35,AI71+AH72-AQ71,IF(A72&lt;'Données projet'!$A$62,$AF$205^A72,IF(A72='Données projet'!$A$62,'Données projet'!$B$62,AI71+AH72-AQ71)))</f>
        <v>386.47884615384618</v>
      </c>
      <c r="AJ72" s="13">
        <f>AI72*VLOOKUP('Données projet'!$B$10,Paramètres!$A$1:$I$89,3,0)*VLOOKUP('Données projet'!$B$10,Paramètres!$A$1:$I$89,5,0)</f>
        <v>180.87209999999999</v>
      </c>
      <c r="AK72" s="13">
        <f t="shared" si="89"/>
        <v>45.516157736157588</v>
      </c>
      <c r="AL72" s="20">
        <f t="shared" si="58"/>
        <v>394.29288222380774</v>
      </c>
      <c r="AM72" s="59">
        <f t="shared" si="59"/>
        <v>687.62621555714099</v>
      </c>
      <c r="AN72" s="59">
        <f ca="1">AVERAGE(OFFSET($AM$3,0,0,'Données projet'!$E$10+1,1))-AVERAGE(OFFSET($H$3,0,0,'Données projet'!$E$10+1,1))</f>
        <v>158.58786357608489</v>
      </c>
      <c r="AO72" s="59">
        <f t="shared" si="90"/>
        <v>163.20074068819849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469.06923076923073</v>
      </c>
      <c r="L73" s="12">
        <f>VLOOKUP(A73,'Données projet'!$A$35:$I$55,9,0)</f>
        <v>13.296703296703299</v>
      </c>
      <c r="M73" s="12">
        <f t="array" ref="M73">INDEX(L:L,MIN(IF(ISNUMBER(L73:L269),ROW(L73:L269),"")))</f>
        <v>13.296703296703299</v>
      </c>
      <c r="N73" s="13">
        <f>IF('Données projet'!$A$36&gt;35,N72+M73-V72,IF(A73&lt;'Données projet'!$A$36,$K$205^A73,IF(A73='Données projet'!$A$36,'Données projet'!$B$36,N72+M73-V72)))</f>
        <v>469.06923076923084</v>
      </c>
      <c r="O73" s="13">
        <f>N73*VLOOKUP('Données projet'!$B$9,Paramètres!$A$1:$I$89,3,0)*VLOOKUP('Données projet'!$B$9,Paramètres!$A$1:$I$89,5,0)</f>
        <v>262.20970000000005</v>
      </c>
      <c r="P73" s="13">
        <f t="shared" si="87"/>
        <v>63.193164452376628</v>
      </c>
      <c r="Q73" s="20">
        <f t="shared" si="54"/>
        <v>566.74332225455601</v>
      </c>
      <c r="R73" s="59">
        <f t="shared" si="55"/>
        <v>860.07665558788926</v>
      </c>
      <c r="S73" s="59">
        <f ca="1">AVERAGE(OFFSET($R$3,0,0,'Données projet'!$E$9+1,1))-AVERAGE(OFFSET($H$3,0,0,'Données projet'!$E$9+1,1))</f>
        <v>224.7049802939942</v>
      </c>
      <c r="T73" s="59">
        <f t="shared" si="88"/>
        <v>203.48513862195352</v>
      </c>
      <c r="U73" s="15">
        <f>IF(ISNA(VLOOKUP(A73,'Données projet'!$A$35:$I$55,3,0)),0,VLOOKUP(A73,'Données projet'!$A$35:$I$55,3,0))</f>
        <v>8</v>
      </c>
      <c r="V73" s="15">
        <f>IF(ISNA(VLOOKUP(A73,'Données projet'!$A$35:$I$55,4,0)),0,VLOOKUP(A73,'Données projet'!$A$35:$I$55,4,0))</f>
        <v>469.06923076923073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1.010407436762202</v>
      </c>
      <c r="AA73" s="21">
        <f>EXP(-LN(2)/25)*AA72+(1-EXP(-LN(2)/25))/(LN(2)/25)*Calculateur!V73*Calculateur!X73*VLOOKUP('Données projet'!$B$9,Paramètres!$A$1:$I$89,3,0)*0.475*44/12</f>
        <v>6.4406921348994315</v>
      </c>
      <c r="AB73" s="21">
        <f>EXP(-LN(2)/2)*AB72+(1-EXP(-LN(2)/2))/(LN(2)/2)*V73*Y73*VLOOKUP('Données projet'!$B$9,Paramètres!$A$1:$I$89,3,0)*0.475*44/12</f>
        <v>8.5455060873870893E-6</v>
      </c>
      <c r="AC73" s="22">
        <f t="shared" si="57"/>
        <v>7.4511081171677214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13.737499999999997</v>
      </c>
      <c r="AI73" s="13">
        <f>IF('Données projet'!$A$62&gt;35,AI72+AH73-AQ72,IF(A73&lt;'Données projet'!$A$62,$AF$205^A73,IF(A73='Données projet'!$A$62,'Données projet'!$B$62,AI72+AH73-AQ72)))</f>
        <v>400.21634615384619</v>
      </c>
      <c r="AJ73" s="13">
        <f>AI73*VLOOKUP('Données projet'!$B$10,Paramètres!$A$1:$I$89,3,0)*VLOOKUP('Données projet'!$B$10,Paramètres!$A$1:$I$89,5,0)</f>
        <v>187.30125000000001</v>
      </c>
      <c r="AK73" s="13">
        <f t="shared" si="89"/>
        <v>46.942801679870392</v>
      </c>
      <c r="AL73" s="20">
        <f t="shared" si="58"/>
        <v>407.97505667577428</v>
      </c>
      <c r="AM73" s="59">
        <f t="shared" si="59"/>
        <v>701.3083900091076</v>
      </c>
      <c r="AN73" s="59">
        <f ca="1">AVERAGE(OFFSET($AM$3,0,0,'Données projet'!$E$10+1,1))-AVERAGE(OFFSET($H$3,0,0,'Données projet'!$E$10+1,1))</f>
        <v>158.58786357608489</v>
      </c>
      <c r="AO73" s="59">
        <f t="shared" si="90"/>
        <v>163.20074068819849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1.1368683772161603E-13</v>
      </c>
      <c r="O74" s="13">
        <f>N74*VLOOKUP('Données projet'!$B$9,Paramètres!$A$1:$I$89,3,0)*VLOOKUP('Données projet'!$B$9,Paramètres!$A$1:$I$89,5,0)</f>
        <v>6.3550942286383367E-14</v>
      </c>
      <c r="P74" s="13">
        <f t="shared" si="87"/>
        <v>1.0064464192543978E-12</v>
      </c>
      <c r="Q74" s="20">
        <f t="shared" si="54"/>
        <v>1.8635787380168604E-12</v>
      </c>
      <c r="R74" s="59">
        <f t="shared" si="55"/>
        <v>293.33333333333519</v>
      </c>
      <c r="S74" s="59">
        <f ca="1">AVERAGE(OFFSET($R$3,0,0,'Données projet'!$E$9+1,1))-AVERAGE(OFFSET($H$3,0,0,'Données projet'!$E$9+1,1))</f>
        <v>224.7049802939942</v>
      </c>
      <c r="T74" s="59">
        <f t="shared" si="88"/>
        <v>203.48513862195352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0.99059396321497828</v>
      </c>
      <c r="AA74" s="21">
        <f>EXP(-LN(2)/25)*AA73+(1-EXP(-LN(2)/25))/(LN(2)/25)*Calculateur!V74*Calculateur!X74*VLOOKUP('Données projet'!$B$9,Paramètres!$A$1:$I$89,3,0)*0.475*44/12</f>
        <v>6.2645710697693273</v>
      </c>
      <c r="AB74" s="21">
        <f>EXP(-LN(2)/2)*AB73+(1-EXP(-LN(2)/2))/(LN(2)/2)*V74*Y74*VLOOKUP('Données projet'!$B$9,Paramètres!$A$1:$I$89,3,0)*0.475*44/12</f>
        <v>6.0425853030623324E-6</v>
      </c>
      <c r="AC74" s="22">
        <f t="shared" si="57"/>
        <v>7.2551710755696091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>
        <f>VLOOKUP(A74,'Données projet'!$A$61:$I$81,2,0)</f>
        <v>413.95384615384614</v>
      </c>
      <c r="AG74" s="12">
        <f>VLOOKUP(A74,'Données projet'!$A$61:$I$81,9,0)</f>
        <v>13.737499999999997</v>
      </c>
      <c r="AH74" s="12">
        <f t="array" ref="AH74">INDEX(AG:AG,MIN(IF(ISNUMBER(AG74:AG270),ROW(AG74:AG270),"")))</f>
        <v>13.737499999999997</v>
      </c>
      <c r="AI74" s="13">
        <f>IF('Données projet'!$A$62&gt;35,AI73+AH74-AQ73,IF(A74&lt;'Données projet'!$A$62,$AF$205^A74,IF(A74='Données projet'!$A$62,'Données projet'!$B$62,AI73+AH74-AQ73)))</f>
        <v>413.9538461538462</v>
      </c>
      <c r="AJ74" s="13">
        <f>AI74*VLOOKUP('Données projet'!$B$10,Paramètres!$A$1:$I$89,3,0)*VLOOKUP('Données projet'!$B$10,Paramètres!$A$1:$I$89,5,0)</f>
        <v>193.73040000000003</v>
      </c>
      <c r="AK74" s="13">
        <f t="shared" si="89"/>
        <v>48.363755728631737</v>
      </c>
      <c r="AL74" s="20">
        <f t="shared" si="58"/>
        <v>421.647321227367</v>
      </c>
      <c r="AM74" s="59">
        <f t="shared" si="59"/>
        <v>714.98065456070026</v>
      </c>
      <c r="AN74" s="59">
        <f ca="1">AVERAGE(OFFSET($AM$3,0,0,'Données projet'!$E$10+1,1))-AVERAGE(OFFSET($H$3,0,0,'Données projet'!$E$10+1,1))</f>
        <v>158.58786357608489</v>
      </c>
      <c r="AO74" s="59">
        <f t="shared" si="90"/>
        <v>163.20074068819849</v>
      </c>
      <c r="AP74" s="15">
        <f>IF(ISNA(VLOOKUP(A74,'Données projet'!$A$61:$I$81,3,0)),0,VLOOKUP(A74,'Données projet'!$A$61:$I$81,3,0))</f>
        <v>5</v>
      </c>
      <c r="AQ74" s="15">
        <f>IF(ISNA(VLOOKUP(A74,'Données projet'!$A$61:$I$81,4,0)),0,VLOOKUP(A74,'Données projet'!$A$61:$I$81,4,0))</f>
        <v>80.399999999999991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1.1368683772161603E-13</v>
      </c>
      <c r="O75" s="13">
        <f>N75*VLOOKUP('Données projet'!$B$9,Paramètres!$A$1:$I$89,3,0)*VLOOKUP('Données projet'!$B$9,Paramètres!$A$1:$I$89,5,0)</f>
        <v>6.3550942286383367E-14</v>
      </c>
      <c r="P75" s="13">
        <f t="shared" si="87"/>
        <v>1.0064464192543978E-12</v>
      </c>
      <c r="Q75" s="20">
        <f t="shared" si="54"/>
        <v>1.8635787380168604E-12</v>
      </c>
      <c r="R75" s="59">
        <f t="shared" si="55"/>
        <v>293.33333333333519</v>
      </c>
      <c r="S75" s="59">
        <f ca="1">AVERAGE(OFFSET($R$3,0,0,'Données projet'!$E$9+1,1))-AVERAGE(OFFSET($H$3,0,0,'Données projet'!$E$9+1,1))</f>
        <v>224.7049802939942</v>
      </c>
      <c r="T75" s="59">
        <f t="shared" si="88"/>
        <v>203.48513862195352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0.97116901979899006</v>
      </c>
      <c r="AA75" s="21">
        <f>EXP(-LN(2)/25)*AA74+(1-EXP(-LN(2)/25))/(LN(2)/25)*Calculateur!V75*Calculateur!X75*VLOOKUP('Données projet'!$B$9,Paramètres!$A$1:$I$89,3,0)*0.475*44/12</f>
        <v>6.0932660444270104</v>
      </c>
      <c r="AB75" s="21">
        <f>EXP(-LN(2)/2)*AB74+(1-EXP(-LN(2)/2))/(LN(2)/2)*V75*Y75*VLOOKUP('Données projet'!$B$9,Paramètres!$A$1:$I$89,3,0)*0.475*44/12</f>
        <v>4.2727530436935447E-6</v>
      </c>
      <c r="AC75" s="22">
        <f t="shared" si="57"/>
        <v>7.0644393369790439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12.913461538461533</v>
      </c>
      <c r="AI75" s="13">
        <f>IF('Données projet'!$A$62&gt;35,AI74+AH75-AQ74,IF(A75&lt;'Données projet'!$A$62,$AF$205^A75,IF(A75='Données projet'!$A$62,'Données projet'!$B$62,AI74+AH75-AQ74)))</f>
        <v>346.46730769230777</v>
      </c>
      <c r="AJ75" s="13">
        <f>AI75*VLOOKUP('Données projet'!$B$10,Paramètres!$A$1:$I$89,3,0)*VLOOKUP('Données projet'!$B$10,Paramètres!$A$1:$I$89,5,0)</f>
        <v>162.14670000000004</v>
      </c>
      <c r="AK75" s="13">
        <f t="shared" si="89"/>
        <v>41.326333369414826</v>
      </c>
      <c r="AL75" s="20">
        <f t="shared" si="58"/>
        <v>354.38219978506419</v>
      </c>
      <c r="AM75" s="59">
        <f t="shared" si="59"/>
        <v>647.7155331183975</v>
      </c>
      <c r="AN75" s="59">
        <f ca="1">AVERAGE(OFFSET($AM$3,0,0,'Données projet'!$E$10+1,1))-AVERAGE(OFFSET($H$3,0,0,'Données projet'!$E$10+1,1))</f>
        <v>158.58786357608489</v>
      </c>
      <c r="AO75" s="59">
        <f t="shared" si="90"/>
        <v>163.20074068819849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1.1368683772161603E-13</v>
      </c>
      <c r="O76" s="13">
        <f>N76*VLOOKUP('Données projet'!$B$9,Paramètres!$A$1:$I$89,3,0)*VLOOKUP('Données projet'!$B$9,Paramètres!$A$1:$I$89,5,0)</f>
        <v>6.3550942286383367E-14</v>
      </c>
      <c r="P76" s="13">
        <f t="shared" si="87"/>
        <v>1.0064464192543978E-12</v>
      </c>
      <c r="Q76" s="20">
        <f t="shared" si="54"/>
        <v>1.8635787380168604E-12</v>
      </c>
      <c r="R76" s="59">
        <f t="shared" si="55"/>
        <v>293.33333333333519</v>
      </c>
      <c r="S76" s="59">
        <f ca="1">AVERAGE(OFFSET($R$3,0,0,'Données projet'!$E$9+1,1))-AVERAGE(OFFSET($H$3,0,0,'Données projet'!$E$9+1,1))</f>
        <v>224.7049802939942</v>
      </c>
      <c r="T76" s="59">
        <f t="shared" si="88"/>
        <v>203.48513862195352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0.95212498767534381</v>
      </c>
      <c r="AA76" s="21">
        <f>EXP(-LN(2)/25)*AA75+(1-EXP(-LN(2)/25))/(LN(2)/25)*Calculateur!V76*Calculateur!X76*VLOOKUP('Données projet'!$B$9,Paramètres!$A$1:$I$89,3,0)*0.475*44/12</f>
        <v>5.9266453640112191</v>
      </c>
      <c r="AB76" s="21">
        <f>EXP(-LN(2)/2)*AB75+(1-EXP(-LN(2)/2))/(LN(2)/2)*V76*Y76*VLOOKUP('Données projet'!$B$9,Paramètres!$A$1:$I$89,3,0)*0.475*44/12</f>
        <v>3.0212926515311662E-6</v>
      </c>
      <c r="AC76" s="22">
        <f t="shared" si="57"/>
        <v>6.8787733729792144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12.913461538461533</v>
      </c>
      <c r="AI76" s="13">
        <f>IF('Données projet'!$A$62&gt;35,AI75+AH76-AQ75,IF(A76&lt;'Données projet'!$A$62,$AF$205^A76,IF(A76='Données projet'!$A$62,'Données projet'!$B$62,AI75+AH76-AQ75)))</f>
        <v>359.38076923076932</v>
      </c>
      <c r="AJ76" s="13">
        <f>AI76*VLOOKUP('Données projet'!$B$10,Paramètres!$A$1:$I$89,3,0)*VLOOKUP('Données projet'!$B$10,Paramètres!$A$1:$I$89,5,0)</f>
        <v>168.19020000000003</v>
      </c>
      <c r="AK76" s="13">
        <f t="shared" si="89"/>
        <v>42.684436447240749</v>
      </c>
      <c r="AL76" s="20">
        <f t="shared" si="58"/>
        <v>367.27332514561107</v>
      </c>
      <c r="AM76" s="59">
        <f t="shared" si="59"/>
        <v>660.60665847894438</v>
      </c>
      <c r="AN76" s="59">
        <f ca="1">AVERAGE(OFFSET($AM$3,0,0,'Données projet'!$E$10+1,1))-AVERAGE(OFFSET($H$3,0,0,'Données projet'!$E$10+1,1))</f>
        <v>158.58786357608489</v>
      </c>
      <c r="AO76" s="59">
        <f t="shared" si="90"/>
        <v>163.20074068819849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1.1368683772161603E-13</v>
      </c>
      <c r="O77" s="13">
        <f>N77*VLOOKUP('Données projet'!$B$9,Paramètres!$A$1:$I$89,3,0)*VLOOKUP('Données projet'!$B$9,Paramètres!$A$1:$I$89,5,0)</f>
        <v>6.3550942286383367E-14</v>
      </c>
      <c r="P77" s="13">
        <f t="shared" si="87"/>
        <v>1.0064464192543978E-12</v>
      </c>
      <c r="Q77" s="20">
        <f t="shared" si="54"/>
        <v>1.8635787380168604E-12</v>
      </c>
      <c r="R77" s="59">
        <f t="shared" si="55"/>
        <v>293.33333333333519</v>
      </c>
      <c r="S77" s="59">
        <f ca="1">AVERAGE(OFFSET($R$3,0,0,'Données projet'!$E$9+1,1))-AVERAGE(OFFSET($H$3,0,0,'Données projet'!$E$9+1,1))</f>
        <v>224.7049802939942</v>
      </c>
      <c r="T77" s="59">
        <f t="shared" si="88"/>
        <v>203.48513862195352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0.93345439740592961</v>
      </c>
      <c r="AA77" s="21">
        <f>EXP(-LN(2)/25)*AA76+(1-EXP(-LN(2)/25))/(LN(2)/25)*Calculateur!V77*Calculateur!X77*VLOOKUP('Données projet'!$B$9,Paramètres!$A$1:$I$89,3,0)*0.475*44/12</f>
        <v>5.7645809348635986</v>
      </c>
      <c r="AB77" s="21">
        <f>EXP(-LN(2)/2)*AB76+(1-EXP(-LN(2)/2))/(LN(2)/2)*V77*Y77*VLOOKUP('Données projet'!$B$9,Paramètres!$A$1:$I$89,3,0)*0.475*44/12</f>
        <v>2.1363765218467723E-6</v>
      </c>
      <c r="AC77" s="22">
        <f t="shared" si="57"/>
        <v>6.6980374686460502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12.913461538461533</v>
      </c>
      <c r="AI77" s="13">
        <f>IF('Données projet'!$A$62&gt;35,AI76+AH77-AQ76,IF(A77&lt;'Données projet'!$A$62,$AF$205^A77,IF(A77='Données projet'!$A$62,'Données projet'!$B$62,AI76+AH77-AQ76)))</f>
        <v>372.29423076923086</v>
      </c>
      <c r="AJ77" s="13">
        <f>AI77*VLOOKUP('Données projet'!$B$10,Paramètres!$A$1:$I$89,3,0)*VLOOKUP('Données projet'!$B$10,Paramètres!$A$1:$I$89,5,0)</f>
        <v>174.23370000000006</v>
      </c>
      <c r="AK77" s="13">
        <f t="shared" si="89"/>
        <v>44.036869769028705</v>
      </c>
      <c r="AL77" s="20">
        <f t="shared" si="58"/>
        <v>380.15457568105836</v>
      </c>
      <c r="AM77" s="59">
        <f t="shared" si="59"/>
        <v>673.48790901439168</v>
      </c>
      <c r="AN77" s="59">
        <f ca="1">AVERAGE(OFFSET($AM$3,0,0,'Données projet'!$E$10+1,1))-AVERAGE(OFFSET($H$3,0,0,'Données projet'!$E$10+1,1))</f>
        <v>158.58786357608489</v>
      </c>
      <c r="AO77" s="59">
        <f t="shared" si="90"/>
        <v>163.20074068819849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1.1368683772161603E-13</v>
      </c>
      <c r="O78" s="13">
        <f>N78*VLOOKUP('Données projet'!$B$9,Paramètres!$A$1:$I$89,3,0)*VLOOKUP('Données projet'!$B$9,Paramètres!$A$1:$I$89,5,0)</f>
        <v>6.3550942286383367E-14</v>
      </c>
      <c r="P78" s="13">
        <f t="shared" si="87"/>
        <v>1.0064464192543978E-12</v>
      </c>
      <c r="Q78" s="20">
        <f t="shared" si="54"/>
        <v>1.8635787380168604E-12</v>
      </c>
      <c r="R78" s="59">
        <f t="shared" si="55"/>
        <v>293.33333333333519</v>
      </c>
      <c r="S78" s="59">
        <f ca="1">AVERAGE(OFFSET($R$3,0,0,'Données projet'!$E$9+1,1))-AVERAGE(OFFSET($H$3,0,0,'Données projet'!$E$9+1,1))</f>
        <v>224.7049802939942</v>
      </c>
      <c r="T78" s="59">
        <f t="shared" si="88"/>
        <v>203.48513862195352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0.91514992602376299</v>
      </c>
      <c r="AA78" s="21">
        <f>EXP(-LN(2)/25)*AA77+(1-EXP(-LN(2)/25))/(LN(2)/25)*Calculateur!V78*Calculateur!X78*VLOOKUP('Données projet'!$B$9,Paramètres!$A$1:$I$89,3,0)*0.475*44/12</f>
        <v>5.6069481660536171</v>
      </c>
      <c r="AB78" s="21">
        <f>EXP(-LN(2)/2)*AB77+(1-EXP(-LN(2)/2))/(LN(2)/2)*V78*Y78*VLOOKUP('Données projet'!$B$9,Paramètres!$A$1:$I$89,3,0)*0.475*44/12</f>
        <v>1.5106463257655831E-6</v>
      </c>
      <c r="AC78" s="22">
        <f t="shared" si="57"/>
        <v>6.5220996027237055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12.913461538461533</v>
      </c>
      <c r="AI78" s="13">
        <f>IF('Données projet'!$A$62&gt;35,AI77+AH78-AQ77,IF(A78&lt;'Données projet'!$A$62,$AF$205^A78,IF(A78='Données projet'!$A$62,'Données projet'!$B$62,AI77+AH78-AQ77)))</f>
        <v>385.20769230769241</v>
      </c>
      <c r="AJ78" s="13">
        <f>AI78*VLOOKUP('Données projet'!$B$10,Paramètres!$A$1:$I$89,3,0)*VLOOKUP('Données projet'!$B$10,Paramètres!$A$1:$I$89,5,0)</f>
        <v>180.27720000000005</v>
      </c>
      <c r="AK78" s="13">
        <f t="shared" si="89"/>
        <v>45.383852535093837</v>
      </c>
      <c r="AL78" s="20">
        <f t="shared" si="58"/>
        <v>393.02633316528846</v>
      </c>
      <c r="AM78" s="59">
        <f t="shared" si="59"/>
        <v>686.35966649862178</v>
      </c>
      <c r="AN78" s="59">
        <f ca="1">AVERAGE(OFFSET($AM$3,0,0,'Données projet'!$E$10+1,1))-AVERAGE(OFFSET($H$3,0,0,'Données projet'!$E$10+1,1))</f>
        <v>158.58786357608489</v>
      </c>
      <c r="AO78" s="59">
        <f t="shared" si="90"/>
        <v>163.20074068819849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1.1368683772161603E-13</v>
      </c>
      <c r="O79" s="13">
        <f>N79*VLOOKUP('Données projet'!$B$9,Paramètres!$A$1:$I$89,3,0)*VLOOKUP('Données projet'!$B$9,Paramètres!$A$1:$I$89,5,0)</f>
        <v>6.3550942286383367E-14</v>
      </c>
      <c r="P79" s="13">
        <f t="shared" si="87"/>
        <v>1.0064464192543978E-12</v>
      </c>
      <c r="Q79" s="20">
        <f t="shared" si="54"/>
        <v>1.8635787380168604E-12</v>
      </c>
      <c r="R79" s="59">
        <f t="shared" si="55"/>
        <v>293.33333333333519</v>
      </c>
      <c r="S79" s="59">
        <f ca="1">AVERAGE(OFFSET($R$3,0,0,'Données projet'!$E$9+1,1))-AVERAGE(OFFSET($H$3,0,0,'Données projet'!$E$9+1,1))</f>
        <v>224.7049802939942</v>
      </c>
      <c r="T79" s="59">
        <f t="shared" si="88"/>
        <v>203.48513862195352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0.89720439416077558</v>
      </c>
      <c r="AA79" s="21">
        <f>EXP(-LN(2)/25)*AA78+(1-EXP(-LN(2)/25))/(LN(2)/25)*Calculateur!V79*Calculateur!X79*VLOOKUP('Données projet'!$B$9,Paramètres!$A$1:$I$89,3,0)*0.475*44/12</f>
        <v>5.4536258735962919</v>
      </c>
      <c r="AB79" s="21">
        <f>EXP(-LN(2)/2)*AB78+(1-EXP(-LN(2)/2))/(LN(2)/2)*V79*Y79*VLOOKUP('Données projet'!$B$9,Paramètres!$A$1:$I$89,3,0)*0.475*44/12</f>
        <v>1.0681882609233862E-6</v>
      </c>
      <c r="AC79" s="22">
        <f t="shared" si="57"/>
        <v>6.3508313359453279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12.913461538461533</v>
      </c>
      <c r="AI79" s="13">
        <f>IF('Données projet'!$A$62&gt;35,AI78+AH79-AQ78,IF(A79&lt;'Données projet'!$A$62,$AF$205^A79,IF(A79='Données projet'!$A$62,'Données projet'!$B$62,AI78+AH79-AQ78)))</f>
        <v>398.12115384615396</v>
      </c>
      <c r="AJ79" s="13">
        <f>AI79*VLOOKUP('Données projet'!$B$10,Paramètres!$A$1:$I$89,3,0)*VLOOKUP('Données projet'!$B$10,Paramètres!$A$1:$I$89,5,0)</f>
        <v>186.32070000000004</v>
      </c>
      <c r="AK79" s="13">
        <f t="shared" si="89"/>
        <v>46.725588415193215</v>
      </c>
      <c r="AL79" s="20">
        <f t="shared" si="58"/>
        <v>405.88895232312825</v>
      </c>
      <c r="AM79" s="59">
        <f t="shared" si="59"/>
        <v>699.22228565646151</v>
      </c>
      <c r="AN79" s="59">
        <f ca="1">AVERAGE(OFFSET($AM$3,0,0,'Données projet'!$E$10+1,1))-AVERAGE(OFFSET($H$3,0,0,'Données projet'!$E$10+1,1))</f>
        <v>158.58786357608489</v>
      </c>
      <c r="AO79" s="59">
        <f t="shared" si="90"/>
        <v>163.20074068819849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1.1368683772161603E-13</v>
      </c>
      <c r="O80" s="13">
        <f>N80*VLOOKUP('Données projet'!$B$9,Paramètres!$A$1:$I$89,3,0)*VLOOKUP('Données projet'!$B$9,Paramètres!$A$1:$I$89,5,0)</f>
        <v>6.3550942286383367E-14</v>
      </c>
      <c r="P80" s="13">
        <f t="shared" si="87"/>
        <v>1.0064464192543978E-12</v>
      </c>
      <c r="Q80" s="20">
        <f t="shared" si="54"/>
        <v>1.8635787380168604E-12</v>
      </c>
      <c r="R80" s="59">
        <f t="shared" si="55"/>
        <v>293.33333333333519</v>
      </c>
      <c r="S80" s="59">
        <f ca="1">AVERAGE(OFFSET($R$3,0,0,'Données projet'!$E$9+1,1))-AVERAGE(OFFSET($H$3,0,0,'Données projet'!$E$9+1,1))</f>
        <v>224.7049802939942</v>
      </c>
      <c r="T80" s="59">
        <f t="shared" si="88"/>
        <v>203.48513862195352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0.87961076323192766</v>
      </c>
      <c r="AA80" s="21">
        <f>EXP(-LN(2)/25)*AA79+(1-EXP(-LN(2)/25))/(LN(2)/25)*Calculateur!V80*Calculateur!X80*VLOOKUP('Données projet'!$B$9,Paramètres!$A$1:$I$89,3,0)*0.475*44/12</f>
        <v>5.3044961872890815</v>
      </c>
      <c r="AB80" s="21">
        <f>EXP(-LN(2)/2)*AB79+(1-EXP(-LN(2)/2))/(LN(2)/2)*V80*Y80*VLOOKUP('Données projet'!$B$9,Paramètres!$A$1:$I$89,3,0)*0.475*44/12</f>
        <v>7.5532316288279155E-7</v>
      </c>
      <c r="AC80" s="22">
        <f t="shared" si="57"/>
        <v>6.1841077058441725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12.913461538461533</v>
      </c>
      <c r="AI80" s="13">
        <f>IF('Données projet'!$A$62&gt;35,AI79+AH80-AQ79,IF(A80&lt;'Données projet'!$A$62,$AF$205^A80,IF(A80='Données projet'!$A$62,'Données projet'!$B$62,AI79+AH80-AQ79)))</f>
        <v>411.03461538461551</v>
      </c>
      <c r="AJ80" s="13">
        <f>AI80*VLOOKUP('Données projet'!$B$10,Paramètres!$A$1:$I$89,3,0)*VLOOKUP('Données projet'!$B$10,Paramètres!$A$1:$I$89,5,0)</f>
        <v>192.36420000000004</v>
      </c>
      <c r="AK80" s="13">
        <f t="shared" si="89"/>
        <v>48.062267116572606</v>
      </c>
      <c r="AL80" s="20">
        <f t="shared" si="58"/>
        <v>418.74276356136397</v>
      </c>
      <c r="AM80" s="59">
        <f t="shared" si="59"/>
        <v>712.07609689469723</v>
      </c>
      <c r="AN80" s="59">
        <f ca="1">AVERAGE(OFFSET($AM$3,0,0,'Données projet'!$E$10+1,1))-AVERAGE(OFFSET($H$3,0,0,'Données projet'!$E$10+1,1))</f>
        <v>158.58786357608489</v>
      </c>
      <c r="AO80" s="59">
        <f t="shared" si="90"/>
        <v>163.20074068819849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1.1368683772161603E-13</v>
      </c>
      <c r="O81" s="13">
        <f>N81*VLOOKUP('Données projet'!$B$9,Paramètres!$A$1:$I$89,3,0)*VLOOKUP('Données projet'!$B$9,Paramètres!$A$1:$I$89,5,0)</f>
        <v>6.3550942286383367E-14</v>
      </c>
      <c r="P81" s="13">
        <f t="shared" si="87"/>
        <v>1.0064464192543978E-12</v>
      </c>
      <c r="Q81" s="20">
        <f t="shared" si="54"/>
        <v>1.8635787380168604E-12</v>
      </c>
      <c r="R81" s="59">
        <f t="shared" si="55"/>
        <v>293.33333333333519</v>
      </c>
      <c r="S81" s="59">
        <f ca="1">AVERAGE(OFFSET($R$3,0,0,'Données projet'!$E$9+1,1))-AVERAGE(OFFSET($H$3,0,0,'Données projet'!$E$9+1,1))</f>
        <v>224.7049802939942</v>
      </c>
      <c r="T81" s="59">
        <f t="shared" si="88"/>
        <v>203.48513862195352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0.86236213267453921</v>
      </c>
      <c r="AA81" s="21">
        <f>EXP(-LN(2)/25)*AA80+(1-EXP(-LN(2)/25))/(LN(2)/25)*Calculateur!V81*Calculateur!X81*VLOOKUP('Données projet'!$B$9,Paramètres!$A$1:$I$89,3,0)*0.475*44/12</f>
        <v>5.1594444600963305</v>
      </c>
      <c r="AB81" s="21">
        <f>EXP(-LN(2)/2)*AB80+(1-EXP(-LN(2)/2))/(LN(2)/2)*V81*Y81*VLOOKUP('Données projet'!$B$9,Paramètres!$A$1:$I$89,3,0)*0.475*44/12</f>
        <v>5.3409413046169308E-7</v>
      </c>
      <c r="AC81" s="22">
        <f t="shared" si="57"/>
        <v>6.0218071268650002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12.913461538461533</v>
      </c>
      <c r="AI81" s="13">
        <f>IF('Données projet'!$A$62&gt;35,AI80+AH81-AQ80,IF(A81&lt;'Données projet'!$A$62,$AF$205^A81,IF(A81='Données projet'!$A$62,'Données projet'!$B$62,AI80+AH81-AQ80)))</f>
        <v>423.94807692307705</v>
      </c>
      <c r="AJ81" s="13">
        <f>AI81*VLOOKUP('Données projet'!$B$10,Paramètres!$A$1:$I$89,3,0)*VLOOKUP('Données projet'!$B$10,Paramètres!$A$1:$I$89,5,0)</f>
        <v>198.40770000000006</v>
      </c>
      <c r="AK81" s="13">
        <f t="shared" si="89"/>
        <v>49.394065749424826</v>
      </c>
      <c r="AL81" s="20">
        <f t="shared" si="58"/>
        <v>431.58807534691499</v>
      </c>
      <c r="AM81" s="59">
        <f t="shared" si="59"/>
        <v>724.92140868024831</v>
      </c>
      <c r="AN81" s="59">
        <f ca="1">AVERAGE(OFFSET($AM$3,0,0,'Données projet'!$E$10+1,1))-AVERAGE(OFFSET($H$3,0,0,'Données projet'!$E$10+1,1))</f>
        <v>158.58786357608489</v>
      </c>
      <c r="AO81" s="59">
        <f t="shared" si="90"/>
        <v>163.20074068819849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1.1368683772161603E-13</v>
      </c>
      <c r="O82" s="13">
        <f>N82*VLOOKUP('Données projet'!$B$9,Paramètres!$A$1:$I$89,3,0)*VLOOKUP('Données projet'!$B$9,Paramètres!$A$1:$I$89,5,0)</f>
        <v>6.3550942286383367E-14</v>
      </c>
      <c r="P82" s="13">
        <f t="shared" si="87"/>
        <v>1.0064464192543978E-12</v>
      </c>
      <c r="Q82" s="20">
        <f t="shared" si="54"/>
        <v>1.8635787380168604E-12</v>
      </c>
      <c r="R82" s="59">
        <f t="shared" si="55"/>
        <v>293.33333333333519</v>
      </c>
      <c r="S82" s="59">
        <f ca="1">AVERAGE(OFFSET($R$3,0,0,'Données projet'!$E$9+1,1))-AVERAGE(OFFSET($H$3,0,0,'Données projet'!$E$9+1,1))</f>
        <v>224.7049802939942</v>
      </c>
      <c r="T82" s="59">
        <f t="shared" si="88"/>
        <v>203.48513862195352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0.84545173724175537</v>
      </c>
      <c r="AA82" s="21">
        <f>EXP(-LN(2)/25)*AA81+(1-EXP(-LN(2)/25))/(LN(2)/25)*Calculateur!V82*Calculateur!X82*VLOOKUP('Données projet'!$B$9,Paramètres!$A$1:$I$89,3,0)*0.475*44/12</f>
        <v>5.0183591800116041</v>
      </c>
      <c r="AB82" s="21">
        <f>EXP(-LN(2)/2)*AB81+(1-EXP(-LN(2)/2))/(LN(2)/2)*V82*Y82*VLOOKUP('Données projet'!$B$9,Paramètres!$A$1:$I$89,3,0)*0.475*44/12</f>
        <v>3.7766158144139578E-7</v>
      </c>
      <c r="AC82" s="22">
        <f t="shared" si="57"/>
        <v>5.8638112949149406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>
        <f>VLOOKUP(A82,'Données projet'!$A$61:$I$81,2,0)</f>
        <v>436.86153846153843</v>
      </c>
      <c r="AG82" s="12">
        <f>VLOOKUP(A82,'Données projet'!$A$61:$I$81,9,0)</f>
        <v>12.913461538461533</v>
      </c>
      <c r="AH82" s="12">
        <f t="array" ref="AH82">INDEX(AG:AG,MIN(IF(ISNUMBER(AG82:AG278),ROW(AG82:AG278),"")))</f>
        <v>12.913461538461533</v>
      </c>
      <c r="AI82" s="13">
        <f>IF('Données projet'!$A$62&gt;35,AI81+AH82-AQ81,IF(A82&lt;'Données projet'!$A$62,$AF$205^A82,IF(A82='Données projet'!$A$62,'Données projet'!$B$62,AI81+AH82-AQ81)))</f>
        <v>436.8615384615386</v>
      </c>
      <c r="AJ82" s="13">
        <f>AI82*VLOOKUP('Données projet'!$B$10,Paramètres!$A$1:$I$89,3,0)*VLOOKUP('Données projet'!$B$10,Paramètres!$A$1:$I$89,5,0)</f>
        <v>204.45120000000009</v>
      </c>
      <c r="AK82" s="13">
        <f t="shared" si="89"/>
        <v>50.721150021305952</v>
      </c>
      <c r="AL82" s="20">
        <f t="shared" si="58"/>
        <v>444.42517628710794</v>
      </c>
      <c r="AM82" s="59">
        <f t="shared" si="59"/>
        <v>737.75850962044126</v>
      </c>
      <c r="AN82" s="59">
        <f ca="1">AVERAGE(OFFSET($AM$3,0,0,'Données projet'!$E$10+1,1))-AVERAGE(OFFSET($H$3,0,0,'Données projet'!$E$10+1,1))</f>
        <v>158.58786357608489</v>
      </c>
      <c r="AO82" s="59">
        <f t="shared" si="90"/>
        <v>163.20074068819849</v>
      </c>
      <c r="AP82" s="15">
        <f>IF(ISNA(VLOOKUP(A82,'Données projet'!$A$61:$I$81,3,0)),0,VLOOKUP(A82,'Données projet'!$A$61:$I$81,3,0))</f>
        <v>6</v>
      </c>
      <c r="AQ82" s="15">
        <f>IF(ISNA(VLOOKUP(A82,'Données projet'!$A$61:$I$81,4,0)),0,VLOOKUP(A82,'Données projet'!$A$61:$I$81,4,0))</f>
        <v>77.338461538461544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1.1368683772161603E-13</v>
      </c>
      <c r="O83" s="13">
        <f>N83*VLOOKUP('Données projet'!$B$9,Paramètres!$A$1:$I$89,3,0)*VLOOKUP('Données projet'!$B$9,Paramètres!$A$1:$I$89,5,0)</f>
        <v>6.3550942286383367E-14</v>
      </c>
      <c r="P83" s="13">
        <f t="shared" si="87"/>
        <v>1.0064464192543978E-12</v>
      </c>
      <c r="Q83" s="20">
        <f t="shared" si="54"/>
        <v>1.8635787380168604E-12</v>
      </c>
      <c r="R83" s="59">
        <f t="shared" si="55"/>
        <v>293.33333333333519</v>
      </c>
      <c r="S83" s="59">
        <f ca="1">AVERAGE(OFFSET($R$3,0,0,'Données projet'!$E$9+1,1))-AVERAGE(OFFSET($H$3,0,0,'Données projet'!$E$9+1,1))</f>
        <v>224.7049802939942</v>
      </c>
      <c r="T83" s="59">
        <f t="shared" si="88"/>
        <v>203.48513862195352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0.82887294434908565</v>
      </c>
      <c r="AA83" s="21">
        <f>EXP(-LN(2)/25)*AA82+(1-EXP(-LN(2)/25))/(LN(2)/25)*Calculateur!V83*Calculateur!X83*VLOOKUP('Données projet'!$B$9,Paramètres!$A$1:$I$89,3,0)*0.475*44/12</f>
        <v>4.8811318843301468</v>
      </c>
      <c r="AB83" s="21">
        <f>EXP(-LN(2)/2)*AB82+(1-EXP(-LN(2)/2))/(LN(2)/2)*V83*Y83*VLOOKUP('Données projet'!$B$9,Paramètres!$A$1:$I$89,3,0)*0.475*44/12</f>
        <v>2.6704706523084654E-7</v>
      </c>
      <c r="AC83" s="22">
        <f t="shared" si="57"/>
        <v>5.7100050957262978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12.124038461538468</v>
      </c>
      <c r="AI83" s="13">
        <f>IF('Données projet'!$A$62&gt;35,AI82+AH83-AQ82,IF(A83&lt;'Données projet'!$A$62,$AF$205^A83,IF(A83='Données projet'!$A$62,'Données projet'!$B$62,AI82+AH83-AQ82)))</f>
        <v>371.64711538461552</v>
      </c>
      <c r="AJ83" s="13">
        <f>AI83*VLOOKUP('Données projet'!$B$10,Paramètres!$A$1:$I$89,3,0)*VLOOKUP('Données projet'!$B$10,Paramètres!$A$1:$I$89,5,0)</f>
        <v>173.93085000000008</v>
      </c>
      <c r="AK83" s="13">
        <f t="shared" si="89"/>
        <v>43.969228534222836</v>
      </c>
      <c r="AL83" s="20">
        <f t="shared" si="58"/>
        <v>379.50930344710491</v>
      </c>
      <c r="AM83" s="59">
        <f t="shared" si="59"/>
        <v>672.84263678043817</v>
      </c>
      <c r="AN83" s="59">
        <f ca="1">AVERAGE(OFFSET($AM$3,0,0,'Données projet'!$E$10+1,1))-AVERAGE(OFFSET($H$3,0,0,'Données projet'!$E$10+1,1))</f>
        <v>158.58786357608489</v>
      </c>
      <c r="AO83" s="59">
        <f t="shared" si="90"/>
        <v>163.20074068819849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1.1368683772161603E-13</v>
      </c>
      <c r="O84" s="13">
        <f>N84*VLOOKUP('Données projet'!$B$9,Paramètres!$A$1:$I$89,3,0)*VLOOKUP('Données projet'!$B$9,Paramètres!$A$1:$I$89,5,0)</f>
        <v>6.3550942286383367E-14</v>
      </c>
      <c r="P84" s="13">
        <f t="shared" si="87"/>
        <v>1.0064464192543978E-12</v>
      </c>
      <c r="Q84" s="20">
        <f t="shared" si="54"/>
        <v>1.8635787380168604E-12</v>
      </c>
      <c r="R84" s="59">
        <f t="shared" si="55"/>
        <v>293.33333333333519</v>
      </c>
      <c r="S84" s="59">
        <f ca="1">AVERAGE(OFFSET($R$3,0,0,'Données projet'!$E$9+1,1))-AVERAGE(OFFSET($H$3,0,0,'Données projet'!$E$9+1,1))</f>
        <v>224.7049802939942</v>
      </c>
      <c r="T84" s="59">
        <f t="shared" si="88"/>
        <v>203.48513862195352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0.81261925147297598</v>
      </c>
      <c r="AA84" s="21">
        <f>EXP(-LN(2)/25)*AA83+(1-EXP(-LN(2)/25))/(LN(2)/25)*Calculateur!V84*Calculateur!X84*VLOOKUP('Données projet'!$B$9,Paramètres!$A$1:$I$89,3,0)*0.475*44/12</f>
        <v>4.7476570762655692</v>
      </c>
      <c r="AB84" s="21">
        <f>EXP(-LN(2)/2)*AB83+(1-EXP(-LN(2)/2))/(LN(2)/2)*V84*Y84*VLOOKUP('Données projet'!$B$9,Paramètres!$A$1:$I$89,3,0)*0.475*44/12</f>
        <v>1.8883079072069789E-7</v>
      </c>
      <c r="AC84" s="22">
        <f t="shared" si="57"/>
        <v>5.5602765165693366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12.124038461538468</v>
      </c>
      <c r="AI84" s="13">
        <f>IF('Données projet'!$A$62&gt;35,AI83+AH84-AQ83,IF(A84&lt;'Données projet'!$A$62,$AF$205^A84,IF(A84='Données projet'!$A$62,'Données projet'!$B$62,AI83+AH84-AQ83)))</f>
        <v>383.77115384615399</v>
      </c>
      <c r="AJ84" s="13">
        <f>AI84*VLOOKUP('Données projet'!$B$10,Paramètres!$A$1:$I$89,3,0)*VLOOKUP('Données projet'!$B$10,Paramètres!$A$1:$I$89,5,0)</f>
        <v>179.60490000000007</v>
      </c>
      <c r="AK84" s="13">
        <f t="shared" si="89"/>
        <v>45.234272457213635</v>
      </c>
      <c r="AL84" s="20">
        <f t="shared" si="58"/>
        <v>391.59489202964716</v>
      </c>
      <c r="AM84" s="59">
        <f t="shared" si="59"/>
        <v>684.92822536298047</v>
      </c>
      <c r="AN84" s="59">
        <f ca="1">AVERAGE(OFFSET($AM$3,0,0,'Données projet'!$E$10+1,1))-AVERAGE(OFFSET($H$3,0,0,'Données projet'!$E$10+1,1))</f>
        <v>158.58786357608489</v>
      </c>
      <c r="AO84" s="59">
        <f t="shared" si="90"/>
        <v>163.20074068819849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1.1368683772161603E-13</v>
      </c>
      <c r="O85" s="13">
        <f>N85*VLOOKUP('Données projet'!$B$9,Paramètres!$A$1:$I$89,3,0)*VLOOKUP('Données projet'!$B$9,Paramètres!$A$1:$I$89,5,0)</f>
        <v>6.3550942286383367E-14</v>
      </c>
      <c r="P85" s="13">
        <f t="shared" si="87"/>
        <v>1.0064464192543978E-12</v>
      </c>
      <c r="Q85" s="20">
        <f t="shared" si="54"/>
        <v>1.8635787380168604E-12</v>
      </c>
      <c r="R85" s="59">
        <f t="shared" si="55"/>
        <v>293.33333333333519</v>
      </c>
      <c r="S85" s="59">
        <f ca="1">AVERAGE(OFFSET($R$3,0,0,'Données projet'!$E$9+1,1))-AVERAGE(OFFSET($H$3,0,0,'Données projet'!$E$9+1,1))</f>
        <v>224.7049802939942</v>
      </c>
      <c r="T85" s="59">
        <f t="shared" si="88"/>
        <v>203.48513862195352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0.79668428360039312</v>
      </c>
      <c r="AA85" s="21">
        <f>EXP(-LN(2)/25)*AA84+(1-EXP(-LN(2)/25))/(LN(2)/25)*Calculateur!V85*Calculateur!X85*VLOOKUP('Données projet'!$B$9,Paramètres!$A$1:$I$89,3,0)*0.475*44/12</f>
        <v>4.6178321438466527</v>
      </c>
      <c r="AB85" s="21">
        <f>EXP(-LN(2)/2)*AB84+(1-EXP(-LN(2)/2))/(LN(2)/2)*V85*Y85*VLOOKUP('Données projet'!$B$9,Paramètres!$A$1:$I$89,3,0)*0.475*44/12</f>
        <v>1.3352353261542327E-7</v>
      </c>
      <c r="AC85" s="22">
        <f t="shared" si="57"/>
        <v>5.4145165609705783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12.124038461538468</v>
      </c>
      <c r="AI85" s="13">
        <f>IF('Données projet'!$A$62&gt;35,AI84+AH85-AQ84,IF(A85&lt;'Données projet'!$A$62,$AF$205^A85,IF(A85='Données projet'!$A$62,'Données projet'!$B$62,AI84+AH85-AQ84)))</f>
        <v>395.89519230769247</v>
      </c>
      <c r="AJ85" s="13">
        <f>AI85*VLOOKUP('Données projet'!$B$10,Paramètres!$A$1:$I$89,3,0)*VLOOKUP('Données projet'!$B$10,Paramètres!$A$1:$I$89,5,0)</f>
        <v>185.27895000000009</v>
      </c>
      <c r="AK85" s="13">
        <f t="shared" si="89"/>
        <v>46.494672172616063</v>
      </c>
      <c r="AL85" s="20">
        <f t="shared" si="58"/>
        <v>403.67239195063979</v>
      </c>
      <c r="AM85" s="59">
        <f t="shared" si="59"/>
        <v>697.00572528397311</v>
      </c>
      <c r="AN85" s="59">
        <f ca="1">AVERAGE(OFFSET($AM$3,0,0,'Données projet'!$E$10+1,1))-AVERAGE(OFFSET($H$3,0,0,'Données projet'!$E$10+1,1))</f>
        <v>158.58786357608489</v>
      </c>
      <c r="AO85" s="59">
        <f t="shared" si="90"/>
        <v>163.20074068819849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1.1368683772161603E-13</v>
      </c>
      <c r="O86" s="13">
        <f>N86*VLOOKUP('Données projet'!$B$9,Paramètres!$A$1:$I$89,3,0)*VLOOKUP('Données projet'!$B$9,Paramètres!$A$1:$I$89,5,0)</f>
        <v>6.3550942286383367E-14</v>
      </c>
      <c r="P86" s="13">
        <f t="shared" si="87"/>
        <v>1.0064464192543978E-12</v>
      </c>
      <c r="Q86" s="20">
        <f t="shared" si="54"/>
        <v>1.8635787380168604E-12</v>
      </c>
      <c r="R86" s="59">
        <f t="shared" si="55"/>
        <v>293.33333333333519</v>
      </c>
      <c r="S86" s="59">
        <f ca="1">AVERAGE(OFFSET($R$3,0,0,'Données projet'!$E$9+1,1))-AVERAGE(OFFSET($H$3,0,0,'Données projet'!$E$9+1,1))</f>
        <v>224.7049802939942</v>
      </c>
      <c r="T86" s="59">
        <f t="shared" si="88"/>
        <v>203.48513862195352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0.78106179072842086</v>
      </c>
      <c r="AA86" s="21">
        <f>EXP(-LN(2)/25)*AA85+(1-EXP(-LN(2)/25))/(LN(2)/25)*Calculateur!V86*Calculateur!X86*VLOOKUP('Données projet'!$B$9,Paramètres!$A$1:$I$89,3,0)*0.475*44/12</f>
        <v>4.4915572810319278</v>
      </c>
      <c r="AB86" s="21">
        <f>EXP(-LN(2)/2)*AB85+(1-EXP(-LN(2)/2))/(LN(2)/2)*V86*Y86*VLOOKUP('Données projet'!$B$9,Paramètres!$A$1:$I$89,3,0)*0.475*44/12</f>
        <v>9.4415395360348944E-8</v>
      </c>
      <c r="AC86" s="22">
        <f t="shared" si="57"/>
        <v>5.272619166175744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12.124038461538468</v>
      </c>
      <c r="AI86" s="13">
        <f>IF('Données projet'!$A$62&gt;35,AI85+AH86-AQ85,IF(A86&lt;'Données projet'!$A$62,$AF$205^A86,IF(A86='Données projet'!$A$62,'Données projet'!$B$62,AI85+AH86-AQ85)))</f>
        <v>408.01923076923094</v>
      </c>
      <c r="AJ86" s="13">
        <f>AI86*VLOOKUP('Données projet'!$B$10,Paramètres!$A$1:$I$89,3,0)*VLOOKUP('Données projet'!$B$10,Paramètres!$A$1:$I$89,5,0)</f>
        <v>190.95300000000006</v>
      </c>
      <c r="AK86" s="13">
        <f t="shared" si="89"/>
        <v>47.750586229034354</v>
      </c>
      <c r="AL86" s="20">
        <f t="shared" si="58"/>
        <v>415.7420793489016</v>
      </c>
      <c r="AM86" s="59">
        <f t="shared" si="59"/>
        <v>709.07541268223486</v>
      </c>
      <c r="AN86" s="59">
        <f ca="1">AVERAGE(OFFSET($AM$3,0,0,'Données projet'!$E$10+1,1))-AVERAGE(OFFSET($H$3,0,0,'Données projet'!$E$10+1,1))</f>
        <v>158.58786357608489</v>
      </c>
      <c r="AO86" s="59">
        <f t="shared" si="90"/>
        <v>163.20074068819849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1.1368683772161603E-13</v>
      </c>
      <c r="O87" s="13">
        <f>N87*VLOOKUP('Données projet'!$B$9,Paramètres!$A$1:$I$89,3,0)*VLOOKUP('Données projet'!$B$9,Paramètres!$A$1:$I$89,5,0)</f>
        <v>6.3550942286383367E-14</v>
      </c>
      <c r="P87" s="13">
        <f t="shared" si="87"/>
        <v>1.0064464192543978E-12</v>
      </c>
      <c r="Q87" s="20">
        <f t="shared" si="54"/>
        <v>1.8635787380168604E-12</v>
      </c>
      <c r="R87" s="59">
        <f t="shared" si="55"/>
        <v>293.33333333333519</v>
      </c>
      <c r="S87" s="59">
        <f ca="1">AVERAGE(OFFSET($R$3,0,0,'Données projet'!$E$9+1,1))-AVERAGE(OFFSET($H$3,0,0,'Données projet'!$E$9+1,1))</f>
        <v>224.7049802939942</v>
      </c>
      <c r="T87" s="59">
        <f t="shared" si="88"/>
        <v>203.48513862195352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0.76574564541288825</v>
      </c>
      <c r="AA87" s="21">
        <f>EXP(-LN(2)/25)*AA86+(1-EXP(-LN(2)/25))/(LN(2)/25)*Calculateur!V87*Calculateur!X87*VLOOKUP('Données projet'!$B$9,Paramètres!$A$1:$I$89,3,0)*0.475*44/12</f>
        <v>4.3687354109813779</v>
      </c>
      <c r="AB87" s="21">
        <f>EXP(-LN(2)/2)*AB86+(1-EXP(-LN(2)/2))/(LN(2)/2)*V87*Y87*VLOOKUP('Données projet'!$B$9,Paramètres!$A$1:$I$89,3,0)*0.475*44/12</f>
        <v>6.6761766307711635E-8</v>
      </c>
      <c r="AC87" s="22">
        <f t="shared" si="57"/>
        <v>5.1344811231560321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12.124038461538468</v>
      </c>
      <c r="AI87" s="13">
        <f>IF('Données projet'!$A$62&gt;35,AI86+AH87-AQ86,IF(A87&lt;'Données projet'!$A$62,$AF$205^A87,IF(A87='Données projet'!$A$62,'Données projet'!$B$62,AI86+AH87-AQ86)))</f>
        <v>420.14326923076942</v>
      </c>
      <c r="AJ87" s="13">
        <f>AI87*VLOOKUP('Données projet'!$B$10,Paramètres!$A$1:$I$89,3,0)*VLOOKUP('Données projet'!$B$10,Paramètres!$A$1:$I$89,5,0)</f>
        <v>196.62705000000008</v>
      </c>
      <c r="AK87" s="13">
        <f t="shared" si="89"/>
        <v>49.002163217129386</v>
      </c>
      <c r="AL87" s="20">
        <f t="shared" si="58"/>
        <v>427.80421301983375</v>
      </c>
      <c r="AM87" s="59">
        <f t="shared" si="59"/>
        <v>721.13754635316707</v>
      </c>
      <c r="AN87" s="59">
        <f ca="1">AVERAGE(OFFSET($AM$3,0,0,'Données projet'!$E$10+1,1))-AVERAGE(OFFSET($H$3,0,0,'Données projet'!$E$10+1,1))</f>
        <v>158.58786357608489</v>
      </c>
      <c r="AO87" s="59">
        <f t="shared" si="90"/>
        <v>163.20074068819849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1.1368683772161603E-13</v>
      </c>
      <c r="O88" s="13">
        <f>N88*VLOOKUP('Données projet'!$B$9,Paramètres!$A$1:$I$89,3,0)*VLOOKUP('Données projet'!$B$9,Paramètres!$A$1:$I$89,5,0)</f>
        <v>6.3550942286383367E-14</v>
      </c>
      <c r="P88" s="13">
        <f t="shared" si="87"/>
        <v>1.0064464192543978E-12</v>
      </c>
      <c r="Q88" s="20">
        <f t="shared" si="54"/>
        <v>1.8635787380168604E-12</v>
      </c>
      <c r="R88" s="59">
        <f t="shared" si="55"/>
        <v>293.33333333333519</v>
      </c>
      <c r="S88" s="59">
        <f ca="1">AVERAGE(OFFSET($R$3,0,0,'Données projet'!$E$9+1,1))-AVERAGE(OFFSET($H$3,0,0,'Données projet'!$E$9+1,1))</f>
        <v>224.7049802939942</v>
      </c>
      <c r="T88" s="59">
        <f t="shared" si="88"/>
        <v>203.48513862195352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0.75072984036506696</v>
      </c>
      <c r="AA88" s="21">
        <f>EXP(-LN(2)/25)*AA87+(1-EXP(-LN(2)/25))/(LN(2)/25)*Calculateur!V88*Calculateur!X88*VLOOKUP('Données projet'!$B$9,Paramètres!$A$1:$I$89,3,0)*0.475*44/12</f>
        <v>4.2492721114262819</v>
      </c>
      <c r="AB88" s="21">
        <f>EXP(-LN(2)/2)*AB87+(1-EXP(-LN(2)/2))/(LN(2)/2)*V88*Y88*VLOOKUP('Données projet'!$B$9,Paramètres!$A$1:$I$89,3,0)*0.475*44/12</f>
        <v>4.7207697680174472E-8</v>
      </c>
      <c r="AC88" s="22">
        <f t="shared" si="57"/>
        <v>5.0000019989990463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12.124038461538468</v>
      </c>
      <c r="AI88" s="13">
        <f>IF('Données projet'!$A$62&gt;35,AI87+AH88-AQ87,IF(A88&lt;'Données projet'!$A$62,$AF$205^A88,IF(A88='Données projet'!$A$62,'Données projet'!$B$62,AI87+AH88-AQ87)))</f>
        <v>432.2673076923079</v>
      </c>
      <c r="AJ88" s="13">
        <f>AI88*VLOOKUP('Données projet'!$B$10,Paramètres!$A$1:$I$89,3,0)*VLOOKUP('Données projet'!$B$10,Paramètres!$A$1:$I$89,5,0)</f>
        <v>202.3011000000001</v>
      </c>
      <c r="AK88" s="13">
        <f t="shared" si="89"/>
        <v>50.249542664134772</v>
      </c>
      <c r="AL88" s="20">
        <f t="shared" si="58"/>
        <v>439.85903597336824</v>
      </c>
      <c r="AM88" s="59">
        <f t="shared" si="59"/>
        <v>733.19236930670149</v>
      </c>
      <c r="AN88" s="59">
        <f ca="1">AVERAGE(OFFSET($AM$3,0,0,'Données projet'!$E$10+1,1))-AVERAGE(OFFSET($H$3,0,0,'Données projet'!$E$10+1,1))</f>
        <v>158.58786357608489</v>
      </c>
      <c r="AO88" s="59">
        <f t="shared" si="90"/>
        <v>163.20074068819849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1.1368683772161603E-13</v>
      </c>
      <c r="O89" s="13">
        <f>N89*VLOOKUP('Données projet'!$B$9,Paramètres!$A$1:$I$89,3,0)*VLOOKUP('Données projet'!$B$9,Paramètres!$A$1:$I$89,5,0)</f>
        <v>6.3550942286383367E-14</v>
      </c>
      <c r="P89" s="13">
        <f t="shared" si="87"/>
        <v>1.0064464192543978E-12</v>
      </c>
      <c r="Q89" s="20">
        <f t="shared" si="54"/>
        <v>1.8635787380168604E-12</v>
      </c>
      <c r="R89" s="59">
        <f t="shared" si="55"/>
        <v>293.33333333333519</v>
      </c>
      <c r="S89" s="59">
        <f ca="1">AVERAGE(OFFSET($R$3,0,0,'Données projet'!$E$9+1,1))-AVERAGE(OFFSET($H$3,0,0,'Données projet'!$E$9+1,1))</f>
        <v>224.7049802939942</v>
      </c>
      <c r="T89" s="59">
        <f t="shared" si="88"/>
        <v>203.48513862195352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0.73600848609549674</v>
      </c>
      <c r="AA89" s="21">
        <f>EXP(-LN(2)/25)*AA88+(1-EXP(-LN(2)/25))/(LN(2)/25)*Calculateur!V89*Calculateur!X89*VLOOKUP('Données projet'!$B$9,Paramètres!$A$1:$I$89,3,0)*0.475*44/12</f>
        <v>4.1330755420798218</v>
      </c>
      <c r="AB89" s="21">
        <f>EXP(-LN(2)/2)*AB88+(1-EXP(-LN(2)/2))/(LN(2)/2)*V89*Y89*VLOOKUP('Données projet'!$B$9,Paramètres!$A$1:$I$89,3,0)*0.475*44/12</f>
        <v>3.3380883153855818E-8</v>
      </c>
      <c r="AC89" s="22">
        <f t="shared" si="57"/>
        <v>4.8690840615562019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12.124038461538468</v>
      </c>
      <c r="AI89" s="13">
        <f>IF('Données projet'!$A$62&gt;35,AI88+AH89-AQ88,IF(A89&lt;'Données projet'!$A$62,$AF$205^A89,IF(A89='Données projet'!$A$62,'Données projet'!$B$62,AI88+AH89-AQ88)))</f>
        <v>444.39134615384637</v>
      </c>
      <c r="AJ89" s="13">
        <f>AI89*VLOOKUP('Données projet'!$B$10,Paramètres!$A$1:$I$89,3,0)*VLOOKUP('Données projet'!$B$10,Paramètres!$A$1:$I$89,5,0)</f>
        <v>207.9751500000001</v>
      </c>
      <c r="AK89" s="13">
        <f t="shared" si="89"/>
        <v>51.492855825196166</v>
      </c>
      <c r="AL89" s="20">
        <f t="shared" si="58"/>
        <v>451.90677681221678</v>
      </c>
      <c r="AM89" s="59">
        <f t="shared" si="59"/>
        <v>745.24011014555003</v>
      </c>
      <c r="AN89" s="59">
        <f ca="1">AVERAGE(OFFSET($AM$3,0,0,'Données projet'!$E$10+1,1))-AVERAGE(OFFSET($H$3,0,0,'Données projet'!$E$10+1,1))</f>
        <v>158.58786357608489</v>
      </c>
      <c r="AO89" s="59">
        <f t="shared" si="90"/>
        <v>163.20074068819849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1.1368683772161603E-13</v>
      </c>
      <c r="O90" s="13">
        <f>N90*VLOOKUP('Données projet'!$B$9,Paramètres!$A$1:$I$89,3,0)*VLOOKUP('Données projet'!$B$9,Paramètres!$A$1:$I$89,5,0)</f>
        <v>6.3550942286383367E-14</v>
      </c>
      <c r="P90" s="13">
        <f t="shared" si="87"/>
        <v>1.0064464192543978E-12</v>
      </c>
      <c r="Q90" s="20">
        <f t="shared" si="54"/>
        <v>1.8635787380168604E-12</v>
      </c>
      <c r="R90" s="59">
        <f t="shared" si="55"/>
        <v>293.33333333333519</v>
      </c>
      <c r="S90" s="59">
        <f ca="1">AVERAGE(OFFSET($R$3,0,0,'Données projet'!$E$9+1,1))-AVERAGE(OFFSET($H$3,0,0,'Données projet'!$E$9+1,1))</f>
        <v>224.7049802939942</v>
      </c>
      <c r="T90" s="59">
        <f t="shared" si="88"/>
        <v>203.48513862195352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0.72157580860401327</v>
      </c>
      <c r="AA90" s="21">
        <f>EXP(-LN(2)/25)*AA89+(1-EXP(-LN(2)/25))/(LN(2)/25)*Calculateur!V90*Calculateur!X90*VLOOKUP('Données projet'!$B$9,Paramètres!$A$1:$I$89,3,0)*0.475*44/12</f>
        <v>4.0200563740326523</v>
      </c>
      <c r="AB90" s="21">
        <f>EXP(-LN(2)/2)*AB89+(1-EXP(-LN(2)/2))/(LN(2)/2)*V90*Y90*VLOOKUP('Données projet'!$B$9,Paramètres!$A$1:$I$89,3,0)*0.475*44/12</f>
        <v>2.3603848840087236E-8</v>
      </c>
      <c r="AC90" s="22">
        <f t="shared" si="57"/>
        <v>4.7416322062405145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>
        <f>VLOOKUP(A90,'Données projet'!$A$61:$I$81,2,0)</f>
        <v>456.51538461538462</v>
      </c>
      <c r="AG90" s="12">
        <f>VLOOKUP(A90,'Données projet'!$A$61:$I$81,9,0)</f>
        <v>12.124038461538468</v>
      </c>
      <c r="AH90" s="12">
        <f t="array" ref="AH90">INDEX(AG:AG,MIN(IF(ISNUMBER(AG90:AG286),ROW(AG90:AG286),"")))</f>
        <v>12.124038461538468</v>
      </c>
      <c r="AI90" s="13">
        <f>IF('Données projet'!$A$62&gt;35,AI89+AH90-AQ89,IF(A90&lt;'Données projet'!$A$62,$AF$205^A90,IF(A90='Données projet'!$A$62,'Données projet'!$B$62,AI89+AH90-AQ89)))</f>
        <v>456.51538461538485</v>
      </c>
      <c r="AJ90" s="13">
        <f>AI90*VLOOKUP('Données projet'!$B$10,Paramètres!$A$1:$I$89,3,0)*VLOOKUP('Données projet'!$B$10,Paramètres!$A$1:$I$89,5,0)</f>
        <v>213.64920000000012</v>
      </c>
      <c r="AK90" s="13">
        <f t="shared" si="89"/>
        <v>52.732226385923781</v>
      </c>
      <c r="AL90" s="20">
        <f t="shared" si="58"/>
        <v>463.94765095548405</v>
      </c>
      <c r="AM90" s="59">
        <f t="shared" si="59"/>
        <v>757.28098428881731</v>
      </c>
      <c r="AN90" s="59">
        <f ca="1">AVERAGE(OFFSET($AM$3,0,0,'Données projet'!$E$10+1,1))-AVERAGE(OFFSET($H$3,0,0,'Données projet'!$E$10+1,1))</f>
        <v>158.58786357608489</v>
      </c>
      <c r="AO90" s="59">
        <f t="shared" si="90"/>
        <v>163.20074068819849</v>
      </c>
      <c r="AP90" s="15">
        <f>IF(ISNA(VLOOKUP(A90,'Données projet'!$A$61:$I$81,3,0)),0,VLOOKUP(A90,'Données projet'!$A$61:$I$81,3,0))</f>
        <v>7</v>
      </c>
      <c r="AQ90" s="15">
        <f>IF(ISNA(VLOOKUP(A90,'Données projet'!$A$61:$I$81,4,0)),0,VLOOKUP(A90,'Données projet'!$A$61:$I$81,4,0))</f>
        <v>77.330769230769235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1.1368683772161603E-13</v>
      </c>
      <c r="O91" s="13">
        <f>N91*VLOOKUP('Données projet'!$B$9,Paramètres!$A$1:$I$89,3,0)*VLOOKUP('Données projet'!$B$9,Paramètres!$A$1:$I$89,5,0)</f>
        <v>6.3550942286383367E-14</v>
      </c>
      <c r="P91" s="13">
        <f t="shared" si="87"/>
        <v>1.0064464192543978E-12</v>
      </c>
      <c r="Q91" s="20">
        <f t="shared" si="54"/>
        <v>1.8635787380168604E-12</v>
      </c>
      <c r="R91" s="59">
        <f t="shared" si="55"/>
        <v>293.33333333333519</v>
      </c>
      <c r="S91" s="59">
        <f ca="1">AVERAGE(OFFSET($R$3,0,0,'Données projet'!$E$9+1,1))-AVERAGE(OFFSET($H$3,0,0,'Données projet'!$E$9+1,1))</f>
        <v>224.7049802939942</v>
      </c>
      <c r="T91" s="59">
        <f t="shared" si="88"/>
        <v>203.48513862195352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0.70742614711507379</v>
      </c>
      <c r="AA91" s="21">
        <f>EXP(-LN(2)/25)*AA90+(1-EXP(-LN(2)/25))/(LN(2)/25)*Calculateur!V91*Calculateur!X91*VLOOKUP('Données projet'!$B$9,Paramètres!$A$1:$I$89,3,0)*0.475*44/12</f>
        <v>3.9101277210791525</v>
      </c>
      <c r="AB91" s="21">
        <f>EXP(-LN(2)/2)*AB90+(1-EXP(-LN(2)/2))/(LN(2)/2)*V91*Y91*VLOOKUP('Données projet'!$B$9,Paramètres!$A$1:$I$89,3,0)*0.475*44/12</f>
        <v>1.6690441576927909E-8</v>
      </c>
      <c r="AC91" s="22">
        <f t="shared" si="57"/>
        <v>4.6175538848846687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11.242307692307691</v>
      </c>
      <c r="AI91" s="13">
        <f>IF('Données projet'!$A$62&gt;35,AI90+AH91-AQ90,IF(A91&lt;'Données projet'!$A$62,$AF$205^A91,IF(A91='Données projet'!$A$62,'Données projet'!$B$62,AI90+AH91-AQ90)))</f>
        <v>390.42692307692329</v>
      </c>
      <c r="AJ91" s="13">
        <f>AI91*VLOOKUP('Données projet'!$B$10,Paramètres!$A$1:$I$89,3,0)*VLOOKUP('Données projet'!$B$10,Paramètres!$A$1:$I$89,5,0)</f>
        <v>182.71980000000011</v>
      </c>
      <c r="AK91" s="13">
        <f t="shared" si="89"/>
        <v>45.926762394770535</v>
      </c>
      <c r="AL91" s="20">
        <f t="shared" si="58"/>
        <v>398.22609617089216</v>
      </c>
      <c r="AM91" s="59">
        <f t="shared" si="59"/>
        <v>691.55942950422548</v>
      </c>
      <c r="AN91" s="59">
        <f ca="1">AVERAGE(OFFSET($AM$3,0,0,'Données projet'!$E$10+1,1))-AVERAGE(OFFSET($H$3,0,0,'Données projet'!$E$10+1,1))</f>
        <v>158.58786357608489</v>
      </c>
      <c r="AO91" s="59">
        <f t="shared" si="90"/>
        <v>163.20074068819849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1.1368683772161603E-13</v>
      </c>
      <c r="O92" s="13">
        <f>N92*VLOOKUP('Données projet'!$B$9,Paramètres!$A$1:$I$89,3,0)*VLOOKUP('Données projet'!$B$9,Paramètres!$A$1:$I$89,5,0)</f>
        <v>6.3550942286383367E-14</v>
      </c>
      <c r="P92" s="13">
        <f t="shared" si="87"/>
        <v>1.0064464192543978E-12</v>
      </c>
      <c r="Q92" s="20">
        <f t="shared" si="54"/>
        <v>1.8635787380168604E-12</v>
      </c>
      <c r="R92" s="59">
        <f t="shared" si="55"/>
        <v>293.33333333333519</v>
      </c>
      <c r="S92" s="59">
        <f ca="1">AVERAGE(OFFSET($R$3,0,0,'Données projet'!$E$9+1,1))-AVERAGE(OFFSET($H$3,0,0,'Données projet'!$E$9+1,1))</f>
        <v>224.7049802939942</v>
      </c>
      <c r="T92" s="59">
        <f t="shared" si="88"/>
        <v>203.48513862195352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0.69355395185749114</v>
      </c>
      <c r="AA92" s="21">
        <f>EXP(-LN(2)/25)*AA91+(1-EXP(-LN(2)/25))/(LN(2)/25)*Calculateur!V92*Calculateur!X92*VLOOKUP('Données projet'!$B$9,Paramètres!$A$1:$I$89,3,0)*0.475*44/12</f>
        <v>3.8032050729215632</v>
      </c>
      <c r="AB92" s="21">
        <f>EXP(-LN(2)/2)*AB91+(1-EXP(-LN(2)/2))/(LN(2)/2)*V92*Y92*VLOOKUP('Données projet'!$B$9,Paramètres!$A$1:$I$89,3,0)*0.475*44/12</f>
        <v>1.1801924420043618E-8</v>
      </c>
      <c r="AC92" s="22">
        <f t="shared" si="57"/>
        <v>4.4967590365809791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11.242307692307691</v>
      </c>
      <c r="AI92" s="13">
        <f>IF('Données projet'!$A$62&gt;35,AI91+AH92-AQ91,IF(A92&lt;'Données projet'!$A$62,$AF$205^A92,IF(A92='Données projet'!$A$62,'Données projet'!$B$62,AI91+AH92-AQ91)))</f>
        <v>401.66923076923098</v>
      </c>
      <c r="AJ92" s="13">
        <f>AI92*VLOOKUP('Données projet'!$B$10,Paramètres!$A$1:$I$89,3,0)*VLOOKUP('Données projet'!$B$10,Paramètres!$A$1:$I$89,5,0)</f>
        <v>187.98120000000011</v>
      </c>
      <c r="AK92" s="13">
        <f t="shared" si="89"/>
        <v>47.093347732155607</v>
      </c>
      <c r="AL92" s="20">
        <f t="shared" si="58"/>
        <v>409.42150396683786</v>
      </c>
      <c r="AM92" s="59">
        <f t="shared" si="59"/>
        <v>702.75483730017118</v>
      </c>
      <c r="AN92" s="59">
        <f ca="1">AVERAGE(OFFSET($AM$3,0,0,'Données projet'!$E$10+1,1))-AVERAGE(OFFSET($H$3,0,0,'Données projet'!$E$10+1,1))</f>
        <v>158.58786357608489</v>
      </c>
      <c r="AO92" s="59">
        <f t="shared" si="90"/>
        <v>163.20074068819849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1.1368683772161603E-13</v>
      </c>
      <c r="O93" s="13">
        <f>N93*VLOOKUP('Données projet'!$B$9,Paramètres!$A$1:$I$89,3,0)*VLOOKUP('Données projet'!$B$9,Paramètres!$A$1:$I$89,5,0)</f>
        <v>6.3550942286383367E-14</v>
      </c>
      <c r="P93" s="13">
        <f t="shared" si="87"/>
        <v>1.0064464192543978E-12</v>
      </c>
      <c r="Q93" s="20">
        <f t="shared" si="54"/>
        <v>1.8635787380168604E-12</v>
      </c>
      <c r="R93" s="59">
        <f t="shared" si="55"/>
        <v>293.33333333333519</v>
      </c>
      <c r="S93" s="59">
        <f ca="1">AVERAGE(OFFSET($R$3,0,0,'Données projet'!$E$9+1,1))-AVERAGE(OFFSET($H$3,0,0,'Données projet'!$E$9+1,1))</f>
        <v>224.7049802939942</v>
      </c>
      <c r="T93" s="59">
        <f t="shared" si="88"/>
        <v>203.48513862195352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0.67995378188770605</v>
      </c>
      <c r="AA93" s="21">
        <f>EXP(-LN(2)/25)*AA92+(1-EXP(-LN(2)/25))/(LN(2)/25)*Calculateur!V93*Calculateur!X93*VLOOKUP('Données projet'!$B$9,Paramètres!$A$1:$I$89,3,0)*0.475*44/12</f>
        <v>3.6992062302006605</v>
      </c>
      <c r="AB93" s="21">
        <f>EXP(-LN(2)/2)*AB92+(1-EXP(-LN(2)/2))/(LN(2)/2)*V93*Y93*VLOOKUP('Données projet'!$B$9,Paramètres!$A$1:$I$89,3,0)*0.475*44/12</f>
        <v>8.3452207884639544E-9</v>
      </c>
      <c r="AC93" s="22">
        <f t="shared" si="57"/>
        <v>4.379160020433587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11.242307692307691</v>
      </c>
      <c r="AI93" s="13">
        <f>IF('Données projet'!$A$62&gt;35,AI92+AH93-AQ92,IF(A93&lt;'Données projet'!$A$62,$AF$205^A93,IF(A93='Données projet'!$A$62,'Données projet'!$B$62,AI92+AH93-AQ92)))</f>
        <v>412.91153846153867</v>
      </c>
      <c r="AJ93" s="13">
        <f>AI93*VLOOKUP('Données projet'!$B$10,Paramètres!$A$1:$I$89,3,0)*VLOOKUP('Données projet'!$B$10,Paramètres!$A$1:$I$89,5,0)</f>
        <v>193.2426000000001</v>
      </c>
      <c r="AK93" s="13">
        <f t="shared" si="89"/>
        <v>48.256138093290417</v>
      </c>
      <c r="AL93" s="20">
        <f t="shared" si="58"/>
        <v>420.6103021791476</v>
      </c>
      <c r="AM93" s="59">
        <f t="shared" si="59"/>
        <v>713.94363551248091</v>
      </c>
      <c r="AN93" s="59">
        <f ca="1">AVERAGE(OFFSET($AM$3,0,0,'Données projet'!$E$10+1,1))-AVERAGE(OFFSET($H$3,0,0,'Données projet'!$E$10+1,1))</f>
        <v>158.58786357608489</v>
      </c>
      <c r="AO93" s="59">
        <f t="shared" si="90"/>
        <v>163.20074068819849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1.1368683772161603E-13</v>
      </c>
      <c r="O94" s="13">
        <f>N94*VLOOKUP('Données projet'!$B$9,Paramètres!$A$1:$I$89,3,0)*VLOOKUP('Données projet'!$B$9,Paramètres!$A$1:$I$89,5,0)</f>
        <v>6.3550942286383367E-14</v>
      </c>
      <c r="P94" s="13">
        <f t="shared" si="87"/>
        <v>1.0064464192543978E-12</v>
      </c>
      <c r="Q94" s="20">
        <f t="shared" si="54"/>
        <v>1.8635787380168604E-12</v>
      </c>
      <c r="R94" s="59">
        <f t="shared" si="55"/>
        <v>293.33333333333519</v>
      </c>
      <c r="S94" s="59">
        <f ca="1">AVERAGE(OFFSET($R$3,0,0,'Données projet'!$E$9+1,1))-AVERAGE(OFFSET($H$3,0,0,'Données projet'!$E$9+1,1))</f>
        <v>224.7049802939942</v>
      </c>
      <c r="T94" s="59">
        <f t="shared" si="88"/>
        <v>203.48513862195352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0.66662030295574382</v>
      </c>
      <c r="AA94" s="21">
        <f>EXP(-LN(2)/25)*AA93+(1-EXP(-LN(2)/25))/(LN(2)/25)*Calculateur!V94*Calculateur!X94*VLOOKUP('Données projet'!$B$9,Paramètres!$A$1:$I$89,3,0)*0.475*44/12</f>
        <v>3.5980512413030223</v>
      </c>
      <c r="AB94" s="21">
        <f>EXP(-LN(2)/2)*AB93+(1-EXP(-LN(2)/2))/(LN(2)/2)*V94*Y94*VLOOKUP('Données projet'!$B$9,Paramètres!$A$1:$I$89,3,0)*0.475*44/12</f>
        <v>5.900962210021809E-9</v>
      </c>
      <c r="AC94" s="22">
        <f t="shared" si="57"/>
        <v>4.2646715501597283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11.242307692307691</v>
      </c>
      <c r="AI94" s="13">
        <f>IF('Données projet'!$A$62&gt;35,AI93+AH94-AQ93,IF(A94&lt;'Données projet'!$A$62,$AF$205^A94,IF(A94='Données projet'!$A$62,'Données projet'!$B$62,AI93+AH94-AQ93)))</f>
        <v>424.15384615384636</v>
      </c>
      <c r="AJ94" s="13">
        <f>AI94*VLOOKUP('Données projet'!$B$10,Paramètres!$A$1:$I$89,3,0)*VLOOKUP('Données projet'!$B$10,Paramètres!$A$1:$I$89,5,0)</f>
        <v>198.5040000000001</v>
      </c>
      <c r="AK94" s="13">
        <f t="shared" si="89"/>
        <v>49.415248676990458</v>
      </c>
      <c r="AL94" s="20">
        <f t="shared" si="58"/>
        <v>431.79269144575846</v>
      </c>
      <c r="AM94" s="59">
        <f t="shared" si="59"/>
        <v>725.12602477909172</v>
      </c>
      <c r="AN94" s="59">
        <f ca="1">AVERAGE(OFFSET($AM$3,0,0,'Données projet'!$E$10+1,1))-AVERAGE(OFFSET($H$3,0,0,'Données projet'!$E$10+1,1))</f>
        <v>158.58786357608489</v>
      </c>
      <c r="AO94" s="59">
        <f t="shared" si="90"/>
        <v>163.20074068819849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1.1368683772161603E-13</v>
      </c>
      <c r="O95" s="13">
        <f>N95*VLOOKUP('Données projet'!$B$9,Paramètres!$A$1:$I$89,3,0)*VLOOKUP('Données projet'!$B$9,Paramètres!$A$1:$I$89,5,0)</f>
        <v>6.3550942286383367E-14</v>
      </c>
      <c r="P95" s="13">
        <f t="shared" si="87"/>
        <v>1.0064464192543978E-12</v>
      </c>
      <c r="Q95" s="20">
        <f t="shared" si="54"/>
        <v>1.8635787380168604E-12</v>
      </c>
      <c r="R95" s="59">
        <f t="shared" si="55"/>
        <v>293.33333333333519</v>
      </c>
      <c r="S95" s="59">
        <f ca="1">AVERAGE(OFFSET($R$3,0,0,'Données projet'!$E$9+1,1))-AVERAGE(OFFSET($H$3,0,0,'Données projet'!$E$9+1,1))</f>
        <v>224.7049802939942</v>
      </c>
      <c r="T95" s="59">
        <f t="shared" si="88"/>
        <v>203.48513862195352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0.65354828541301824</v>
      </c>
      <c r="AA95" s="21">
        <f>EXP(-LN(2)/25)*AA94+(1-EXP(-LN(2)/25))/(LN(2)/25)*Calculateur!V95*Calculateur!X95*VLOOKUP('Données projet'!$B$9,Paramètres!$A$1:$I$89,3,0)*0.475*44/12</f>
        <v>3.4996623408962999</v>
      </c>
      <c r="AB95" s="21">
        <f>EXP(-LN(2)/2)*AB94+(1-EXP(-LN(2)/2))/(LN(2)/2)*V95*Y95*VLOOKUP('Données projet'!$B$9,Paramètres!$A$1:$I$89,3,0)*0.475*44/12</f>
        <v>4.1726103942319772E-9</v>
      </c>
      <c r="AC95" s="22">
        <f t="shared" si="57"/>
        <v>4.1532106304819285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11.242307692307691</v>
      </c>
      <c r="AI95" s="13">
        <f>IF('Données projet'!$A$62&gt;35,AI94+AH95-AQ94,IF(A95&lt;'Données projet'!$A$62,$AF$205^A95,IF(A95='Données projet'!$A$62,'Données projet'!$B$62,AI94+AH95-AQ94)))</f>
        <v>435.39615384615405</v>
      </c>
      <c r="AJ95" s="13">
        <f>AI95*VLOOKUP('Données projet'!$B$10,Paramètres!$A$1:$I$89,3,0)*VLOOKUP('Données projet'!$B$10,Paramètres!$A$1:$I$89,5,0)</f>
        <v>203.76540000000008</v>
      </c>
      <c r="AK95" s="13">
        <f t="shared" si="89"/>
        <v>50.570788227585879</v>
      </c>
      <c r="AL95" s="20">
        <f t="shared" si="58"/>
        <v>442.96886116304557</v>
      </c>
      <c r="AM95" s="59">
        <f t="shared" si="59"/>
        <v>736.30219449637889</v>
      </c>
      <c r="AN95" s="59">
        <f ca="1">AVERAGE(OFFSET($AM$3,0,0,'Données projet'!$E$10+1,1))-AVERAGE(OFFSET($H$3,0,0,'Données projet'!$E$10+1,1))</f>
        <v>158.58786357608489</v>
      </c>
      <c r="AO95" s="59">
        <f t="shared" si="90"/>
        <v>163.20074068819849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1.1368683772161603E-13</v>
      </c>
      <c r="O96" s="13">
        <f>N96*VLOOKUP('Données projet'!$B$9,Paramètres!$A$1:$I$89,3,0)*VLOOKUP('Données projet'!$B$9,Paramètres!$A$1:$I$89,5,0)</f>
        <v>6.3550942286383367E-14</v>
      </c>
      <c r="P96" s="13">
        <f t="shared" si="87"/>
        <v>1.0064464192543978E-12</v>
      </c>
      <c r="Q96" s="20">
        <f t="shared" si="54"/>
        <v>1.8635787380168604E-12</v>
      </c>
      <c r="R96" s="59">
        <f t="shared" si="55"/>
        <v>293.33333333333519</v>
      </c>
      <c r="S96" s="59">
        <f ca="1">AVERAGE(OFFSET($R$3,0,0,'Données projet'!$E$9+1,1))-AVERAGE(OFFSET($H$3,0,0,'Données projet'!$E$9+1,1))</f>
        <v>224.7049802939942</v>
      </c>
      <c r="T96" s="59">
        <f t="shared" si="88"/>
        <v>203.48513862195352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0.64073260216116212</v>
      </c>
      <c r="AA96" s="21">
        <f>EXP(-LN(2)/25)*AA95+(1-EXP(-LN(2)/25))/(LN(2)/25)*Calculateur!V96*Calculateur!X96*VLOOKUP('Données projet'!$B$9,Paramètres!$A$1:$I$89,3,0)*0.475*44/12</f>
        <v>3.4039638901452465</v>
      </c>
      <c r="AB96" s="21">
        <f>EXP(-LN(2)/2)*AB95+(1-EXP(-LN(2)/2))/(LN(2)/2)*V96*Y96*VLOOKUP('Données projet'!$B$9,Paramètres!$A$1:$I$89,3,0)*0.475*44/12</f>
        <v>2.9504811050109045E-9</v>
      </c>
      <c r="AC96" s="22">
        <f t="shared" si="57"/>
        <v>4.0446964952568898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11.242307692307691</v>
      </c>
      <c r="AI96" s="13">
        <f>IF('Données projet'!$A$62&gt;35,AI95+AH96-AQ95,IF(A96&lt;'Données projet'!$A$62,$AF$205^A96,IF(A96='Données projet'!$A$62,'Données projet'!$B$62,AI95+AH96-AQ95)))</f>
        <v>446.63846153846174</v>
      </c>
      <c r="AJ96" s="13">
        <f>AI96*VLOOKUP('Données projet'!$B$10,Paramètres!$A$1:$I$89,3,0)*VLOOKUP('Données projet'!$B$10,Paramètres!$A$1:$I$89,5,0)</f>
        <v>209.02680000000009</v>
      </c>
      <c r="AK96" s="13">
        <f t="shared" si="89"/>
        <v>51.722859553755349</v>
      </c>
      <c r="AL96" s="20">
        <f t="shared" si="58"/>
        <v>454.13899038945743</v>
      </c>
      <c r="AM96" s="59">
        <f t="shared" si="59"/>
        <v>747.47232372279075</v>
      </c>
      <c r="AN96" s="59">
        <f ca="1">AVERAGE(OFFSET($AM$3,0,0,'Données projet'!$E$10+1,1))-AVERAGE(OFFSET($H$3,0,0,'Données projet'!$E$10+1,1))</f>
        <v>158.58786357608489</v>
      </c>
      <c r="AO96" s="59">
        <f t="shared" si="90"/>
        <v>163.20074068819849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1.1368683772161603E-13</v>
      </c>
      <c r="O97" s="13">
        <f>N97*VLOOKUP('Données projet'!$B$9,Paramètres!$A$1:$I$89,3,0)*VLOOKUP('Données projet'!$B$9,Paramètres!$A$1:$I$89,5,0)</f>
        <v>6.3550942286383367E-14</v>
      </c>
      <c r="P97" s="13">
        <f t="shared" si="87"/>
        <v>1.0064464192543978E-12</v>
      </c>
      <c r="Q97" s="20">
        <f t="shared" si="54"/>
        <v>1.8635787380168604E-12</v>
      </c>
      <c r="R97" s="59">
        <f t="shared" si="55"/>
        <v>293.33333333333519</v>
      </c>
      <c r="S97" s="59">
        <f ca="1">AVERAGE(OFFSET($R$3,0,0,'Données projet'!$E$9+1,1))-AVERAGE(OFFSET($H$3,0,0,'Données projet'!$E$9+1,1))</f>
        <v>224.7049802939942</v>
      </c>
      <c r="T97" s="59">
        <f t="shared" si="88"/>
        <v>203.48513862195352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0.62816822664107996</v>
      </c>
      <c r="AA97" s="21">
        <f>EXP(-LN(2)/25)*AA96+(1-EXP(-LN(2)/25))/(LN(2)/25)*Calculateur!V97*Calculateur!X97*VLOOKUP('Données projet'!$B$9,Paramètres!$A$1:$I$89,3,0)*0.475*44/12</f>
        <v>3.3108823185625438</v>
      </c>
      <c r="AB97" s="21">
        <f>EXP(-LN(2)/2)*AB96+(1-EXP(-LN(2)/2))/(LN(2)/2)*V97*Y97*VLOOKUP('Données projet'!$B$9,Paramètres!$A$1:$I$89,3,0)*0.475*44/12</f>
        <v>2.0863051971159886E-9</v>
      </c>
      <c r="AC97" s="22">
        <f t="shared" si="57"/>
        <v>3.9390505472899289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11.242307692307691</v>
      </c>
      <c r="AI97" s="13">
        <f>IF('Données projet'!$A$62&gt;35,AI96+AH97-AQ96,IF(A97&lt;'Données projet'!$A$62,$AF$205^A97,IF(A97='Données projet'!$A$62,'Données projet'!$B$62,AI96+AH97-AQ96)))</f>
        <v>457.88076923076943</v>
      </c>
      <c r="AJ97" s="13">
        <f>AI97*VLOOKUP('Données projet'!$B$10,Paramètres!$A$1:$I$89,3,0)*VLOOKUP('Données projet'!$B$10,Paramètres!$A$1:$I$89,5,0)</f>
        <v>214.28820000000007</v>
      </c>
      <c r="AK97" s="13">
        <f t="shared" si="89"/>
        <v>52.871559993650941</v>
      </c>
      <c r="AL97" s="20">
        <f t="shared" si="58"/>
        <v>465.3032486556088</v>
      </c>
      <c r="AM97" s="59">
        <f t="shared" si="59"/>
        <v>758.63658198894211</v>
      </c>
      <c r="AN97" s="59">
        <f ca="1">AVERAGE(OFFSET($AM$3,0,0,'Données projet'!$E$10+1,1))-AVERAGE(OFFSET($H$3,0,0,'Données projet'!$E$10+1,1))</f>
        <v>158.58786357608489</v>
      </c>
      <c r="AO97" s="59">
        <f t="shared" si="90"/>
        <v>163.20074068819849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1.1368683772161603E-13</v>
      </c>
      <c r="O98" s="13">
        <f>N98*VLOOKUP('Données projet'!$B$9,Paramètres!$A$1:$I$89,3,0)*VLOOKUP('Données projet'!$B$9,Paramètres!$A$1:$I$89,5,0)</f>
        <v>6.3550942286383367E-14</v>
      </c>
      <c r="P98" s="13">
        <f t="shared" si="87"/>
        <v>1.0064464192543978E-12</v>
      </c>
      <c r="Q98" s="20">
        <f t="shared" si="54"/>
        <v>1.8635787380168604E-12</v>
      </c>
      <c r="R98" s="59">
        <f t="shared" si="55"/>
        <v>293.33333333333519</v>
      </c>
      <c r="S98" s="59">
        <f ca="1">AVERAGE(OFFSET($R$3,0,0,'Données projet'!$E$9+1,1))-AVERAGE(OFFSET($H$3,0,0,'Données projet'!$E$9+1,1))</f>
        <v>224.7049802939942</v>
      </c>
      <c r="T98" s="59">
        <f t="shared" si="88"/>
        <v>203.48513862195352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0.6158502308614342</v>
      </c>
      <c r="AA98" s="21">
        <f>EXP(-LN(2)/25)*AA97+(1-EXP(-LN(2)/25))/(LN(2)/25)*Calculateur!V98*Calculateur!X98*VLOOKUP('Données projet'!$B$9,Paramètres!$A$1:$I$89,3,0)*0.475*44/12</f>
        <v>3.2203460674497171</v>
      </c>
      <c r="AB98" s="21">
        <f>EXP(-LN(2)/2)*AB97+(1-EXP(-LN(2)/2))/(LN(2)/2)*V98*Y98*VLOOKUP('Données projet'!$B$9,Paramètres!$A$1:$I$89,3,0)*0.475*44/12</f>
        <v>1.4752405525054523E-9</v>
      </c>
      <c r="AC98" s="22">
        <f t="shared" si="57"/>
        <v>3.8361962997863914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469.12307692307689</v>
      </c>
      <c r="AG98" s="12">
        <f>VLOOKUP(A98,'Données projet'!$A$61:$I$81,9,0)</f>
        <v>11.242307692307691</v>
      </c>
      <c r="AH98" s="12">
        <f t="array" ref="AH98">INDEX(AG:AG,MIN(IF(ISNUMBER(AG98:AG294),ROW(AG98:AG294),"")))</f>
        <v>11.242307692307691</v>
      </c>
      <c r="AI98" s="13">
        <f>IF('Données projet'!$A$62&gt;35,AI97+AH98-AQ97,IF(A98&lt;'Données projet'!$A$62,$AF$205^A98,IF(A98='Données projet'!$A$62,'Données projet'!$B$62,AI97+AH98-AQ97)))</f>
        <v>469.12307692307712</v>
      </c>
      <c r="AJ98" s="13">
        <f>AI98*VLOOKUP('Données projet'!$B$10,Paramètres!$A$1:$I$89,3,0)*VLOOKUP('Données projet'!$B$10,Paramètres!$A$1:$I$89,5,0)</f>
        <v>219.54960000000008</v>
      </c>
      <c r="AK98" s="13">
        <f t="shared" si="89"/>
        <v>54.016981833057052</v>
      </c>
      <c r="AL98" s="20">
        <f t="shared" si="58"/>
        <v>476.46179669257441</v>
      </c>
      <c r="AM98" s="59">
        <f t="shared" si="59"/>
        <v>769.79513002590772</v>
      </c>
      <c r="AN98" s="59">
        <f ca="1">AVERAGE(OFFSET($AM$3,0,0,'Données projet'!$E$10+1,1))-AVERAGE(OFFSET($H$3,0,0,'Données projet'!$E$10+1,1))</f>
        <v>158.58786357608489</v>
      </c>
      <c r="AO98" s="59">
        <f t="shared" si="90"/>
        <v>163.20074068819849</v>
      </c>
      <c r="AP98" s="15">
        <f>IF(ISNA(VLOOKUP(A98,'Données projet'!$A$61:$I$81,3,0)),0,VLOOKUP(A98,'Données projet'!$A$61:$I$81,3,0))</f>
        <v>8</v>
      </c>
      <c r="AQ98" s="15">
        <f>IF(ISNA(VLOOKUP(A98,'Données projet'!$A$61:$I$81,4,0)),0,VLOOKUP(A98,'Données projet'!$A$61:$I$81,4,0))</f>
        <v>234.42307692307691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1.1368683772161603E-13</v>
      </c>
      <c r="O99" s="13">
        <f>N99*VLOOKUP('Données projet'!$B$9,Paramètres!$A$1:$I$89,3,0)*VLOOKUP('Données projet'!$B$9,Paramètres!$A$1:$I$89,5,0)</f>
        <v>6.3550942286383367E-14</v>
      </c>
      <c r="P99" s="13">
        <f t="shared" si="87"/>
        <v>1.0064464192543978E-12</v>
      </c>
      <c r="Q99" s="20">
        <f t="shared" ref="Q99:Q130" si="107">(O99+P99)*0.475*44/12</f>
        <v>1.8635787380168604E-12</v>
      </c>
      <c r="R99" s="59">
        <f t="shared" si="55"/>
        <v>293.33333333333519</v>
      </c>
      <c r="S99" s="59">
        <f ca="1">AVERAGE(OFFSET($R$3,0,0,'Données projet'!$E$9+1,1))-AVERAGE(OFFSET($H$3,0,0,'Données projet'!$E$9+1,1))</f>
        <v>224.7049802939942</v>
      </c>
      <c r="T99" s="59">
        <f t="shared" si="88"/>
        <v>203.48513862195352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0.6037737834657918</v>
      </c>
      <c r="AA99" s="21">
        <f>EXP(-LN(2)/25)*AA98+(1-EXP(-LN(2)/25))/(LN(2)/25)*Calculateur!V99*Calculateur!X99*VLOOKUP('Données projet'!$B$9,Paramètres!$A$1:$I$89,3,0)*0.475*44/12</f>
        <v>3.132285534884665</v>
      </c>
      <c r="AB99" s="21">
        <f>EXP(-LN(2)/2)*AB98+(1-EXP(-LN(2)/2))/(LN(2)/2)*V99*Y99*VLOOKUP('Données projet'!$B$9,Paramètres!$A$1:$I$89,3,0)*0.475*44/12</f>
        <v>1.0431525985579943E-9</v>
      </c>
      <c r="AC99" s="22">
        <f t="shared" si="57"/>
        <v>3.7360593193936094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7.5015384615384617</v>
      </c>
      <c r="AI99" s="13">
        <f>IF('Données projet'!$A$62&gt;35,AI98+AH99-AQ98,IF(A99&lt;'Données projet'!$A$62,$AF$205^A99,IF(A99='Données projet'!$A$62,'Données projet'!$B$62,AI98+AH99-AQ98)))</f>
        <v>242.20153846153869</v>
      </c>
      <c r="AJ99" s="13">
        <f>AI99*VLOOKUP('Données projet'!$B$10,Paramètres!$A$1:$I$89,3,0)*VLOOKUP('Données projet'!$B$10,Paramètres!$A$1:$I$89,5,0)</f>
        <v>113.35032000000011</v>
      </c>
      <c r="AK99" s="13">
        <f t="shared" si="89"/>
        <v>30.118962463528121</v>
      </c>
      <c r="AL99" s="20">
        <f t="shared" si="58"/>
        <v>249.87566695731167</v>
      </c>
      <c r="AM99" s="59">
        <f t="shared" si="59"/>
        <v>543.20900029064501</v>
      </c>
      <c r="AN99" s="59">
        <f ca="1">AVERAGE(OFFSET($AM$3,0,0,'Données projet'!$E$10+1,1))-AVERAGE(OFFSET($H$3,0,0,'Données projet'!$E$10+1,1))</f>
        <v>158.58786357608489</v>
      </c>
      <c r="AO99" s="59">
        <f t="shared" si="90"/>
        <v>163.20074068819849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1.1368683772161603E-13</v>
      </c>
      <c r="O100" s="13">
        <f>N100*VLOOKUP('Données projet'!$B$9,Paramètres!$A$1:$I$89,3,0)*VLOOKUP('Données projet'!$B$9,Paramètres!$A$1:$I$89,5,0)</f>
        <v>6.3550942286383367E-14</v>
      </c>
      <c r="P100" s="13">
        <f t="shared" si="87"/>
        <v>1.0064464192543978E-12</v>
      </c>
      <c r="Q100" s="20">
        <f t="shared" si="107"/>
        <v>1.8635787380168604E-12</v>
      </c>
      <c r="R100" s="59">
        <f t="shared" si="55"/>
        <v>293.33333333333519</v>
      </c>
      <c r="S100" s="59">
        <f ca="1">AVERAGE(OFFSET($R$3,0,0,'Données projet'!$E$9+1,1))-AVERAGE(OFFSET($H$3,0,0,'Données projet'!$E$9+1,1))</f>
        <v>224.7049802939942</v>
      </c>
      <c r="T100" s="59">
        <f t="shared" si="88"/>
        <v>203.48513862195352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0.59193414783767229</v>
      </c>
      <c r="AA100" s="21">
        <f>EXP(-LN(2)/25)*AA99+(1-EXP(-LN(2)/25))/(LN(2)/25)*Calculateur!V100*Calculateur!X100*VLOOKUP('Données projet'!$B$9,Paramètres!$A$1:$I$89,3,0)*0.475*44/12</f>
        <v>3.0466330222135065</v>
      </c>
      <c r="AB100" s="21">
        <f>EXP(-LN(2)/2)*AB99+(1-EXP(-LN(2)/2))/(LN(2)/2)*V100*Y100*VLOOKUP('Données projet'!$B$9,Paramètres!$A$1:$I$89,3,0)*0.475*44/12</f>
        <v>7.3762027625272613E-10</v>
      </c>
      <c r="AC100" s="22">
        <f t="shared" si="57"/>
        <v>3.6385671707887988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7.5015384615384617</v>
      </c>
      <c r="AI100" s="13">
        <f>IF('Données projet'!$A$62&gt;35,AI99+AH100-AQ99,IF(A100&lt;'Données projet'!$A$62,$AF$205^A100,IF(A100='Données projet'!$A$62,'Données projet'!$B$62,AI99+AH100-AQ99)))</f>
        <v>249.70307692307716</v>
      </c>
      <c r="AJ100" s="13">
        <f>AI100*VLOOKUP('Données projet'!$B$10,Paramètres!$A$1:$I$89,3,0)*VLOOKUP('Données projet'!$B$10,Paramètres!$A$1:$I$89,5,0)</f>
        <v>116.86104000000012</v>
      </c>
      <c r="AK100" s="13">
        <f t="shared" si="89"/>
        <v>30.941762857231797</v>
      </c>
      <c r="AL100" s="20">
        <f t="shared" si="58"/>
        <v>257.42321497634555</v>
      </c>
      <c r="AM100" s="59">
        <f t="shared" si="59"/>
        <v>550.75654830967892</v>
      </c>
      <c r="AN100" s="59">
        <f ca="1">AVERAGE(OFFSET($AM$3,0,0,'Données projet'!$E$10+1,1))-AVERAGE(OFFSET($H$3,0,0,'Données projet'!$E$10+1,1))</f>
        <v>158.58786357608489</v>
      </c>
      <c r="AO100" s="59">
        <f t="shared" si="90"/>
        <v>163.20074068819849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1.1368683772161603E-13</v>
      </c>
      <c r="O101" s="13">
        <f>N101*VLOOKUP('Données projet'!$B$9,Paramètres!$A$1:$I$89,3,0)*VLOOKUP('Données projet'!$B$9,Paramètres!$A$1:$I$89,5,0)</f>
        <v>6.3550942286383367E-14</v>
      </c>
      <c r="P101" s="13">
        <f t="shared" si="87"/>
        <v>1.0064464192543978E-12</v>
      </c>
      <c r="Q101" s="20">
        <f t="shared" si="107"/>
        <v>1.8635787380168604E-12</v>
      </c>
      <c r="R101" s="59">
        <f t="shared" si="55"/>
        <v>293.33333333333519</v>
      </c>
      <c r="S101" s="59">
        <f ca="1">AVERAGE(OFFSET($R$3,0,0,'Données projet'!$E$9+1,1))-AVERAGE(OFFSET($H$3,0,0,'Données projet'!$E$9+1,1))</f>
        <v>224.7049802939942</v>
      </c>
      <c r="T101" s="59">
        <f t="shared" si="88"/>
        <v>203.48513862195352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0.58032668024275558</v>
      </c>
      <c r="AA101" s="21">
        <f>EXP(-LN(2)/25)*AA100+(1-EXP(-LN(2)/25))/(LN(2)/25)*Calculateur!V101*Calculateur!X101*VLOOKUP('Données projet'!$B$9,Paramètres!$A$1:$I$89,3,0)*0.475*44/12</f>
        <v>2.9633226820056109</v>
      </c>
      <c r="AB101" s="21">
        <f>EXP(-LN(2)/2)*AB100+(1-EXP(-LN(2)/2))/(LN(2)/2)*V101*Y101*VLOOKUP('Données projet'!$B$9,Paramètres!$A$1:$I$89,3,0)*0.475*44/12</f>
        <v>5.2157629927899715E-10</v>
      </c>
      <c r="AC101" s="22">
        <f t="shared" si="57"/>
        <v>3.5436493627699428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7.5015384615384617</v>
      </c>
      <c r="AI101" s="13">
        <f>IF('Données projet'!$A$62&gt;35,AI100+AH101-AQ100,IF(A101&lt;'Données projet'!$A$62,$AF$205^A101,IF(A101='Données projet'!$A$62,'Données projet'!$B$62,AI100+AH101-AQ100)))</f>
        <v>257.20461538461564</v>
      </c>
      <c r="AJ101" s="13">
        <f>AI101*VLOOKUP('Données projet'!$B$10,Paramètres!$A$1:$I$89,3,0)*VLOOKUP('Données projet'!$B$10,Paramètres!$A$1:$I$89,5,0)</f>
        <v>120.37176000000012</v>
      </c>
      <c r="AK101" s="13">
        <f t="shared" si="89"/>
        <v>31.761690593555869</v>
      </c>
      <c r="AL101" s="20">
        <f t="shared" si="58"/>
        <v>264.96575978377672</v>
      </c>
      <c r="AM101" s="59">
        <f t="shared" si="59"/>
        <v>558.29909311711003</v>
      </c>
      <c r="AN101" s="59">
        <f ca="1">AVERAGE(OFFSET($AM$3,0,0,'Données projet'!$E$10+1,1))-AVERAGE(OFFSET($H$3,0,0,'Données projet'!$E$10+1,1))</f>
        <v>158.58786357608489</v>
      </c>
      <c r="AO101" s="59">
        <f t="shared" si="90"/>
        <v>163.20074068819849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1.1368683772161603E-13</v>
      </c>
      <c r="O102" s="13">
        <f>N102*VLOOKUP('Données projet'!$B$9,Paramètres!$A$1:$I$89,3,0)*VLOOKUP('Données projet'!$B$9,Paramètres!$A$1:$I$89,5,0)</f>
        <v>6.3550942286383367E-14</v>
      </c>
      <c r="P102" s="13">
        <f t="shared" si="87"/>
        <v>1.0064464192543978E-12</v>
      </c>
      <c r="Q102" s="20">
        <f t="shared" si="107"/>
        <v>1.8635787380168604E-12</v>
      </c>
      <c r="R102" s="59">
        <f t="shared" si="55"/>
        <v>293.33333333333519</v>
      </c>
      <c r="S102" s="59">
        <f ca="1">AVERAGE(OFFSET($R$3,0,0,'Données projet'!$E$9+1,1))-AVERAGE(OFFSET($H$3,0,0,'Données projet'!$E$9+1,1))</f>
        <v>224.7049802939942</v>
      </c>
      <c r="T102" s="59">
        <f t="shared" si="88"/>
        <v>203.48513862195352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0.56894682800751906</v>
      </c>
      <c r="AA102" s="21">
        <f>EXP(-LN(2)/25)*AA101+(1-EXP(-LN(2)/25))/(LN(2)/25)*Calculateur!V102*Calculateur!X102*VLOOKUP('Données projet'!$B$9,Paramètres!$A$1:$I$89,3,0)*0.475*44/12</f>
        <v>2.8822904674318002</v>
      </c>
      <c r="AB102" s="21">
        <f>EXP(-LN(2)/2)*AB101+(1-EXP(-LN(2)/2))/(LN(2)/2)*V102*Y102*VLOOKUP('Données projet'!$B$9,Paramètres!$A$1:$I$89,3,0)*0.475*44/12</f>
        <v>3.6881013812636306E-10</v>
      </c>
      <c r="AC102" s="22">
        <f t="shared" si="57"/>
        <v>3.4512372958081294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7.5015384615384617</v>
      </c>
      <c r="AI102" s="13">
        <f>IF('Données projet'!$A$62&gt;35,AI101+AH102-AQ101,IF(A102&lt;'Données projet'!$A$62,$AF$205^A102,IF(A102='Données projet'!$A$62,'Données projet'!$B$62,AI101+AH102-AQ101)))</f>
        <v>264.70615384615411</v>
      </c>
      <c r="AJ102" s="13">
        <f>AI102*VLOOKUP('Données projet'!$B$10,Paramètres!$A$1:$I$89,3,0)*VLOOKUP('Données projet'!$B$10,Paramètres!$A$1:$I$89,5,0)</f>
        <v>123.88248000000011</v>
      </c>
      <c r="AK102" s="13">
        <f t="shared" si="89"/>
        <v>32.578839075986679</v>
      </c>
      <c r="AL102" s="20">
        <f t="shared" si="58"/>
        <v>272.50346405734365</v>
      </c>
      <c r="AM102" s="59">
        <f t="shared" si="59"/>
        <v>565.83679739067702</v>
      </c>
      <c r="AN102" s="59">
        <f ca="1">AVERAGE(OFFSET($AM$3,0,0,'Données projet'!$E$10+1,1))-AVERAGE(OFFSET($H$3,0,0,'Données projet'!$E$10+1,1))</f>
        <v>158.58786357608489</v>
      </c>
      <c r="AO102" s="59">
        <f t="shared" si="90"/>
        <v>163.20074068819849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1.1368683772161603E-13</v>
      </c>
      <c r="O103" s="13">
        <f>N103*VLOOKUP('Données projet'!$B$9,Paramètres!$A$1:$I$89,3,0)*VLOOKUP('Données projet'!$B$9,Paramètres!$A$1:$I$89,5,0)</f>
        <v>6.3550942286383367E-14</v>
      </c>
      <c r="P103" s="13">
        <f t="shared" si="87"/>
        <v>1.0064464192543978E-12</v>
      </c>
      <c r="Q103" s="20">
        <f t="shared" si="107"/>
        <v>1.8635787380168604E-12</v>
      </c>
      <c r="R103" s="59">
        <f t="shared" si="55"/>
        <v>293.33333333333519</v>
      </c>
      <c r="S103" s="59">
        <f ca="1">AVERAGE(OFFSET($R$3,0,0,'Données projet'!$E$9+1,1))-AVERAGE(OFFSET($H$3,0,0,'Données projet'!$E$9+1,1))</f>
        <v>224.7049802939942</v>
      </c>
      <c r="T103" s="59">
        <f t="shared" si="88"/>
        <v>203.48513862195352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0.55779012773359093</v>
      </c>
      <c r="AA103" s="21">
        <f>EXP(-LN(2)/25)*AA102+(1-EXP(-LN(2)/25))/(LN(2)/25)*Calculateur!V103*Calculateur!X103*VLOOKUP('Données projet'!$B$9,Paramètres!$A$1:$I$89,3,0)*0.475*44/12</f>
        <v>2.8034740830268094</v>
      </c>
      <c r="AB103" s="21">
        <f>EXP(-LN(2)/2)*AB102+(1-EXP(-LN(2)/2))/(LN(2)/2)*V103*Y103*VLOOKUP('Données projet'!$B$9,Paramètres!$A$1:$I$89,3,0)*0.475*44/12</f>
        <v>2.6078814963949858E-10</v>
      </c>
      <c r="AC103" s="22">
        <f t="shared" si="57"/>
        <v>3.3612642110211888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7.5015384615384617</v>
      </c>
      <c r="AI103" s="13">
        <f>IF('Données projet'!$A$62&gt;35,AI102+AH103-AQ102,IF(A103&lt;'Données projet'!$A$62,$AF$205^A103,IF(A103='Données projet'!$A$62,'Données projet'!$B$62,AI102+AH103-AQ102)))</f>
        <v>272.20769230769258</v>
      </c>
      <c r="AJ103" s="13">
        <f>AI103*VLOOKUP('Données projet'!$B$10,Paramètres!$A$1:$I$89,3,0)*VLOOKUP('Données projet'!$B$10,Paramètres!$A$1:$I$89,5,0)</f>
        <v>127.39320000000012</v>
      </c>
      <c r="AK103" s="13">
        <f t="shared" si="89"/>
        <v>33.393296112922592</v>
      </c>
      <c r="AL103" s="20">
        <f t="shared" si="58"/>
        <v>280.03648073000704</v>
      </c>
      <c r="AM103" s="59">
        <f t="shared" si="59"/>
        <v>573.3698140633403</v>
      </c>
      <c r="AN103" s="59">
        <f ca="1">AVERAGE(OFFSET($AM$3,0,0,'Données projet'!$E$10+1,1))-AVERAGE(OFFSET($H$3,0,0,'Données projet'!$E$10+1,1))</f>
        <v>158.58786357608489</v>
      </c>
      <c r="AO103" s="59">
        <f t="shared" si="90"/>
        <v>163.20074068819849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1.1368683772161603E-13</v>
      </c>
      <c r="O104" s="13">
        <f>N104*VLOOKUP('Données projet'!$B$9,Paramètres!$A$1:$I$89,3,0)*VLOOKUP('Données projet'!$B$9,Paramètres!$A$1:$I$89,5,0)</f>
        <v>6.3550942286383367E-14</v>
      </c>
      <c r="P104" s="13">
        <f t="shared" si="87"/>
        <v>1.0064464192543978E-12</v>
      </c>
      <c r="Q104" s="20">
        <f t="shared" si="107"/>
        <v>1.8635787380168604E-12</v>
      </c>
      <c r="R104" s="59">
        <f t="shared" si="55"/>
        <v>293.33333333333519</v>
      </c>
      <c r="S104" s="59">
        <f ca="1">AVERAGE(OFFSET($R$3,0,0,'Données projet'!$E$9+1,1))-AVERAGE(OFFSET($H$3,0,0,'Données projet'!$E$9+1,1))</f>
        <v>224.7049802939942</v>
      </c>
      <c r="T104" s="59">
        <f t="shared" si="88"/>
        <v>203.48513862195352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0.54685220354711939</v>
      </c>
      <c r="AA104" s="21">
        <f>EXP(-LN(2)/25)*AA103+(1-EXP(-LN(2)/25))/(LN(2)/25)*Calculateur!V104*Calculateur!X104*VLOOKUP('Données projet'!$B$9,Paramètres!$A$1:$I$89,3,0)*0.475*44/12</f>
        <v>2.7268129367981468</v>
      </c>
      <c r="AB104" s="21">
        <f>EXP(-LN(2)/2)*AB103+(1-EXP(-LN(2)/2))/(LN(2)/2)*V104*Y104*VLOOKUP('Données projet'!$B$9,Paramètres!$A$1:$I$89,3,0)*0.475*44/12</f>
        <v>1.8440506906318153E-10</v>
      </c>
      <c r="AC104" s="22">
        <f t="shared" si="57"/>
        <v>3.2736651405296713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7.5015384615384617</v>
      </c>
      <c r="AI104" s="13">
        <f>IF('Données projet'!$A$62&gt;35,AI103+AH104-AQ103,IF(A104&lt;'Données projet'!$A$62,$AF$205^A104,IF(A104='Données projet'!$A$62,'Données projet'!$B$62,AI103+AH104-AQ103)))</f>
        <v>279.70923076923106</v>
      </c>
      <c r="AJ104" s="13">
        <f>AI104*VLOOKUP('Données projet'!$B$10,Paramètres!$A$1:$I$89,3,0)*VLOOKUP('Données projet'!$B$10,Paramètres!$A$1:$I$89,5,0)</f>
        <v>130.90392000000014</v>
      </c>
      <c r="AK104" s="13">
        <f t="shared" si="89"/>
        <v>34.205144397668505</v>
      </c>
      <c r="AL104" s="20">
        <f t="shared" si="58"/>
        <v>287.56495382593954</v>
      </c>
      <c r="AM104" s="59">
        <f t="shared" si="59"/>
        <v>580.89828715927285</v>
      </c>
      <c r="AN104" s="59">
        <f ca="1">AVERAGE(OFFSET($AM$3,0,0,'Données projet'!$E$10+1,1))-AVERAGE(OFFSET($H$3,0,0,'Données projet'!$E$10+1,1))</f>
        <v>158.58786357608489</v>
      </c>
      <c r="AO104" s="59">
        <f t="shared" si="90"/>
        <v>163.20074068819849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1.1368683772161603E-13</v>
      </c>
      <c r="O105" s="13">
        <f>N105*VLOOKUP('Données projet'!$B$9,Paramètres!$A$1:$I$89,3,0)*VLOOKUP('Données projet'!$B$9,Paramètres!$A$1:$I$89,5,0)</f>
        <v>6.3550942286383367E-14</v>
      </c>
      <c r="P105" s="13">
        <f t="shared" si="87"/>
        <v>1.0064464192543978E-12</v>
      </c>
      <c r="Q105" s="20">
        <f t="shared" si="107"/>
        <v>1.8635787380168604E-12</v>
      </c>
      <c r="R105" s="59">
        <f t="shared" si="55"/>
        <v>293.33333333333519</v>
      </c>
      <c r="S105" s="59">
        <f ca="1">AVERAGE(OFFSET($R$3,0,0,'Données projet'!$E$9+1,1))-AVERAGE(OFFSET($H$3,0,0,'Données projet'!$E$9+1,1))</f>
        <v>224.7049802939942</v>
      </c>
      <c r="T105" s="59">
        <f t="shared" si="88"/>
        <v>203.48513862195352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0.53612876538246956</v>
      </c>
      <c r="AA105" s="21">
        <f>EXP(-LN(2)/25)*AA104+(1-EXP(-LN(2)/25))/(LN(2)/25)*Calculateur!V105*Calculateur!X105*VLOOKUP('Données projet'!$B$9,Paramètres!$A$1:$I$89,3,0)*0.475*44/12</f>
        <v>2.6522480936445412</v>
      </c>
      <c r="AB105" s="21">
        <f>EXP(-LN(2)/2)*AB104+(1-EXP(-LN(2)/2))/(LN(2)/2)*V105*Y105*VLOOKUP('Données projet'!$B$9,Paramètres!$A$1:$I$89,3,0)*0.475*44/12</f>
        <v>1.3039407481974929E-10</v>
      </c>
      <c r="AC105" s="22">
        <f t="shared" si="57"/>
        <v>3.1883768591574047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7.5015384615384617</v>
      </c>
      <c r="AI105" s="13">
        <f>IF('Données projet'!$A$62&gt;35,AI104+AH105-AQ104,IF(A105&lt;'Données projet'!$A$62,$AF$205^A105,IF(A105='Données projet'!$A$62,'Données projet'!$B$62,AI104+AH105-AQ104)))</f>
        <v>287.21076923076953</v>
      </c>
      <c r="AJ105" s="13">
        <f>AI105*VLOOKUP('Données projet'!$B$10,Paramètres!$A$1:$I$89,3,0)*VLOOKUP('Données projet'!$B$10,Paramètres!$A$1:$I$89,5,0)</f>
        <v>134.41464000000013</v>
      </c>
      <c r="AK105" s="13">
        <f t="shared" si="89"/>
        <v>35.014461935490388</v>
      </c>
      <c r="AL105" s="20">
        <f t="shared" si="58"/>
        <v>295.08901920431265</v>
      </c>
      <c r="AM105" s="59">
        <f t="shared" si="59"/>
        <v>588.42235253764602</v>
      </c>
      <c r="AN105" s="59">
        <f ca="1">AVERAGE(OFFSET($AM$3,0,0,'Données projet'!$E$10+1,1))-AVERAGE(OFFSET($H$3,0,0,'Données projet'!$E$10+1,1))</f>
        <v>158.58786357608489</v>
      </c>
      <c r="AO105" s="59">
        <f t="shared" si="90"/>
        <v>163.20074068819849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1.1368683772161603E-13</v>
      </c>
      <c r="O106" s="13">
        <f>N106*VLOOKUP('Données projet'!$B$9,Paramètres!$A$1:$I$89,3,0)*VLOOKUP('Données projet'!$B$9,Paramètres!$A$1:$I$89,5,0)</f>
        <v>6.3550942286383367E-14</v>
      </c>
      <c r="P106" s="13">
        <f t="shared" si="87"/>
        <v>1.0064464192543978E-12</v>
      </c>
      <c r="Q106" s="20">
        <f t="shared" si="107"/>
        <v>1.8635787380168604E-12</v>
      </c>
      <c r="R106" s="59">
        <f t="shared" si="55"/>
        <v>293.33333333333519</v>
      </c>
      <c r="S106" s="59">
        <f ca="1">AVERAGE(OFFSET($R$3,0,0,'Données projet'!$E$9+1,1))-AVERAGE(OFFSET($H$3,0,0,'Données projet'!$E$9+1,1))</f>
        <v>224.7049802939942</v>
      </c>
      <c r="T106" s="59">
        <f t="shared" si="88"/>
        <v>203.48513862195352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0.52561560729957701</v>
      </c>
      <c r="AA106" s="21">
        <f>EXP(-LN(2)/25)*AA105+(1-EXP(-LN(2)/25))/(LN(2)/25)*Calculateur!V106*Calculateur!X106*VLOOKUP('Données projet'!$B$9,Paramètres!$A$1:$I$89,3,0)*0.475*44/12</f>
        <v>2.5797222300481657</v>
      </c>
      <c r="AB106" s="21">
        <f>EXP(-LN(2)/2)*AB105+(1-EXP(-LN(2)/2))/(LN(2)/2)*V106*Y106*VLOOKUP('Données projet'!$B$9,Paramètres!$A$1:$I$89,3,0)*0.475*44/12</f>
        <v>9.2202534531590766E-11</v>
      </c>
      <c r="AC106" s="22">
        <f t="shared" si="57"/>
        <v>3.1053378374399454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7.5015384615384617</v>
      </c>
      <c r="AI106" s="13">
        <f>IF('Données projet'!$A$62&gt;35,AI105+AH106-AQ105,IF(A106&lt;'Données projet'!$A$62,$AF$205^A106,IF(A106='Données projet'!$A$62,'Données projet'!$B$62,AI105+AH106-AQ105)))</f>
        <v>294.712307692308</v>
      </c>
      <c r="AJ106" s="13">
        <f>AI106*VLOOKUP('Données projet'!$B$10,Paramètres!$A$1:$I$89,3,0)*VLOOKUP('Données projet'!$B$10,Paramètres!$A$1:$I$89,5,0)</f>
        <v>137.92536000000015</v>
      </c>
      <c r="AK106" s="13">
        <f t="shared" si="89"/>
        <v>35.82132242479814</v>
      </c>
      <c r="AL106" s="20">
        <f t="shared" si="58"/>
        <v>302.6088052231903</v>
      </c>
      <c r="AM106" s="59">
        <f t="shared" si="59"/>
        <v>595.94213855652356</v>
      </c>
      <c r="AN106" s="59">
        <f ca="1">AVERAGE(OFFSET($AM$3,0,0,'Données projet'!$E$10+1,1))-AVERAGE(OFFSET($H$3,0,0,'Données projet'!$E$10+1,1))</f>
        <v>158.58786357608489</v>
      </c>
      <c r="AO106" s="59">
        <f t="shared" si="90"/>
        <v>163.20074068819849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1.1368683772161603E-13</v>
      </c>
      <c r="O107" s="13">
        <f>N107*VLOOKUP('Données projet'!$B$9,Paramètres!$A$1:$I$89,3,0)*VLOOKUP('Données projet'!$B$9,Paramètres!$A$1:$I$89,5,0)</f>
        <v>6.3550942286383367E-14</v>
      </c>
      <c r="P107" s="13">
        <f t="shared" si="87"/>
        <v>1.0064464192543978E-12</v>
      </c>
      <c r="Q107" s="20">
        <f t="shared" si="107"/>
        <v>1.8635787380168604E-12</v>
      </c>
      <c r="R107" s="59">
        <f t="shared" si="55"/>
        <v>293.33333333333519</v>
      </c>
      <c r="S107" s="59">
        <f ca="1">AVERAGE(OFFSET($R$3,0,0,'Données projet'!$E$9+1,1))-AVERAGE(OFFSET($H$3,0,0,'Données projet'!$E$9+1,1))</f>
        <v>224.7049802939942</v>
      </c>
      <c r="T107" s="59">
        <f t="shared" si="88"/>
        <v>203.48513862195352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0.51530860583429672</v>
      </c>
      <c r="AA107" s="21">
        <f>EXP(-LN(2)/25)*AA106+(1-EXP(-LN(2)/25))/(LN(2)/25)*Calculateur!V107*Calculateur!X107*VLOOKUP('Données projet'!$B$9,Paramètres!$A$1:$I$89,3,0)*0.475*44/12</f>
        <v>2.5091795900058025</v>
      </c>
      <c r="AB107" s="21">
        <f>EXP(-LN(2)/2)*AB106+(1-EXP(-LN(2)/2))/(LN(2)/2)*V107*Y107*VLOOKUP('Données projet'!$B$9,Paramètres!$A$1:$I$89,3,0)*0.475*44/12</f>
        <v>6.5197037409874644E-11</v>
      </c>
      <c r="AC107" s="22">
        <f t="shared" si="57"/>
        <v>3.0244881959052963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7.5015384615384617</v>
      </c>
      <c r="AI107" s="13">
        <f>IF('Données projet'!$A$62&gt;35,AI106+AH107-AQ106,IF(A107&lt;'Données projet'!$A$62,$AF$205^A107,IF(A107='Données projet'!$A$62,'Données projet'!$B$62,AI106+AH107-AQ106)))</f>
        <v>302.21384615384648</v>
      </c>
      <c r="AJ107" s="13">
        <f>AI107*VLOOKUP('Données projet'!$B$10,Paramètres!$A$1:$I$89,3,0)*VLOOKUP('Données projet'!$B$10,Paramètres!$A$1:$I$89,5,0)</f>
        <v>141.43608000000015</v>
      </c>
      <c r="AK107" s="13">
        <f t="shared" si="89"/>
        <v>36.625795598426585</v>
      </c>
      <c r="AL107" s="20">
        <f t="shared" si="58"/>
        <v>310.12443333392656</v>
      </c>
      <c r="AM107" s="59">
        <f t="shared" si="59"/>
        <v>603.45776666725988</v>
      </c>
      <c r="AN107" s="59">
        <f ca="1">AVERAGE(OFFSET($AM$3,0,0,'Données projet'!$E$10+1,1))-AVERAGE(OFFSET($H$3,0,0,'Données projet'!$E$10+1,1))</f>
        <v>158.58786357608489</v>
      </c>
      <c r="AO107" s="59">
        <f t="shared" si="90"/>
        <v>163.20074068819849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1.1368683772161603E-13</v>
      </c>
      <c r="O108" s="13">
        <f>N108*VLOOKUP('Données projet'!$B$9,Paramètres!$A$1:$I$89,3,0)*VLOOKUP('Données projet'!$B$9,Paramètres!$A$1:$I$89,5,0)</f>
        <v>6.3550942286383367E-14</v>
      </c>
      <c r="P108" s="13">
        <f t="shared" si="87"/>
        <v>1.0064464192543978E-12</v>
      </c>
      <c r="Q108" s="20">
        <f t="shared" si="107"/>
        <v>1.8635787380168604E-12</v>
      </c>
      <c r="R108" s="59">
        <f t="shared" si="55"/>
        <v>293.33333333333519</v>
      </c>
      <c r="S108" s="59">
        <f ca="1">AVERAGE(OFFSET($R$3,0,0,'Données projet'!$E$9+1,1))-AVERAGE(OFFSET($H$3,0,0,'Données projet'!$E$9+1,1))</f>
        <v>224.7049802939942</v>
      </c>
      <c r="T108" s="59">
        <f t="shared" si="88"/>
        <v>203.48513862195352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0.50520371838110045</v>
      </c>
      <c r="AA108" s="21">
        <f>EXP(-LN(2)/25)*AA107+(1-EXP(-LN(2)/25))/(LN(2)/25)*Calculateur!V108*Calculateur!X108*VLOOKUP('Données projet'!$B$9,Paramètres!$A$1:$I$89,3,0)*0.475*44/12</f>
        <v>2.4405659421650738</v>
      </c>
      <c r="AB108" s="21">
        <f>EXP(-LN(2)/2)*AB107+(1-EXP(-LN(2)/2))/(LN(2)/2)*V108*Y108*VLOOKUP('Données projet'!$B$9,Paramètres!$A$1:$I$89,3,0)*0.475*44/12</f>
        <v>4.6101267265795383E-11</v>
      </c>
      <c r="AC108" s="22">
        <f t="shared" si="57"/>
        <v>2.9457696605922759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309.71538461538461</v>
      </c>
      <c r="AG108" s="12">
        <f>VLOOKUP(A108,'Données projet'!$A$61:$I$81,9,0)</f>
        <v>7.5015384615384617</v>
      </c>
      <c r="AH108" s="12">
        <f t="array" ref="AH108">INDEX(AG:AG,MIN(IF(ISNUMBER(AG108:AG304),ROW(AG108:AG304),"")))</f>
        <v>7.5015384615384617</v>
      </c>
      <c r="AI108" s="13">
        <f>IF('Données projet'!$A$62&gt;35,AI107+AH108-AQ107,IF(A108&lt;'Données projet'!$A$62,$AF$205^A108,IF(A108='Données projet'!$A$62,'Données projet'!$B$62,AI107+AH108-AQ107)))</f>
        <v>309.71538461538495</v>
      </c>
      <c r="AJ108" s="13">
        <f>AI108*VLOOKUP('Données projet'!$B$10,Paramètres!$A$1:$I$89,3,0)*VLOOKUP('Données projet'!$B$10,Paramètres!$A$1:$I$89,5,0)</f>
        <v>144.94680000000017</v>
      </c>
      <c r="AK108" s="13">
        <f t="shared" si="89"/>
        <v>37.427947530076956</v>
      </c>
      <c r="AL108" s="20">
        <f t="shared" si="58"/>
        <v>317.63601861488428</v>
      </c>
      <c r="AM108" s="59">
        <f t="shared" si="59"/>
        <v>610.96935194821754</v>
      </c>
      <c r="AN108" s="59">
        <f ca="1">AVERAGE(OFFSET($AM$3,0,0,'Données projet'!$E$10+1,1))-AVERAGE(OFFSET($H$3,0,0,'Données projet'!$E$10+1,1))</f>
        <v>158.58786357608489</v>
      </c>
      <c r="AO108" s="59">
        <f t="shared" si="90"/>
        <v>163.20074068819849</v>
      </c>
      <c r="AP108" s="15">
        <f>IF(ISNA(VLOOKUP(A108,'Données projet'!$A$61:$I$81,3,0)),0,VLOOKUP(A108,'Données projet'!$A$61:$I$81,3,0))</f>
        <v>9</v>
      </c>
      <c r="AQ108" s="15">
        <f>IF(ISNA(VLOOKUP(A108,'Données projet'!$A$61:$I$81,4,0)),0,VLOOKUP(A108,'Données projet'!$A$61:$I$81,4,0))</f>
        <v>309.71538461538461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1.1368683772161603E-13</v>
      </c>
      <c r="O109" s="13">
        <f>N109*VLOOKUP('Données projet'!$B$9,Paramètres!$A$1:$I$89,3,0)*VLOOKUP('Données projet'!$B$9,Paramètres!$A$1:$I$89,5,0)</f>
        <v>6.3550942286383367E-14</v>
      </c>
      <c r="P109" s="13">
        <f t="shared" si="87"/>
        <v>1.0064464192543978E-12</v>
      </c>
      <c r="Q109" s="20">
        <f t="shared" si="107"/>
        <v>1.8635787380168604E-12</v>
      </c>
      <c r="R109" s="59">
        <f t="shared" si="55"/>
        <v>293.33333333333519</v>
      </c>
      <c r="S109" s="59">
        <f ca="1">AVERAGE(OFFSET($R$3,0,0,'Données projet'!$E$9+1,1))-AVERAGE(OFFSET($H$3,0,0,'Données projet'!$E$9+1,1))</f>
        <v>224.7049802939942</v>
      </c>
      <c r="T109" s="59">
        <f t="shared" si="88"/>
        <v>203.48513862195352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0.49529698160748858</v>
      </c>
      <c r="AA109" s="21">
        <f>EXP(-LN(2)/25)*AA108+(1-EXP(-LN(2)/25))/(LN(2)/25)*Calculateur!V109*Calculateur!X109*VLOOKUP('Données projet'!$B$9,Paramètres!$A$1:$I$89,3,0)*0.475*44/12</f>
        <v>2.373828538132785</v>
      </c>
      <c r="AB109" s="21">
        <f>EXP(-LN(2)/2)*AB108+(1-EXP(-LN(2)/2))/(LN(2)/2)*V109*Y109*VLOOKUP('Données projet'!$B$9,Paramètres!$A$1:$I$89,3,0)*0.475*44/12</f>
        <v>3.2598518704937322E-11</v>
      </c>
      <c r="AC109" s="22">
        <f t="shared" si="57"/>
        <v>2.8691255197728718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3.4106051316484809E-13</v>
      </c>
      <c r="AJ109" s="13">
        <f>AI109*VLOOKUP('Données projet'!$B$10,Paramètres!$A$1:$I$89,3,0)*VLOOKUP('Données projet'!$B$10,Paramètres!$A$1:$I$89,5,0)</f>
        <v>1.5961632016114892E-13</v>
      </c>
      <c r="AK109" s="13">
        <f t="shared" si="89"/>
        <v>2.2708641912150958E-12</v>
      </c>
      <c r="AL109" s="20">
        <f t="shared" si="58"/>
        <v>4.2330868906469593E-12</v>
      </c>
      <c r="AM109" s="59">
        <f t="shared" si="59"/>
        <v>293.33333333333752</v>
      </c>
      <c r="AN109" s="59">
        <f ca="1">AVERAGE(OFFSET($AM$3,0,0,'Données projet'!$E$10+1,1))-AVERAGE(OFFSET($H$3,0,0,'Données projet'!$E$10+1,1))</f>
        <v>158.58786357608489</v>
      </c>
      <c r="AO109" s="59">
        <f t="shared" si="90"/>
        <v>163.20074068819849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1.1368683772161603E-13</v>
      </c>
      <c r="O110" s="13">
        <f>N110*VLOOKUP('Données projet'!$B$9,Paramètres!$A$1:$I$89,3,0)*VLOOKUP('Données projet'!$B$9,Paramètres!$A$1:$I$89,5,0)</f>
        <v>6.3550942286383367E-14</v>
      </c>
      <c r="P110" s="13">
        <f t="shared" si="87"/>
        <v>1.0064464192543978E-12</v>
      </c>
      <c r="Q110" s="20">
        <f t="shared" si="107"/>
        <v>1.8635787380168604E-12</v>
      </c>
      <c r="R110" s="59">
        <f t="shared" si="55"/>
        <v>293.33333333333519</v>
      </c>
      <c r="S110" s="59">
        <f ca="1">AVERAGE(OFFSET($R$3,0,0,'Données projet'!$E$9+1,1))-AVERAGE(OFFSET($H$3,0,0,'Données projet'!$E$9+1,1))</f>
        <v>224.7049802939942</v>
      </c>
      <c r="T110" s="59">
        <f t="shared" si="88"/>
        <v>203.48513862195352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0.48558450989949448</v>
      </c>
      <c r="AA110" s="21">
        <f>EXP(-LN(2)/25)*AA109+(1-EXP(-LN(2)/25))/(LN(2)/25)*Calculateur!V110*Calculateur!X110*VLOOKUP('Données projet'!$B$9,Paramètres!$A$1:$I$89,3,0)*0.475*44/12</f>
        <v>2.3089160719233268</v>
      </c>
      <c r="AB110" s="21">
        <f>EXP(-LN(2)/2)*AB109+(1-EXP(-LN(2)/2))/(LN(2)/2)*V110*Y110*VLOOKUP('Données projet'!$B$9,Paramètres!$A$1:$I$89,3,0)*0.475*44/12</f>
        <v>2.3050633632897691E-11</v>
      </c>
      <c r="AC110" s="22">
        <f t="shared" si="57"/>
        <v>2.7945005818458717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3.4106051316484809E-13</v>
      </c>
      <c r="AJ110" s="13">
        <f>AI110*VLOOKUP('Données projet'!$B$10,Paramètres!$A$1:$I$89,3,0)*VLOOKUP('Données projet'!$B$10,Paramètres!$A$1:$I$89,5,0)</f>
        <v>1.5961632016114892E-13</v>
      </c>
      <c r="AK110" s="13">
        <f t="shared" si="89"/>
        <v>2.2708641912150958E-12</v>
      </c>
      <c r="AL110" s="20">
        <f t="shared" si="58"/>
        <v>4.2330868906469593E-12</v>
      </c>
      <c r="AM110" s="59">
        <f t="shared" si="59"/>
        <v>293.33333333333752</v>
      </c>
      <c r="AN110" s="59">
        <f ca="1">AVERAGE(OFFSET($AM$3,0,0,'Données projet'!$E$10+1,1))-AVERAGE(OFFSET($H$3,0,0,'Données projet'!$E$10+1,1))</f>
        <v>158.58786357608489</v>
      </c>
      <c r="AO110" s="59">
        <f t="shared" si="90"/>
        <v>163.20074068819849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1.1368683772161603E-13</v>
      </c>
      <c r="O111" s="13">
        <f>N111*VLOOKUP('Données projet'!$B$9,Paramètres!$A$1:$I$89,3,0)*VLOOKUP('Données projet'!$B$9,Paramètres!$A$1:$I$89,5,0)</f>
        <v>6.3550942286383367E-14</v>
      </c>
      <c r="P111" s="13">
        <f t="shared" si="87"/>
        <v>1.0064464192543978E-12</v>
      </c>
      <c r="Q111" s="20">
        <f t="shared" si="107"/>
        <v>1.8635787380168604E-12</v>
      </c>
      <c r="R111" s="59">
        <f t="shared" si="55"/>
        <v>293.33333333333519</v>
      </c>
      <c r="S111" s="59">
        <f ca="1">AVERAGE(OFFSET($R$3,0,0,'Données projet'!$E$9+1,1))-AVERAGE(OFFSET($H$3,0,0,'Données projet'!$E$9+1,1))</f>
        <v>224.7049802939942</v>
      </c>
      <c r="T111" s="59">
        <f t="shared" si="88"/>
        <v>203.48513862195352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0.47606249383767135</v>
      </c>
      <c r="AA111" s="21">
        <f>EXP(-LN(2)/25)*AA110+(1-EXP(-LN(2)/25))/(LN(2)/25)*Calculateur!V111*Calculateur!X111*VLOOKUP('Données projet'!$B$9,Paramètres!$A$1:$I$89,3,0)*0.475*44/12</f>
        <v>2.2457786405159643</v>
      </c>
      <c r="AB111" s="21">
        <f>EXP(-LN(2)/2)*AB110+(1-EXP(-LN(2)/2))/(LN(2)/2)*V111*Y111*VLOOKUP('Données projet'!$B$9,Paramètres!$A$1:$I$89,3,0)*0.475*44/12</f>
        <v>1.6299259352468661E-11</v>
      </c>
      <c r="AC111" s="22">
        <f t="shared" si="57"/>
        <v>2.7218411343699351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3.4106051316484809E-13</v>
      </c>
      <c r="AJ111" s="13">
        <f>AI111*VLOOKUP('Données projet'!$B$10,Paramètres!$A$1:$I$89,3,0)*VLOOKUP('Données projet'!$B$10,Paramètres!$A$1:$I$89,5,0)</f>
        <v>1.5961632016114892E-13</v>
      </c>
      <c r="AK111" s="13">
        <f t="shared" si="89"/>
        <v>2.2708641912150958E-12</v>
      </c>
      <c r="AL111" s="20">
        <f t="shared" si="58"/>
        <v>4.2330868906469593E-12</v>
      </c>
      <c r="AM111" s="59">
        <f t="shared" si="59"/>
        <v>293.33333333333752</v>
      </c>
      <c r="AN111" s="59">
        <f ca="1">AVERAGE(OFFSET($AM$3,0,0,'Données projet'!$E$10+1,1))-AVERAGE(OFFSET($H$3,0,0,'Données projet'!$E$10+1,1))</f>
        <v>158.58786357608489</v>
      </c>
      <c r="AO111" s="59">
        <f t="shared" si="90"/>
        <v>163.20074068819849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1.1368683772161603E-13</v>
      </c>
      <c r="O112" s="13">
        <f>N112*VLOOKUP('Données projet'!$B$9,Paramètres!$A$1:$I$89,3,0)*VLOOKUP('Données projet'!$B$9,Paramètres!$A$1:$I$89,5,0)</f>
        <v>6.3550942286383367E-14</v>
      </c>
      <c r="P112" s="13">
        <f t="shared" si="87"/>
        <v>1.0064464192543978E-12</v>
      </c>
      <c r="Q112" s="20">
        <f t="shared" si="107"/>
        <v>1.8635787380168604E-12</v>
      </c>
      <c r="R112" s="59">
        <f t="shared" si="55"/>
        <v>293.33333333333519</v>
      </c>
      <c r="S112" s="59">
        <f ca="1">AVERAGE(OFFSET($R$3,0,0,'Données projet'!$E$9+1,1))-AVERAGE(OFFSET($H$3,0,0,'Données projet'!$E$9+1,1))</f>
        <v>224.7049802939942</v>
      </c>
      <c r="T112" s="59">
        <f t="shared" si="88"/>
        <v>203.48513862195352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0.46672719870296425</v>
      </c>
      <c r="AA112" s="21">
        <f>EXP(-LN(2)/25)*AA111+(1-EXP(-LN(2)/25))/(LN(2)/25)*Calculateur!V112*Calculateur!X112*VLOOKUP('Données projet'!$B$9,Paramètres!$A$1:$I$89,3,0)*0.475*44/12</f>
        <v>2.1843677054906894</v>
      </c>
      <c r="AB112" s="21">
        <f>EXP(-LN(2)/2)*AB111+(1-EXP(-LN(2)/2))/(LN(2)/2)*V112*Y112*VLOOKUP('Données projet'!$B$9,Paramètres!$A$1:$I$89,3,0)*0.475*44/12</f>
        <v>1.1525316816448846E-11</v>
      </c>
      <c r="AC112" s="22">
        <f t="shared" si="57"/>
        <v>2.6510949042051792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3.4106051316484809E-13</v>
      </c>
      <c r="AJ112" s="13">
        <f>AI112*VLOOKUP('Données projet'!$B$10,Paramètres!$A$1:$I$89,3,0)*VLOOKUP('Données projet'!$B$10,Paramètres!$A$1:$I$89,5,0)</f>
        <v>1.5961632016114892E-13</v>
      </c>
      <c r="AK112" s="13">
        <f t="shared" si="89"/>
        <v>2.2708641912150958E-12</v>
      </c>
      <c r="AL112" s="20">
        <f t="shared" si="58"/>
        <v>4.2330868906469593E-12</v>
      </c>
      <c r="AM112" s="59">
        <f t="shared" si="59"/>
        <v>293.33333333333752</v>
      </c>
      <c r="AN112" s="59">
        <f ca="1">AVERAGE(OFFSET($AM$3,0,0,'Données projet'!$E$10+1,1))-AVERAGE(OFFSET($H$3,0,0,'Données projet'!$E$10+1,1))</f>
        <v>158.58786357608489</v>
      </c>
      <c r="AO112" s="59">
        <f t="shared" si="90"/>
        <v>163.20074068819849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1.1368683772161603E-13</v>
      </c>
      <c r="O113" s="13">
        <f>N113*VLOOKUP('Données projet'!$B$9,Paramètres!$A$1:$I$89,3,0)*VLOOKUP('Données projet'!$B$9,Paramètres!$A$1:$I$89,5,0)</f>
        <v>6.3550942286383367E-14</v>
      </c>
      <c r="P113" s="13">
        <f t="shared" si="87"/>
        <v>1.0064464192543978E-12</v>
      </c>
      <c r="Q113" s="20">
        <f t="shared" si="107"/>
        <v>1.8635787380168604E-12</v>
      </c>
      <c r="R113" s="59">
        <f t="shared" si="55"/>
        <v>293.33333333333519</v>
      </c>
      <c r="S113" s="59">
        <f ca="1">AVERAGE(OFFSET($R$3,0,0,'Données projet'!$E$9+1,1))-AVERAGE(OFFSET($H$3,0,0,'Données projet'!$E$9+1,1))</f>
        <v>224.7049802939942</v>
      </c>
      <c r="T113" s="59">
        <f t="shared" si="88"/>
        <v>203.48513862195352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0.45757496301188094</v>
      </c>
      <c r="AA113" s="21">
        <f>EXP(-LN(2)/25)*AA112+(1-EXP(-LN(2)/25))/(LN(2)/25)*Calculateur!V113*Calculateur!X113*VLOOKUP('Données projet'!$B$9,Paramètres!$A$1:$I$89,3,0)*0.475*44/12</f>
        <v>2.1246360557131414</v>
      </c>
      <c r="AB113" s="21">
        <f>EXP(-LN(2)/2)*AB112+(1-EXP(-LN(2)/2))/(LN(2)/2)*V113*Y113*VLOOKUP('Données projet'!$B$9,Paramètres!$A$1:$I$89,3,0)*0.475*44/12</f>
        <v>8.1496296762343305E-12</v>
      </c>
      <c r="AC113" s="22">
        <f t="shared" si="57"/>
        <v>2.5822110187331719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3.4106051316484809E-13</v>
      </c>
      <c r="AJ113" s="13">
        <f>AI113*VLOOKUP('Données projet'!$B$10,Paramètres!$A$1:$I$89,3,0)*VLOOKUP('Données projet'!$B$10,Paramètres!$A$1:$I$89,5,0)</f>
        <v>1.5961632016114892E-13</v>
      </c>
      <c r="AK113" s="13">
        <f t="shared" si="89"/>
        <v>2.2708641912150958E-12</v>
      </c>
      <c r="AL113" s="20">
        <f t="shared" si="58"/>
        <v>4.2330868906469593E-12</v>
      </c>
      <c r="AM113" s="59">
        <f t="shared" si="59"/>
        <v>293.33333333333752</v>
      </c>
      <c r="AN113" s="59">
        <f ca="1">AVERAGE(OFFSET($AM$3,0,0,'Données projet'!$E$10+1,1))-AVERAGE(OFFSET($H$3,0,0,'Données projet'!$E$10+1,1))</f>
        <v>158.58786357608489</v>
      </c>
      <c r="AO113" s="59">
        <f t="shared" si="90"/>
        <v>163.20074068819849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1.1368683772161603E-13</v>
      </c>
      <c r="O114" s="13">
        <f>N114*VLOOKUP('Données projet'!$B$9,Paramètres!$A$1:$I$89,3,0)*VLOOKUP('Données projet'!$B$9,Paramètres!$A$1:$I$89,5,0)</f>
        <v>6.3550942286383367E-14</v>
      </c>
      <c r="P114" s="13">
        <f t="shared" si="87"/>
        <v>1.0064464192543978E-12</v>
      </c>
      <c r="Q114" s="20">
        <f t="shared" si="107"/>
        <v>1.8635787380168604E-12</v>
      </c>
      <c r="R114" s="59">
        <f t="shared" si="55"/>
        <v>293.33333333333519</v>
      </c>
      <c r="S114" s="59">
        <f ca="1">AVERAGE(OFFSET($R$3,0,0,'Données projet'!$E$9+1,1))-AVERAGE(OFFSET($H$3,0,0,'Données projet'!$E$9+1,1))</f>
        <v>224.7049802939942</v>
      </c>
      <c r="T114" s="59">
        <f t="shared" si="88"/>
        <v>203.48513862195352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0.44860219708038723</v>
      </c>
      <c r="AA114" s="21">
        <f>EXP(-LN(2)/25)*AA113+(1-EXP(-LN(2)/25))/(LN(2)/25)*Calculateur!V114*Calculateur!X114*VLOOKUP('Données projet'!$B$9,Paramètres!$A$1:$I$89,3,0)*0.475*44/12</f>
        <v>2.0665377710399113</v>
      </c>
      <c r="AB114" s="21">
        <f>EXP(-LN(2)/2)*AB113+(1-EXP(-LN(2)/2))/(LN(2)/2)*V114*Y114*VLOOKUP('Données projet'!$B$9,Paramètres!$A$1:$I$89,3,0)*0.475*44/12</f>
        <v>5.7626584082244229E-12</v>
      </c>
      <c r="AC114" s="22">
        <f t="shared" si="57"/>
        <v>2.5151399681260611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3.4106051316484809E-13</v>
      </c>
      <c r="AJ114" s="13">
        <f>AI114*VLOOKUP('Données projet'!$B$10,Paramètres!$A$1:$I$89,3,0)*VLOOKUP('Données projet'!$B$10,Paramètres!$A$1:$I$89,5,0)</f>
        <v>1.5961632016114892E-13</v>
      </c>
      <c r="AK114" s="13">
        <f t="shared" si="89"/>
        <v>2.2708641912150958E-12</v>
      </c>
      <c r="AL114" s="20">
        <f t="shared" si="58"/>
        <v>4.2330868906469593E-12</v>
      </c>
      <c r="AM114" s="59">
        <f t="shared" si="59"/>
        <v>293.33333333333752</v>
      </c>
      <c r="AN114" s="59">
        <f ca="1">AVERAGE(OFFSET($AM$3,0,0,'Données projet'!$E$10+1,1))-AVERAGE(OFFSET($H$3,0,0,'Données projet'!$E$10+1,1))</f>
        <v>158.58786357608489</v>
      </c>
      <c r="AO114" s="59">
        <f t="shared" si="90"/>
        <v>163.20074068819849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1.1368683772161603E-13</v>
      </c>
      <c r="O115" s="13">
        <f>N115*VLOOKUP('Données projet'!$B$9,Paramètres!$A$1:$I$89,3,0)*VLOOKUP('Données projet'!$B$9,Paramètres!$A$1:$I$89,5,0)</f>
        <v>6.3550942286383367E-14</v>
      </c>
      <c r="P115" s="13">
        <f t="shared" si="87"/>
        <v>1.0064464192543978E-12</v>
      </c>
      <c r="Q115" s="20">
        <f t="shared" si="107"/>
        <v>1.8635787380168604E-12</v>
      </c>
      <c r="R115" s="59">
        <f t="shared" si="55"/>
        <v>293.33333333333519</v>
      </c>
      <c r="S115" s="59">
        <f ca="1">AVERAGE(OFFSET($R$3,0,0,'Données projet'!$E$9+1,1))-AVERAGE(OFFSET($H$3,0,0,'Données projet'!$E$9+1,1))</f>
        <v>224.7049802939942</v>
      </c>
      <c r="T115" s="59">
        <f t="shared" si="88"/>
        <v>203.48513862195352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0.43980538161596328</v>
      </c>
      <c r="AA115" s="21">
        <f>EXP(-LN(2)/25)*AA114+(1-EXP(-LN(2)/25))/(LN(2)/25)*Calculateur!V115*Calculateur!X115*VLOOKUP('Données projet'!$B$9,Paramètres!$A$1:$I$89,3,0)*0.475*44/12</f>
        <v>2.0100281870163266</v>
      </c>
      <c r="AB115" s="21">
        <f>EXP(-LN(2)/2)*AB114+(1-EXP(-LN(2)/2))/(LN(2)/2)*V115*Y115*VLOOKUP('Données projet'!$B$9,Paramètres!$A$1:$I$89,3,0)*0.475*44/12</f>
        <v>4.0748148381171652E-12</v>
      </c>
      <c r="AC115" s="22">
        <f t="shared" si="57"/>
        <v>2.4498335686363646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3.4106051316484809E-13</v>
      </c>
      <c r="AJ115" s="13">
        <f>AI115*VLOOKUP('Données projet'!$B$10,Paramètres!$A$1:$I$89,3,0)*VLOOKUP('Données projet'!$B$10,Paramètres!$A$1:$I$89,5,0)</f>
        <v>1.5961632016114892E-13</v>
      </c>
      <c r="AK115" s="13">
        <f t="shared" si="89"/>
        <v>2.2708641912150958E-12</v>
      </c>
      <c r="AL115" s="20">
        <f t="shared" si="58"/>
        <v>4.2330868906469593E-12</v>
      </c>
      <c r="AM115" s="59">
        <f t="shared" si="59"/>
        <v>293.33333333333752</v>
      </c>
      <c r="AN115" s="59">
        <f ca="1">AVERAGE(OFFSET($AM$3,0,0,'Données projet'!$E$10+1,1))-AVERAGE(OFFSET($H$3,0,0,'Données projet'!$E$10+1,1))</f>
        <v>158.58786357608489</v>
      </c>
      <c r="AO115" s="59">
        <f t="shared" si="90"/>
        <v>163.20074068819849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1.1368683772161603E-13</v>
      </c>
      <c r="O116" s="13">
        <f>N116*VLOOKUP('Données projet'!$B$9,Paramètres!$A$1:$I$89,3,0)*VLOOKUP('Données projet'!$B$9,Paramètres!$A$1:$I$89,5,0)</f>
        <v>6.3550942286383367E-14</v>
      </c>
      <c r="P116" s="13">
        <f t="shared" si="87"/>
        <v>1.0064464192543978E-12</v>
      </c>
      <c r="Q116" s="20">
        <f t="shared" si="107"/>
        <v>1.8635787380168604E-12</v>
      </c>
      <c r="R116" s="59">
        <f t="shared" si="55"/>
        <v>293.33333333333519</v>
      </c>
      <c r="S116" s="59">
        <f ca="1">AVERAGE(OFFSET($R$3,0,0,'Données projet'!$E$9+1,1))-AVERAGE(OFFSET($H$3,0,0,'Données projet'!$E$9+1,1))</f>
        <v>224.7049802939942</v>
      </c>
      <c r="T116" s="59">
        <f t="shared" si="88"/>
        <v>203.48513862195352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0.43118106633726905</v>
      </c>
      <c r="AA116" s="21">
        <f>EXP(-LN(2)/25)*AA115+(1-EXP(-LN(2)/25))/(LN(2)/25)*Calculateur!V116*Calculateur!X116*VLOOKUP('Données projet'!$B$9,Paramètres!$A$1:$I$89,3,0)*0.475*44/12</f>
        <v>1.9550638605395767</v>
      </c>
      <c r="AB116" s="21">
        <f>EXP(-LN(2)/2)*AB115+(1-EXP(-LN(2)/2))/(LN(2)/2)*V116*Y116*VLOOKUP('Données projet'!$B$9,Paramètres!$A$1:$I$89,3,0)*0.475*44/12</f>
        <v>2.8813292041122114E-12</v>
      </c>
      <c r="AC116" s="22">
        <f t="shared" si="57"/>
        <v>2.3862449268797272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3.4106051316484809E-13</v>
      </c>
      <c r="AJ116" s="13">
        <f>AI116*VLOOKUP('Données projet'!$B$10,Paramètres!$A$1:$I$89,3,0)*VLOOKUP('Données projet'!$B$10,Paramètres!$A$1:$I$89,5,0)</f>
        <v>1.5961632016114892E-13</v>
      </c>
      <c r="AK116" s="13">
        <f t="shared" si="89"/>
        <v>2.2708641912150958E-12</v>
      </c>
      <c r="AL116" s="20">
        <f t="shared" si="58"/>
        <v>4.2330868906469593E-12</v>
      </c>
      <c r="AM116" s="59">
        <f t="shared" si="59"/>
        <v>293.33333333333752</v>
      </c>
      <c r="AN116" s="59">
        <f ca="1">AVERAGE(OFFSET($AM$3,0,0,'Données projet'!$E$10+1,1))-AVERAGE(OFFSET($H$3,0,0,'Données projet'!$E$10+1,1))</f>
        <v>158.58786357608489</v>
      </c>
      <c r="AO116" s="59">
        <f t="shared" si="90"/>
        <v>163.20074068819849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1.1368683772161603E-13</v>
      </c>
      <c r="O117" s="13">
        <f>N117*VLOOKUP('Données projet'!$B$9,Paramètres!$A$1:$I$89,3,0)*VLOOKUP('Données projet'!$B$9,Paramètres!$A$1:$I$89,5,0)</f>
        <v>6.3550942286383367E-14</v>
      </c>
      <c r="P117" s="13">
        <f t="shared" si="87"/>
        <v>1.0064464192543978E-12</v>
      </c>
      <c r="Q117" s="20">
        <f t="shared" si="107"/>
        <v>1.8635787380168604E-12</v>
      </c>
      <c r="R117" s="59">
        <f t="shared" si="55"/>
        <v>293.33333333333519</v>
      </c>
      <c r="S117" s="59">
        <f ca="1">AVERAGE(OFFSET($R$3,0,0,'Données projet'!$E$9+1,1))-AVERAGE(OFFSET($H$3,0,0,'Données projet'!$E$9+1,1))</f>
        <v>224.7049802939942</v>
      </c>
      <c r="T117" s="59">
        <f t="shared" si="88"/>
        <v>203.48513862195352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0.42272586862087713</v>
      </c>
      <c r="AA117" s="21">
        <f>EXP(-LN(2)/25)*AA116+(1-EXP(-LN(2)/25))/(LN(2)/25)*Calculateur!V117*Calculateur!X117*VLOOKUP('Données projet'!$B$9,Paramètres!$A$1:$I$89,3,0)*0.475*44/12</f>
        <v>1.9016025364607818</v>
      </c>
      <c r="AB117" s="21">
        <f>EXP(-LN(2)/2)*AB116+(1-EXP(-LN(2)/2))/(LN(2)/2)*V117*Y117*VLOOKUP('Données projet'!$B$9,Paramètres!$A$1:$I$89,3,0)*0.475*44/12</f>
        <v>2.0374074190585826E-12</v>
      </c>
      <c r="AC117" s="22">
        <f t="shared" si="57"/>
        <v>2.3243284050836963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3.4106051316484809E-13</v>
      </c>
      <c r="AJ117" s="13">
        <f>AI117*VLOOKUP('Données projet'!$B$10,Paramètres!$A$1:$I$89,3,0)*VLOOKUP('Données projet'!$B$10,Paramètres!$A$1:$I$89,5,0)</f>
        <v>1.5961632016114892E-13</v>
      </c>
      <c r="AK117" s="13">
        <f t="shared" si="89"/>
        <v>2.2708641912150958E-12</v>
      </c>
      <c r="AL117" s="20">
        <f t="shared" si="58"/>
        <v>4.2330868906469593E-12</v>
      </c>
      <c r="AM117" s="59">
        <f t="shared" si="59"/>
        <v>293.33333333333752</v>
      </c>
      <c r="AN117" s="59">
        <f ca="1">AVERAGE(OFFSET($AM$3,0,0,'Données projet'!$E$10+1,1))-AVERAGE(OFFSET($H$3,0,0,'Données projet'!$E$10+1,1))</f>
        <v>158.58786357608489</v>
      </c>
      <c r="AO117" s="59">
        <f t="shared" si="90"/>
        <v>163.20074068819849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1.1368683772161603E-13</v>
      </c>
      <c r="O118" s="13">
        <f>N118*VLOOKUP('Données projet'!$B$9,Paramètres!$A$1:$I$89,3,0)*VLOOKUP('Données projet'!$B$9,Paramètres!$A$1:$I$89,5,0)</f>
        <v>6.3550942286383367E-14</v>
      </c>
      <c r="P118" s="13">
        <f t="shared" si="87"/>
        <v>1.0064464192543978E-12</v>
      </c>
      <c r="Q118" s="20">
        <f t="shared" si="107"/>
        <v>1.8635787380168604E-12</v>
      </c>
      <c r="R118" s="59">
        <f t="shared" si="55"/>
        <v>293.33333333333519</v>
      </c>
      <c r="S118" s="59">
        <f ca="1">AVERAGE(OFFSET($R$3,0,0,'Données projet'!$E$9+1,1))-AVERAGE(OFFSET($H$3,0,0,'Données projet'!$E$9+1,1))</f>
        <v>224.7049802939942</v>
      </c>
      <c r="T118" s="59">
        <f t="shared" si="88"/>
        <v>203.48513862195352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0.41443647217454227</v>
      </c>
      <c r="AA118" s="21">
        <f>EXP(-LN(2)/25)*AA117+(1-EXP(-LN(2)/25))/(LN(2)/25)*Calculateur!V118*Calculateur!X118*VLOOKUP('Données projet'!$B$9,Paramètres!$A$1:$I$89,3,0)*0.475*44/12</f>
        <v>1.8496031151003305</v>
      </c>
      <c r="AB118" s="21">
        <f>EXP(-LN(2)/2)*AB117+(1-EXP(-LN(2)/2))/(LN(2)/2)*V118*Y118*VLOOKUP('Données projet'!$B$9,Paramètres!$A$1:$I$89,3,0)*0.475*44/12</f>
        <v>1.4406646020561057E-12</v>
      </c>
      <c r="AC118" s="22">
        <f t="shared" si="57"/>
        <v>2.2640395872763133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3.4106051316484809E-13</v>
      </c>
      <c r="AJ118" s="13">
        <f>AI118*VLOOKUP('Données projet'!$B$10,Paramètres!$A$1:$I$89,3,0)*VLOOKUP('Données projet'!$B$10,Paramètres!$A$1:$I$89,5,0)</f>
        <v>1.5961632016114892E-13</v>
      </c>
      <c r="AK118" s="13">
        <f t="shared" si="89"/>
        <v>2.2708641912150958E-12</v>
      </c>
      <c r="AL118" s="20">
        <f t="shared" si="58"/>
        <v>4.2330868906469593E-12</v>
      </c>
      <c r="AM118" s="59">
        <f t="shared" si="59"/>
        <v>293.33333333333752</v>
      </c>
      <c r="AN118" s="59">
        <f ca="1">AVERAGE(OFFSET($AM$3,0,0,'Données projet'!$E$10+1,1))-AVERAGE(OFFSET($H$3,0,0,'Données projet'!$E$10+1,1))</f>
        <v>158.58786357608489</v>
      </c>
      <c r="AO118" s="59">
        <f t="shared" si="90"/>
        <v>163.20074068819849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1.1368683772161603E-13</v>
      </c>
      <c r="O119" s="13">
        <f>N119*VLOOKUP('Données projet'!$B$9,Paramètres!$A$1:$I$89,3,0)*VLOOKUP('Données projet'!$B$9,Paramètres!$A$1:$I$89,5,0)</f>
        <v>6.3550942286383367E-14</v>
      </c>
      <c r="P119" s="13">
        <f t="shared" si="87"/>
        <v>1.0064464192543978E-12</v>
      </c>
      <c r="Q119" s="20">
        <f t="shared" si="107"/>
        <v>1.8635787380168604E-12</v>
      </c>
      <c r="R119" s="59">
        <f t="shared" si="55"/>
        <v>293.33333333333519</v>
      </c>
      <c r="S119" s="59">
        <f ca="1">AVERAGE(OFFSET($R$3,0,0,'Données projet'!$E$9+1,1))-AVERAGE(OFFSET($H$3,0,0,'Données projet'!$E$9+1,1))</f>
        <v>224.7049802939942</v>
      </c>
      <c r="T119" s="59">
        <f t="shared" si="88"/>
        <v>203.48513862195352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0.40630962573648743</v>
      </c>
      <c r="AA119" s="21">
        <f>EXP(-LN(2)/25)*AA118+(1-EXP(-LN(2)/25))/(LN(2)/25)*Calculateur!V119*Calculateur!X119*VLOOKUP('Données projet'!$B$9,Paramètres!$A$1:$I$89,3,0)*0.475*44/12</f>
        <v>1.7990256206515114</v>
      </c>
      <c r="AB119" s="21">
        <f>EXP(-LN(2)/2)*AB118+(1-EXP(-LN(2)/2))/(LN(2)/2)*V119*Y119*VLOOKUP('Données projet'!$B$9,Paramètres!$A$1:$I$89,3,0)*0.475*44/12</f>
        <v>1.0187037095292913E-12</v>
      </c>
      <c r="AC119" s="22">
        <f t="shared" si="57"/>
        <v>2.2053352463890175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3.4106051316484809E-13</v>
      </c>
      <c r="AJ119" s="13">
        <f>AI119*VLOOKUP('Données projet'!$B$10,Paramètres!$A$1:$I$89,3,0)*VLOOKUP('Données projet'!$B$10,Paramètres!$A$1:$I$89,5,0)</f>
        <v>1.5961632016114892E-13</v>
      </c>
      <c r="AK119" s="13">
        <f t="shared" si="89"/>
        <v>2.2708641912150958E-12</v>
      </c>
      <c r="AL119" s="20">
        <f t="shared" si="58"/>
        <v>4.2330868906469593E-12</v>
      </c>
      <c r="AM119" s="59">
        <f t="shared" si="59"/>
        <v>293.33333333333752</v>
      </c>
      <c r="AN119" s="59">
        <f ca="1">AVERAGE(OFFSET($AM$3,0,0,'Données projet'!$E$10+1,1))-AVERAGE(OFFSET($H$3,0,0,'Données projet'!$E$10+1,1))</f>
        <v>158.58786357608489</v>
      </c>
      <c r="AO119" s="59">
        <f t="shared" si="90"/>
        <v>163.20074068819849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1.1368683772161603E-13</v>
      </c>
      <c r="O120" s="13">
        <f>N120*VLOOKUP('Données projet'!$B$9,Paramètres!$A$1:$I$89,3,0)*VLOOKUP('Données projet'!$B$9,Paramètres!$A$1:$I$89,5,0)</f>
        <v>6.3550942286383367E-14</v>
      </c>
      <c r="P120" s="13">
        <f t="shared" si="87"/>
        <v>1.0064464192543978E-12</v>
      </c>
      <c r="Q120" s="20">
        <f t="shared" si="107"/>
        <v>1.8635787380168604E-12</v>
      </c>
      <c r="R120" s="59">
        <f t="shared" si="55"/>
        <v>293.33333333333519</v>
      </c>
      <c r="S120" s="59">
        <f ca="1">AVERAGE(OFFSET($R$3,0,0,'Données projet'!$E$9+1,1))-AVERAGE(OFFSET($H$3,0,0,'Données projet'!$E$9+1,1))</f>
        <v>224.7049802939942</v>
      </c>
      <c r="T120" s="59">
        <f t="shared" si="88"/>
        <v>203.48513862195352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0.398342141800196</v>
      </c>
      <c r="AA120" s="21">
        <f>EXP(-LN(2)/25)*AA119+(1-EXP(-LN(2)/25))/(LN(2)/25)*Calculateur!V120*Calculateur!X120*VLOOKUP('Données projet'!$B$9,Paramètres!$A$1:$I$89,3,0)*0.475*44/12</f>
        <v>1.7498311704481502</v>
      </c>
      <c r="AB120" s="21">
        <f>EXP(-LN(2)/2)*AB119+(1-EXP(-LN(2)/2))/(LN(2)/2)*V120*Y120*VLOOKUP('Données projet'!$B$9,Paramètres!$A$1:$I$89,3,0)*0.475*44/12</f>
        <v>7.2033230102805286E-13</v>
      </c>
      <c r="AC120" s="22">
        <f t="shared" si="57"/>
        <v>2.1481733122490665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3.4106051316484809E-13</v>
      </c>
      <c r="AJ120" s="13">
        <f>AI120*VLOOKUP('Données projet'!$B$10,Paramètres!$A$1:$I$89,3,0)*VLOOKUP('Données projet'!$B$10,Paramètres!$A$1:$I$89,5,0)</f>
        <v>1.5961632016114892E-13</v>
      </c>
      <c r="AK120" s="13">
        <f t="shared" si="89"/>
        <v>2.2708641912150958E-12</v>
      </c>
      <c r="AL120" s="20">
        <f t="shared" si="58"/>
        <v>4.2330868906469593E-12</v>
      </c>
      <c r="AM120" s="59">
        <f t="shared" si="59"/>
        <v>293.33333333333752</v>
      </c>
      <c r="AN120" s="59">
        <f ca="1">AVERAGE(OFFSET($AM$3,0,0,'Données projet'!$E$10+1,1))-AVERAGE(OFFSET($H$3,0,0,'Données projet'!$E$10+1,1))</f>
        <v>158.58786357608489</v>
      </c>
      <c r="AO120" s="59">
        <f t="shared" si="90"/>
        <v>163.20074068819849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1.1368683772161603E-13</v>
      </c>
      <c r="O121" s="13">
        <f>N121*VLOOKUP('Données projet'!$B$9,Paramètres!$A$1:$I$89,3,0)*VLOOKUP('Données projet'!$B$9,Paramètres!$A$1:$I$89,5,0)</f>
        <v>6.3550942286383367E-14</v>
      </c>
      <c r="P121" s="13">
        <f t="shared" si="87"/>
        <v>1.0064464192543978E-12</v>
      </c>
      <c r="Q121" s="20">
        <f t="shared" si="107"/>
        <v>1.8635787380168604E-12</v>
      </c>
      <c r="R121" s="59">
        <f t="shared" si="55"/>
        <v>293.33333333333519</v>
      </c>
      <c r="S121" s="59">
        <f ca="1">AVERAGE(OFFSET($R$3,0,0,'Données projet'!$E$9+1,1))-AVERAGE(OFFSET($H$3,0,0,'Données projet'!$E$9+1,1))</f>
        <v>224.7049802939942</v>
      </c>
      <c r="T121" s="59">
        <f t="shared" si="88"/>
        <v>203.48513862195352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0.39053089536420987</v>
      </c>
      <c r="AA121" s="21">
        <f>EXP(-LN(2)/25)*AA120+(1-EXP(-LN(2)/25))/(LN(2)/25)*Calculateur!V121*Calculateur!X121*VLOOKUP('Données projet'!$B$9,Paramètres!$A$1:$I$89,3,0)*0.475*44/12</f>
        <v>1.7019819450726235</v>
      </c>
      <c r="AB121" s="21">
        <f>EXP(-LN(2)/2)*AB120+(1-EXP(-LN(2)/2))/(LN(2)/2)*V121*Y121*VLOOKUP('Données projet'!$B$9,Paramètres!$A$1:$I$89,3,0)*0.475*44/12</f>
        <v>5.0935185476464565E-13</v>
      </c>
      <c r="AC121" s="22">
        <f t="shared" si="57"/>
        <v>2.0925128404373425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3.4106051316484809E-13</v>
      </c>
      <c r="AJ121" s="13">
        <f>AI121*VLOOKUP('Données projet'!$B$10,Paramètres!$A$1:$I$89,3,0)*VLOOKUP('Données projet'!$B$10,Paramètres!$A$1:$I$89,5,0)</f>
        <v>1.5961632016114892E-13</v>
      </c>
      <c r="AK121" s="13">
        <f t="shared" si="89"/>
        <v>2.2708641912150958E-12</v>
      </c>
      <c r="AL121" s="20">
        <f t="shared" si="58"/>
        <v>4.2330868906469593E-12</v>
      </c>
      <c r="AM121" s="59">
        <f t="shared" si="59"/>
        <v>293.33333333333752</v>
      </c>
      <c r="AN121" s="59">
        <f ca="1">AVERAGE(OFFSET($AM$3,0,0,'Données projet'!$E$10+1,1))-AVERAGE(OFFSET($H$3,0,0,'Données projet'!$E$10+1,1))</f>
        <v>158.58786357608489</v>
      </c>
      <c r="AO121" s="59">
        <f t="shared" si="90"/>
        <v>163.20074068819849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1.1368683772161603E-13</v>
      </c>
      <c r="O122" s="13">
        <f>N122*VLOOKUP('Données projet'!$B$9,Paramètres!$A$1:$I$89,3,0)*VLOOKUP('Données projet'!$B$9,Paramètres!$A$1:$I$89,5,0)</f>
        <v>6.3550942286383367E-14</v>
      </c>
      <c r="P122" s="13">
        <f t="shared" si="87"/>
        <v>1.0064464192543978E-12</v>
      </c>
      <c r="Q122" s="20">
        <f t="shared" si="107"/>
        <v>1.8635787380168604E-12</v>
      </c>
      <c r="R122" s="59">
        <f t="shared" si="55"/>
        <v>293.33333333333519</v>
      </c>
      <c r="S122" s="59">
        <f ca="1">AVERAGE(OFFSET($R$3,0,0,'Données projet'!$E$9+1,1))-AVERAGE(OFFSET($H$3,0,0,'Données projet'!$E$9+1,1))</f>
        <v>224.7049802939942</v>
      </c>
      <c r="T122" s="59">
        <f t="shared" si="88"/>
        <v>203.48513862195352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0.38287282270644357</v>
      </c>
      <c r="AA122" s="21">
        <f>EXP(-LN(2)/25)*AA121+(1-EXP(-LN(2)/25))/(LN(2)/25)*Calculateur!V122*Calculateur!X122*VLOOKUP('Données projet'!$B$9,Paramètres!$A$1:$I$89,3,0)*0.475*44/12</f>
        <v>1.6554411592812721</v>
      </c>
      <c r="AB122" s="21">
        <f>EXP(-LN(2)/2)*AB121+(1-EXP(-LN(2)/2))/(LN(2)/2)*V122*Y122*VLOOKUP('Données projet'!$B$9,Paramètres!$A$1:$I$89,3,0)*0.475*44/12</f>
        <v>3.6016615051402643E-13</v>
      </c>
      <c r="AC122" s="22">
        <f t="shared" si="57"/>
        <v>2.0383139819880758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3.4106051316484809E-13</v>
      </c>
      <c r="AJ122" s="13">
        <f>AI122*VLOOKUP('Données projet'!$B$10,Paramètres!$A$1:$I$89,3,0)*VLOOKUP('Données projet'!$B$10,Paramètres!$A$1:$I$89,5,0)</f>
        <v>1.5961632016114892E-13</v>
      </c>
      <c r="AK122" s="13">
        <f t="shared" si="89"/>
        <v>2.2708641912150958E-12</v>
      </c>
      <c r="AL122" s="20">
        <f t="shared" si="58"/>
        <v>4.2330868906469593E-12</v>
      </c>
      <c r="AM122" s="59">
        <f t="shared" si="59"/>
        <v>293.33333333333752</v>
      </c>
      <c r="AN122" s="59">
        <f ca="1">AVERAGE(OFFSET($AM$3,0,0,'Données projet'!$E$10+1,1))-AVERAGE(OFFSET($H$3,0,0,'Données projet'!$E$10+1,1))</f>
        <v>158.58786357608489</v>
      </c>
      <c r="AO122" s="59">
        <f t="shared" si="90"/>
        <v>163.20074068819849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1.1368683772161603E-13</v>
      </c>
      <c r="O123" s="13">
        <f>N123*VLOOKUP('Données projet'!$B$9,Paramètres!$A$1:$I$89,3,0)*VLOOKUP('Données projet'!$B$9,Paramètres!$A$1:$I$89,5,0)</f>
        <v>6.3550942286383367E-14</v>
      </c>
      <c r="P123" s="13">
        <f t="shared" si="87"/>
        <v>1.0064464192543978E-12</v>
      </c>
      <c r="Q123" s="20">
        <f t="shared" si="107"/>
        <v>1.8635787380168604E-12</v>
      </c>
      <c r="R123" s="59">
        <f t="shared" si="55"/>
        <v>293.33333333333519</v>
      </c>
      <c r="S123" s="59">
        <f ca="1">AVERAGE(OFFSET($R$3,0,0,'Données projet'!$E$9+1,1))-AVERAGE(OFFSET($H$3,0,0,'Données projet'!$E$9+1,1))</f>
        <v>224.7049802939942</v>
      </c>
      <c r="T123" s="59">
        <f t="shared" si="88"/>
        <v>203.48513862195352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0.37536492018253298</v>
      </c>
      <c r="AA123" s="21">
        <f>EXP(-LN(2)/25)*AA122+(1-EXP(-LN(2)/25))/(LN(2)/25)*Calculateur!V123*Calculateur!X123*VLOOKUP('Données projet'!$B$9,Paramètres!$A$1:$I$89,3,0)*0.475*44/12</f>
        <v>1.6101730337248588</v>
      </c>
      <c r="AB123" s="21">
        <f>EXP(-LN(2)/2)*AB122+(1-EXP(-LN(2)/2))/(LN(2)/2)*V123*Y123*VLOOKUP('Données projet'!$B$9,Paramètres!$A$1:$I$89,3,0)*0.475*44/12</f>
        <v>2.5467592738232283E-13</v>
      </c>
      <c r="AC123" s="22">
        <f t="shared" si="57"/>
        <v>1.9855379539076463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3.4106051316484809E-13</v>
      </c>
      <c r="AJ123" s="13">
        <f>AI123*VLOOKUP('Données projet'!$B$10,Paramètres!$A$1:$I$89,3,0)*VLOOKUP('Données projet'!$B$10,Paramètres!$A$1:$I$89,5,0)</f>
        <v>1.5961632016114892E-13</v>
      </c>
      <c r="AK123" s="13">
        <f t="shared" si="89"/>
        <v>2.2708641912150958E-12</v>
      </c>
      <c r="AL123" s="20">
        <f t="shared" si="58"/>
        <v>4.2330868906469593E-12</v>
      </c>
      <c r="AM123" s="59">
        <f t="shared" si="59"/>
        <v>293.33333333333752</v>
      </c>
      <c r="AN123" s="59">
        <f ca="1">AVERAGE(OFFSET($AM$3,0,0,'Données projet'!$E$10+1,1))-AVERAGE(OFFSET($H$3,0,0,'Données projet'!$E$10+1,1))</f>
        <v>158.58786357608489</v>
      </c>
      <c r="AO123" s="59">
        <f t="shared" si="90"/>
        <v>163.20074068819849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1.1368683772161603E-13</v>
      </c>
      <c r="O124" s="13">
        <f>N124*VLOOKUP('Données projet'!$B$9,Paramètres!$A$1:$I$89,3,0)*VLOOKUP('Données projet'!$B$9,Paramètres!$A$1:$I$89,5,0)</f>
        <v>6.3550942286383367E-14</v>
      </c>
      <c r="P124" s="13">
        <f t="shared" si="87"/>
        <v>1.0064464192543978E-12</v>
      </c>
      <c r="Q124" s="20">
        <f t="shared" si="107"/>
        <v>1.8635787380168604E-12</v>
      </c>
      <c r="R124" s="59">
        <f t="shared" si="55"/>
        <v>293.33333333333519</v>
      </c>
      <c r="S124" s="59">
        <f ca="1">AVERAGE(OFFSET($R$3,0,0,'Données projet'!$E$9+1,1))-AVERAGE(OFFSET($H$3,0,0,'Données projet'!$E$9+1,1))</f>
        <v>224.7049802939942</v>
      </c>
      <c r="T124" s="59">
        <f t="shared" si="88"/>
        <v>203.48513862195352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0.36800424304774787</v>
      </c>
      <c r="AA124" s="21">
        <f>EXP(-LN(2)/25)*AA123+(1-EXP(-LN(2)/25))/(LN(2)/25)*Calculateur!V124*Calculateur!X124*VLOOKUP('Données projet'!$B$9,Paramètres!$A$1:$I$89,3,0)*0.475*44/12</f>
        <v>1.5661427674423327</v>
      </c>
      <c r="AB124" s="21">
        <f>EXP(-LN(2)/2)*AB123+(1-EXP(-LN(2)/2))/(LN(2)/2)*V124*Y124*VLOOKUP('Données projet'!$B$9,Paramètres!$A$1:$I$89,3,0)*0.475*44/12</f>
        <v>1.8008307525701321E-13</v>
      </c>
      <c r="AC124" s="22">
        <f t="shared" si="57"/>
        <v>1.9341470104902607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3.4106051316484809E-13</v>
      </c>
      <c r="AJ124" s="13">
        <f>AI124*VLOOKUP('Données projet'!$B$10,Paramètres!$A$1:$I$89,3,0)*VLOOKUP('Données projet'!$B$10,Paramètres!$A$1:$I$89,5,0)</f>
        <v>1.5961632016114892E-13</v>
      </c>
      <c r="AK124" s="13">
        <f t="shared" si="89"/>
        <v>2.2708641912150958E-12</v>
      </c>
      <c r="AL124" s="20">
        <f t="shared" si="58"/>
        <v>4.2330868906469593E-12</v>
      </c>
      <c r="AM124" s="59">
        <f t="shared" si="59"/>
        <v>293.33333333333752</v>
      </c>
      <c r="AN124" s="59">
        <f ca="1">AVERAGE(OFFSET($AM$3,0,0,'Données projet'!$E$10+1,1))-AVERAGE(OFFSET($H$3,0,0,'Données projet'!$E$10+1,1))</f>
        <v>158.58786357608489</v>
      </c>
      <c r="AO124" s="59">
        <f t="shared" si="90"/>
        <v>163.20074068819849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1.1368683772161603E-13</v>
      </c>
      <c r="O125" s="13">
        <f>N125*VLOOKUP('Données projet'!$B$9,Paramètres!$A$1:$I$89,3,0)*VLOOKUP('Données projet'!$B$9,Paramètres!$A$1:$I$89,5,0)</f>
        <v>6.3550942286383367E-14</v>
      </c>
      <c r="P125" s="13">
        <f t="shared" si="87"/>
        <v>1.0064464192543978E-12</v>
      </c>
      <c r="Q125" s="20">
        <f t="shared" si="107"/>
        <v>1.8635787380168604E-12</v>
      </c>
      <c r="R125" s="59">
        <f t="shared" si="55"/>
        <v>293.33333333333519</v>
      </c>
      <c r="S125" s="59">
        <f ca="1">AVERAGE(OFFSET($R$3,0,0,'Données projet'!$E$9+1,1))-AVERAGE(OFFSET($H$3,0,0,'Données projet'!$E$9+1,1))</f>
        <v>224.7049802939942</v>
      </c>
      <c r="T125" s="59">
        <f t="shared" si="88"/>
        <v>203.48513862195352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0.36078790430200619</v>
      </c>
      <c r="AA125" s="21">
        <f>EXP(-LN(2)/25)*AA124+(1-EXP(-LN(2)/25))/(LN(2)/25)*Calculateur!V125*Calculateur!X125*VLOOKUP('Données projet'!$B$9,Paramètres!$A$1:$I$89,3,0)*0.475*44/12</f>
        <v>1.5233165111067535</v>
      </c>
      <c r="AB125" s="21">
        <f>EXP(-LN(2)/2)*AB124+(1-EXP(-LN(2)/2))/(LN(2)/2)*V125*Y125*VLOOKUP('Données projet'!$B$9,Paramètres!$A$1:$I$89,3,0)*0.475*44/12</f>
        <v>1.2733796369116141E-13</v>
      </c>
      <c r="AC125" s="22">
        <f t="shared" si="57"/>
        <v>1.8841044154088868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3.4106051316484809E-13</v>
      </c>
      <c r="AJ125" s="13">
        <f>AI125*VLOOKUP('Données projet'!$B$10,Paramètres!$A$1:$I$89,3,0)*VLOOKUP('Données projet'!$B$10,Paramètres!$A$1:$I$89,5,0)</f>
        <v>1.5961632016114892E-13</v>
      </c>
      <c r="AK125" s="13">
        <f t="shared" si="89"/>
        <v>2.2708641912150958E-12</v>
      </c>
      <c r="AL125" s="20">
        <f t="shared" si="58"/>
        <v>4.2330868906469593E-12</v>
      </c>
      <c r="AM125" s="59">
        <f t="shared" si="59"/>
        <v>293.33333333333752</v>
      </c>
      <c r="AN125" s="59">
        <f ca="1">AVERAGE(OFFSET($AM$3,0,0,'Données projet'!$E$10+1,1))-AVERAGE(OFFSET($H$3,0,0,'Données projet'!$E$10+1,1))</f>
        <v>158.58786357608489</v>
      </c>
      <c r="AO125" s="59">
        <f t="shared" si="90"/>
        <v>163.20074068819849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1.1368683772161603E-13</v>
      </c>
      <c r="O126" s="13">
        <f>N126*VLOOKUP('Données projet'!$B$9,Paramètres!$A$1:$I$89,3,0)*VLOOKUP('Données projet'!$B$9,Paramètres!$A$1:$I$89,5,0)</f>
        <v>6.3550942286383367E-14</v>
      </c>
      <c r="P126" s="13">
        <f t="shared" si="87"/>
        <v>1.0064464192543978E-12</v>
      </c>
      <c r="Q126" s="20">
        <f t="shared" si="107"/>
        <v>1.8635787380168604E-12</v>
      </c>
      <c r="R126" s="59">
        <f t="shared" si="55"/>
        <v>293.33333333333519</v>
      </c>
      <c r="S126" s="59">
        <f ca="1">AVERAGE(OFFSET($R$3,0,0,'Données projet'!$E$9+1,1))-AVERAGE(OFFSET($H$3,0,0,'Données projet'!$E$9+1,1))</f>
        <v>224.7049802939942</v>
      </c>
      <c r="T126" s="59">
        <f t="shared" si="88"/>
        <v>203.48513862195352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0.35371307355753645</v>
      </c>
      <c r="AA126" s="21">
        <f>EXP(-LN(2)/25)*AA125+(1-EXP(-LN(2)/25))/(LN(2)/25)*Calculateur!V126*Calculateur!X126*VLOOKUP('Données projet'!$B$9,Paramètres!$A$1:$I$89,3,0)*0.475*44/12</f>
        <v>1.4816613410028057</v>
      </c>
      <c r="AB126" s="21">
        <f>EXP(-LN(2)/2)*AB125+(1-EXP(-LN(2)/2))/(LN(2)/2)*V126*Y126*VLOOKUP('Données projet'!$B$9,Paramètres!$A$1:$I$89,3,0)*0.475*44/12</f>
        <v>9.0041537628506607E-14</v>
      </c>
      <c r="AC126" s="22">
        <f t="shared" si="57"/>
        <v>1.8353744145604323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3.4106051316484809E-13</v>
      </c>
      <c r="AJ126" s="13">
        <f>AI126*VLOOKUP('Données projet'!$B$10,Paramètres!$A$1:$I$89,3,0)*VLOOKUP('Données projet'!$B$10,Paramètres!$A$1:$I$89,5,0)</f>
        <v>1.5961632016114892E-13</v>
      </c>
      <c r="AK126" s="13">
        <f t="shared" si="89"/>
        <v>2.2708641912150958E-12</v>
      </c>
      <c r="AL126" s="20">
        <f t="shared" si="58"/>
        <v>4.2330868906469593E-12</v>
      </c>
      <c r="AM126" s="59">
        <f t="shared" si="59"/>
        <v>293.33333333333752</v>
      </c>
      <c r="AN126" s="59">
        <f ca="1">AVERAGE(OFFSET($AM$3,0,0,'Données projet'!$E$10+1,1))-AVERAGE(OFFSET($H$3,0,0,'Données projet'!$E$10+1,1))</f>
        <v>158.58786357608489</v>
      </c>
      <c r="AO126" s="59">
        <f t="shared" si="90"/>
        <v>163.20074068819849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1.1368683772161603E-13</v>
      </c>
      <c r="O127" s="13">
        <f>N127*VLOOKUP('Données projet'!$B$9,Paramètres!$A$1:$I$89,3,0)*VLOOKUP('Données projet'!$B$9,Paramètres!$A$1:$I$89,5,0)</f>
        <v>6.3550942286383367E-14</v>
      </c>
      <c r="P127" s="13">
        <f t="shared" si="87"/>
        <v>1.0064464192543978E-12</v>
      </c>
      <c r="Q127" s="20">
        <f t="shared" si="107"/>
        <v>1.8635787380168604E-12</v>
      </c>
      <c r="R127" s="59">
        <f t="shared" si="55"/>
        <v>293.33333333333519</v>
      </c>
      <c r="S127" s="59">
        <f ca="1">AVERAGE(OFFSET($R$3,0,0,'Données projet'!$E$9+1,1))-AVERAGE(OFFSET($H$3,0,0,'Données projet'!$E$9+1,1))</f>
        <v>224.7049802939942</v>
      </c>
      <c r="T127" s="59">
        <f t="shared" si="88"/>
        <v>203.48513862195352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0.34677697592874512</v>
      </c>
      <c r="AA127" s="21">
        <f>EXP(-LN(2)/25)*AA126+(1-EXP(-LN(2)/25))/(LN(2)/25)*Calculateur!V127*Calculateur!X127*VLOOKUP('Données projet'!$B$9,Paramètres!$A$1:$I$89,3,0)*0.475*44/12</f>
        <v>1.4411452337159003</v>
      </c>
      <c r="AB127" s="21">
        <f>EXP(-LN(2)/2)*AB126+(1-EXP(-LN(2)/2))/(LN(2)/2)*V127*Y127*VLOOKUP('Données projet'!$B$9,Paramètres!$A$1:$I$89,3,0)*0.475*44/12</f>
        <v>6.3668981845580707E-14</v>
      </c>
      <c r="AC127" s="22">
        <f t="shared" si="57"/>
        <v>1.7879222096447092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3.4106051316484809E-13</v>
      </c>
      <c r="AJ127" s="13">
        <f>AI127*VLOOKUP('Données projet'!$B$10,Paramètres!$A$1:$I$89,3,0)*VLOOKUP('Données projet'!$B$10,Paramètres!$A$1:$I$89,5,0)</f>
        <v>1.5961632016114892E-13</v>
      </c>
      <c r="AK127" s="13">
        <f t="shared" si="89"/>
        <v>2.2708641912150958E-12</v>
      </c>
      <c r="AL127" s="20">
        <f t="shared" si="58"/>
        <v>4.2330868906469593E-12</v>
      </c>
      <c r="AM127" s="59">
        <f t="shared" si="59"/>
        <v>293.33333333333752</v>
      </c>
      <c r="AN127" s="59">
        <f ca="1">AVERAGE(OFFSET($AM$3,0,0,'Données projet'!$E$10+1,1))-AVERAGE(OFFSET($H$3,0,0,'Données projet'!$E$10+1,1))</f>
        <v>158.58786357608489</v>
      </c>
      <c r="AO127" s="59">
        <f t="shared" si="90"/>
        <v>163.20074068819849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1.1368683772161603E-13</v>
      </c>
      <c r="O128" s="13">
        <f>N128*VLOOKUP('Données projet'!$B$9,Paramètres!$A$1:$I$89,3,0)*VLOOKUP('Données projet'!$B$9,Paramètres!$A$1:$I$89,5,0)</f>
        <v>6.3550942286383367E-14</v>
      </c>
      <c r="P128" s="13">
        <f t="shared" si="87"/>
        <v>1.0064464192543978E-12</v>
      </c>
      <c r="Q128" s="20">
        <f t="shared" si="107"/>
        <v>1.8635787380168604E-12</v>
      </c>
      <c r="R128" s="59">
        <f t="shared" si="55"/>
        <v>293.33333333333519</v>
      </c>
      <c r="S128" s="59">
        <f ca="1">AVERAGE(OFFSET($R$3,0,0,'Données projet'!$E$9+1,1))-AVERAGE(OFFSET($H$3,0,0,'Données projet'!$E$9+1,1))</f>
        <v>224.7049802939942</v>
      </c>
      <c r="T128" s="59">
        <f t="shared" si="88"/>
        <v>203.48513862195352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0.33997689094385258</v>
      </c>
      <c r="AA128" s="21">
        <f>EXP(-LN(2)/25)*AA127+(1-EXP(-LN(2)/25))/(LN(2)/25)*Calculateur!V128*Calculateur!X128*VLOOKUP('Données projet'!$B$9,Paramètres!$A$1:$I$89,3,0)*0.475*44/12</f>
        <v>1.4017370415134049</v>
      </c>
      <c r="AB128" s="21">
        <f>EXP(-LN(2)/2)*AB127+(1-EXP(-LN(2)/2))/(LN(2)/2)*V128*Y128*VLOOKUP('Données projet'!$B$9,Paramètres!$A$1:$I$89,3,0)*0.475*44/12</f>
        <v>4.5020768814253304E-14</v>
      </c>
      <c r="AC128" s="22">
        <f t="shared" si="57"/>
        <v>1.7417139324573025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3.4106051316484809E-13</v>
      </c>
      <c r="AJ128" s="13">
        <f>AI128*VLOOKUP('Données projet'!$B$10,Paramètres!$A$1:$I$89,3,0)*VLOOKUP('Données projet'!$B$10,Paramètres!$A$1:$I$89,5,0)</f>
        <v>1.5961632016114892E-13</v>
      </c>
      <c r="AK128" s="13">
        <f t="shared" si="89"/>
        <v>2.2708641912150958E-12</v>
      </c>
      <c r="AL128" s="20">
        <f t="shared" si="58"/>
        <v>4.2330868906469593E-12</v>
      </c>
      <c r="AM128" s="59">
        <f t="shared" si="59"/>
        <v>293.33333333333752</v>
      </c>
      <c r="AN128" s="59">
        <f ca="1">AVERAGE(OFFSET($AM$3,0,0,'Données projet'!$E$10+1,1))-AVERAGE(OFFSET($H$3,0,0,'Données projet'!$E$10+1,1))</f>
        <v>158.58786357608489</v>
      </c>
      <c r="AO128" s="59">
        <f t="shared" si="90"/>
        <v>163.20074068819849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1.1368683772161603E-13</v>
      </c>
      <c r="O129" s="13">
        <f>N129*VLOOKUP('Données projet'!$B$9,Paramètres!$A$1:$I$89,3,0)*VLOOKUP('Données projet'!$B$9,Paramètres!$A$1:$I$89,5,0)</f>
        <v>6.3550942286383367E-14</v>
      </c>
      <c r="P129" s="13">
        <f t="shared" si="87"/>
        <v>1.0064464192543978E-12</v>
      </c>
      <c r="Q129" s="20">
        <f t="shared" si="107"/>
        <v>1.8635787380168604E-12</v>
      </c>
      <c r="R129" s="59">
        <f t="shared" si="55"/>
        <v>293.33333333333519</v>
      </c>
      <c r="S129" s="59">
        <f ca="1">AVERAGE(OFFSET($R$3,0,0,'Données projet'!$E$9+1,1))-AVERAGE(OFFSET($H$3,0,0,'Données projet'!$E$9+1,1))</f>
        <v>224.7049802939942</v>
      </c>
      <c r="T129" s="59">
        <f t="shared" si="88"/>
        <v>203.48513862195352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0.33331015147787146</v>
      </c>
      <c r="AA129" s="21">
        <f>EXP(-LN(2)/25)*AA128+(1-EXP(-LN(2)/25))/(LN(2)/25)*Calculateur!V129*Calculateur!X129*VLOOKUP('Données projet'!$B$9,Paramètres!$A$1:$I$89,3,0)*0.475*44/12</f>
        <v>1.3634064683990736</v>
      </c>
      <c r="AB129" s="21">
        <f>EXP(-LN(2)/2)*AB128+(1-EXP(-LN(2)/2))/(LN(2)/2)*V129*Y129*VLOOKUP('Données projet'!$B$9,Paramètres!$A$1:$I$89,3,0)*0.475*44/12</f>
        <v>3.1834490922790353E-14</v>
      </c>
      <c r="AC129" s="22">
        <f t="shared" si="57"/>
        <v>1.696716619876977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3.4106051316484809E-13</v>
      </c>
      <c r="AJ129" s="13">
        <f>AI129*VLOOKUP('Données projet'!$B$10,Paramètres!$A$1:$I$89,3,0)*VLOOKUP('Données projet'!$B$10,Paramètres!$A$1:$I$89,5,0)</f>
        <v>1.5961632016114892E-13</v>
      </c>
      <c r="AK129" s="13">
        <f t="shared" si="89"/>
        <v>2.2708641912150958E-12</v>
      </c>
      <c r="AL129" s="20">
        <f t="shared" si="58"/>
        <v>4.2330868906469593E-12</v>
      </c>
      <c r="AM129" s="59">
        <f t="shared" si="59"/>
        <v>293.33333333333752</v>
      </c>
      <c r="AN129" s="59">
        <f ca="1">AVERAGE(OFFSET($AM$3,0,0,'Données projet'!$E$10+1,1))-AVERAGE(OFFSET($H$3,0,0,'Données projet'!$E$10+1,1))</f>
        <v>158.58786357608489</v>
      </c>
      <c r="AO129" s="59">
        <f t="shared" si="90"/>
        <v>163.20074068819849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1.1368683772161603E-13</v>
      </c>
      <c r="O130" s="13">
        <f>N130*VLOOKUP('Données projet'!$B$9,Paramètres!$A$1:$I$89,3,0)*VLOOKUP('Données projet'!$B$9,Paramètres!$A$1:$I$89,5,0)</f>
        <v>6.3550942286383367E-14</v>
      </c>
      <c r="P130" s="13">
        <f t="shared" si="87"/>
        <v>1.0064464192543978E-12</v>
      </c>
      <c r="Q130" s="20">
        <f t="shared" si="107"/>
        <v>1.8635787380168604E-12</v>
      </c>
      <c r="R130" s="59">
        <f t="shared" si="55"/>
        <v>293.33333333333519</v>
      </c>
      <c r="S130" s="59">
        <f ca="1">AVERAGE(OFFSET($R$3,0,0,'Données projet'!$E$9+1,1))-AVERAGE(OFFSET($H$3,0,0,'Données projet'!$E$9+1,1))</f>
        <v>224.7049802939942</v>
      </c>
      <c r="T130" s="59">
        <f t="shared" si="88"/>
        <v>203.48513862195352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0.32677414270650867</v>
      </c>
      <c r="AA130" s="21">
        <f>EXP(-LN(2)/25)*AA129+(1-EXP(-LN(2)/25))/(LN(2)/25)*Calculateur!V130*Calculateur!X130*VLOOKUP('Données projet'!$B$9,Paramètres!$A$1:$I$89,3,0)*0.475*44/12</f>
        <v>1.3261240468222708</v>
      </c>
      <c r="AB130" s="21">
        <f>EXP(-LN(2)/2)*AB129+(1-EXP(-LN(2)/2))/(LN(2)/2)*V130*Y130*VLOOKUP('Données projet'!$B$9,Paramètres!$A$1:$I$89,3,0)*0.475*44/12</f>
        <v>2.2510384407126652E-14</v>
      </c>
      <c r="AC130" s="22">
        <f t="shared" si="57"/>
        <v>1.652898189528802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3.4106051316484809E-13</v>
      </c>
      <c r="AJ130" s="13">
        <f>AI130*VLOOKUP('Données projet'!$B$10,Paramètres!$A$1:$I$89,3,0)*VLOOKUP('Données projet'!$B$10,Paramètres!$A$1:$I$89,5,0)</f>
        <v>1.5961632016114892E-13</v>
      </c>
      <c r="AK130" s="13">
        <f t="shared" si="89"/>
        <v>2.2708641912150958E-12</v>
      </c>
      <c r="AL130" s="20">
        <f t="shared" si="58"/>
        <v>4.2330868906469593E-12</v>
      </c>
      <c r="AM130" s="59">
        <f t="shared" si="59"/>
        <v>293.33333333333752</v>
      </c>
      <c r="AN130" s="59">
        <f ca="1">AVERAGE(OFFSET($AM$3,0,0,'Données projet'!$E$10+1,1))-AVERAGE(OFFSET($H$3,0,0,'Données projet'!$E$10+1,1))</f>
        <v>158.58786357608489</v>
      </c>
      <c r="AO130" s="59">
        <f t="shared" si="90"/>
        <v>163.20074068819849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1.1368683772161603E-13</v>
      </c>
      <c r="O131" s="13">
        <f>N131*VLOOKUP('Données projet'!$B$9,Paramètres!$A$1:$I$89,3,0)*VLOOKUP('Données projet'!$B$9,Paramètres!$A$1:$I$89,5,0)</f>
        <v>6.3550942286383367E-14</v>
      </c>
      <c r="P131" s="13">
        <f t="shared" si="87"/>
        <v>1.0064464192543978E-12</v>
      </c>
      <c r="Q131" s="20">
        <f t="shared" ref="Q131:Q153" si="108">(O131+P131)*0.475*44/12</f>
        <v>1.8635787380168604E-12</v>
      </c>
      <c r="R131" s="59">
        <f t="shared" ref="R131:R194" si="109">Q131+(I131+J131)*44/12</f>
        <v>293.33333333333519</v>
      </c>
      <c r="S131" s="59">
        <f ca="1">AVERAGE(OFFSET($R$3,0,0,'Données projet'!$E$9+1,1))-AVERAGE(OFFSET($H$3,0,0,'Données projet'!$E$9+1,1))</f>
        <v>224.7049802939942</v>
      </c>
      <c r="T131" s="59">
        <f t="shared" si="88"/>
        <v>203.48513862195352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0.32036630108058062</v>
      </c>
      <c r="AA131" s="21">
        <f>EXP(-LN(2)/25)*AA130+(1-EXP(-LN(2)/25))/(LN(2)/25)*Calculateur!V131*Calculateur!X131*VLOOKUP('Données projet'!$B$9,Paramètres!$A$1:$I$89,3,0)*0.475*44/12</f>
        <v>1.2898611150240831</v>
      </c>
      <c r="AB131" s="21">
        <f>EXP(-LN(2)/2)*AB130+(1-EXP(-LN(2)/2))/(LN(2)/2)*V131*Y131*VLOOKUP('Données projet'!$B$9,Paramètres!$A$1:$I$89,3,0)*0.475*44/12</f>
        <v>1.5917245461395177E-14</v>
      </c>
      <c r="AC131" s="22">
        <f t="shared" si="57"/>
        <v>1.6102274161046797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3.4106051316484809E-13</v>
      </c>
      <c r="AJ131" s="13">
        <f>AI131*VLOOKUP('Données projet'!$B$10,Paramètres!$A$1:$I$89,3,0)*VLOOKUP('Données projet'!$B$10,Paramètres!$A$1:$I$89,5,0)</f>
        <v>1.5961632016114892E-13</v>
      </c>
      <c r="AK131" s="13">
        <f t="shared" si="89"/>
        <v>2.2708641912150958E-12</v>
      </c>
      <c r="AL131" s="20">
        <f t="shared" si="58"/>
        <v>4.2330868906469593E-12</v>
      </c>
      <c r="AM131" s="59">
        <f t="shared" si="59"/>
        <v>293.33333333333752</v>
      </c>
      <c r="AN131" s="59">
        <f ca="1">AVERAGE(OFFSET($AM$3,0,0,'Données projet'!$E$10+1,1))-AVERAGE(OFFSET($H$3,0,0,'Données projet'!$E$10+1,1))</f>
        <v>158.58786357608489</v>
      </c>
      <c r="AO131" s="59">
        <f t="shared" si="90"/>
        <v>163.20074068819849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1.1368683772161603E-13</v>
      </c>
      <c r="O132" s="13">
        <f>N132*VLOOKUP('Données projet'!$B$9,Paramètres!$A$1:$I$89,3,0)*VLOOKUP('Données projet'!$B$9,Paramètres!$A$1:$I$89,5,0)</f>
        <v>6.3550942286383367E-14</v>
      </c>
      <c r="P132" s="13">
        <f t="shared" si="87"/>
        <v>1.0064464192543978E-12</v>
      </c>
      <c r="Q132" s="20">
        <f t="shared" si="108"/>
        <v>1.8635787380168604E-12</v>
      </c>
      <c r="R132" s="59">
        <f t="shared" si="109"/>
        <v>293.33333333333519</v>
      </c>
      <c r="S132" s="59">
        <f ca="1">AVERAGE(OFFSET($R$3,0,0,'Données projet'!$E$9+1,1))-AVERAGE(OFFSET($H$3,0,0,'Données projet'!$E$9+1,1))</f>
        <v>224.7049802939942</v>
      </c>
      <c r="T132" s="59">
        <f t="shared" si="88"/>
        <v>203.48513862195352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0.31408411332053954</v>
      </c>
      <c r="AA132" s="21">
        <f>EXP(-LN(2)/25)*AA131+(1-EXP(-LN(2)/25))/(LN(2)/25)*Calculateur!V132*Calculateur!X132*VLOOKUP('Données projet'!$B$9,Paramètres!$A$1:$I$89,3,0)*0.475*44/12</f>
        <v>1.2545897950029015</v>
      </c>
      <c r="AB132" s="21">
        <f>EXP(-LN(2)/2)*AB131+(1-EXP(-LN(2)/2))/(LN(2)/2)*V132*Y132*VLOOKUP('Données projet'!$B$9,Paramètres!$A$1:$I$89,3,0)*0.475*44/12</f>
        <v>1.1255192203563326E-14</v>
      </c>
      <c r="AC132" s="22">
        <f t="shared" ref="AC132:AC153" si="111">SUM(Z132:AB132)</f>
        <v>1.5686739083234522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3.4106051316484809E-13</v>
      </c>
      <c r="AJ132" s="13">
        <f>AI132*VLOOKUP('Données projet'!$B$10,Paramètres!$A$1:$I$89,3,0)*VLOOKUP('Données projet'!$B$10,Paramètres!$A$1:$I$89,5,0)</f>
        <v>1.5961632016114892E-13</v>
      </c>
      <c r="AK132" s="13">
        <f t="shared" si="89"/>
        <v>2.2708641912150958E-12</v>
      </c>
      <c r="AL132" s="20">
        <f t="shared" ref="AL132:AL153" si="112">(AJ132+AK132)*0.475*44/12</f>
        <v>4.2330868906469593E-12</v>
      </c>
      <c r="AM132" s="59">
        <f t="shared" ref="AM132:AM195" si="113">AL132+(AD132+AE132)*44/12</f>
        <v>293.33333333333752</v>
      </c>
      <c r="AN132" s="59">
        <f ca="1">AVERAGE(OFFSET($AM$3,0,0,'Données projet'!$E$10+1,1))-AVERAGE(OFFSET($H$3,0,0,'Données projet'!$E$10+1,1))</f>
        <v>158.58786357608489</v>
      </c>
      <c r="AO132" s="59">
        <f t="shared" si="90"/>
        <v>163.20074068819849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1.1368683772161603E-13</v>
      </c>
      <c r="O133" s="13">
        <f>N133*VLOOKUP('Données projet'!$B$9,Paramètres!$A$1:$I$89,3,0)*VLOOKUP('Données projet'!$B$9,Paramètres!$A$1:$I$89,5,0)</f>
        <v>6.3550942286383367E-14</v>
      </c>
      <c r="P133" s="13">
        <f t="shared" ref="P133:P196" si="141">EXP(-1.0587+0.8836*LN(O133)+0.284)</f>
        <v>1.0064464192543978E-12</v>
      </c>
      <c r="Q133" s="20">
        <f t="shared" si="108"/>
        <v>1.8635787380168604E-12</v>
      </c>
      <c r="R133" s="59">
        <f t="shared" si="109"/>
        <v>293.33333333333519</v>
      </c>
      <c r="S133" s="59">
        <f ca="1">AVERAGE(OFFSET($R$3,0,0,'Données projet'!$E$9+1,1))-AVERAGE(OFFSET($H$3,0,0,'Données projet'!$E$9+1,1))</f>
        <v>224.7049802939942</v>
      </c>
      <c r="T133" s="59">
        <f t="shared" ref="T133:T196" si="142">$T$3</f>
        <v>203.48513862195352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0.30792511543071666</v>
      </c>
      <c r="AA133" s="21">
        <f>EXP(-LN(2)/25)*AA132+(1-EXP(-LN(2)/25))/(LN(2)/25)*Calculateur!V133*Calculateur!X133*VLOOKUP('Données projet'!$B$9,Paramètres!$A$1:$I$89,3,0)*0.475*44/12</f>
        <v>1.2202829710825371</v>
      </c>
      <c r="AB133" s="21">
        <f>EXP(-LN(2)/2)*AB132+(1-EXP(-LN(2)/2))/(LN(2)/2)*V133*Y133*VLOOKUP('Données projet'!$B$9,Paramètres!$A$1:$I$89,3,0)*0.475*44/12</f>
        <v>7.9586227306975884E-15</v>
      </c>
      <c r="AC133" s="22">
        <f t="shared" si="111"/>
        <v>1.5282080865132617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3.4106051316484809E-13</v>
      </c>
      <c r="AJ133" s="13">
        <f>AI133*VLOOKUP('Données projet'!$B$10,Paramètres!$A$1:$I$89,3,0)*VLOOKUP('Données projet'!$B$10,Paramètres!$A$1:$I$89,5,0)</f>
        <v>1.5961632016114892E-13</v>
      </c>
      <c r="AK133" s="13">
        <f t="shared" ref="AK133:AK153" si="143">EXP(-1.0587+0.8836*LN(AJ133)+0.284)</f>
        <v>2.2708641912150958E-12</v>
      </c>
      <c r="AL133" s="20">
        <f t="shared" si="112"/>
        <v>4.2330868906469593E-12</v>
      </c>
      <c r="AM133" s="59">
        <f t="shared" si="113"/>
        <v>293.33333333333752</v>
      </c>
      <c r="AN133" s="59">
        <f ca="1">AVERAGE(OFFSET($AM$3,0,0,'Données projet'!$E$10+1,1))-AVERAGE(OFFSET($H$3,0,0,'Données projet'!$E$10+1,1))</f>
        <v>158.58786357608489</v>
      </c>
      <c r="AO133" s="59">
        <f t="shared" ref="AO133:AO196" si="144">$AO$3</f>
        <v>163.20074068819849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1.1368683772161603E-13</v>
      </c>
      <c r="O134" s="13">
        <f>N134*VLOOKUP('Données projet'!$B$9,Paramètres!$A$1:$I$89,3,0)*VLOOKUP('Données projet'!$B$9,Paramètres!$A$1:$I$89,5,0)</f>
        <v>6.3550942286383367E-14</v>
      </c>
      <c r="P134" s="13">
        <f t="shared" si="141"/>
        <v>1.0064464192543978E-12</v>
      </c>
      <c r="Q134" s="20">
        <f t="shared" si="108"/>
        <v>1.8635787380168604E-12</v>
      </c>
      <c r="R134" s="59">
        <f t="shared" si="109"/>
        <v>293.33333333333519</v>
      </c>
      <c r="S134" s="59">
        <f ca="1">AVERAGE(OFFSET($R$3,0,0,'Données projet'!$E$9+1,1))-AVERAGE(OFFSET($H$3,0,0,'Données projet'!$E$9+1,1))</f>
        <v>224.7049802939942</v>
      </c>
      <c r="T134" s="59">
        <f t="shared" si="142"/>
        <v>203.48513862195352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0.30188689173289546</v>
      </c>
      <c r="AA134" s="21">
        <f>EXP(-LN(2)/25)*AA133+(1-EXP(-LN(2)/25))/(LN(2)/25)*Calculateur!V134*Calculateur!X134*VLOOKUP('Données projet'!$B$9,Paramètres!$A$1:$I$89,3,0)*0.475*44/12</f>
        <v>1.1869142690663927</v>
      </c>
      <c r="AB134" s="21">
        <f>EXP(-LN(2)/2)*AB133+(1-EXP(-LN(2)/2))/(LN(2)/2)*V134*Y134*VLOOKUP('Données projet'!$B$9,Paramètres!$A$1:$I$89,3,0)*0.475*44/12</f>
        <v>5.627596101781663E-15</v>
      </c>
      <c r="AC134" s="22">
        <f t="shared" si="111"/>
        <v>1.4888011607992937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3.4106051316484809E-13</v>
      </c>
      <c r="AJ134" s="13">
        <f>AI134*VLOOKUP('Données projet'!$B$10,Paramètres!$A$1:$I$89,3,0)*VLOOKUP('Données projet'!$B$10,Paramètres!$A$1:$I$89,5,0)</f>
        <v>1.5961632016114892E-13</v>
      </c>
      <c r="AK134" s="13">
        <f t="shared" si="143"/>
        <v>2.2708641912150958E-12</v>
      </c>
      <c r="AL134" s="20">
        <f t="shared" si="112"/>
        <v>4.2330868906469593E-12</v>
      </c>
      <c r="AM134" s="59">
        <f t="shared" si="113"/>
        <v>293.33333333333752</v>
      </c>
      <c r="AN134" s="59">
        <f ca="1">AVERAGE(OFFSET($AM$3,0,0,'Données projet'!$E$10+1,1))-AVERAGE(OFFSET($H$3,0,0,'Données projet'!$E$10+1,1))</f>
        <v>158.58786357608489</v>
      </c>
      <c r="AO134" s="59">
        <f t="shared" si="144"/>
        <v>163.20074068819849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1.1368683772161603E-13</v>
      </c>
      <c r="O135" s="13">
        <f>N135*VLOOKUP('Données projet'!$B$9,Paramètres!$A$1:$I$89,3,0)*VLOOKUP('Données projet'!$B$9,Paramètres!$A$1:$I$89,5,0)</f>
        <v>6.3550942286383367E-14</v>
      </c>
      <c r="P135" s="13">
        <f t="shared" si="141"/>
        <v>1.0064464192543978E-12</v>
      </c>
      <c r="Q135" s="20">
        <f t="shared" si="108"/>
        <v>1.8635787380168604E-12</v>
      </c>
      <c r="R135" s="59">
        <f t="shared" si="109"/>
        <v>293.33333333333519</v>
      </c>
      <c r="S135" s="59">
        <f ca="1">AVERAGE(OFFSET($R$3,0,0,'Données projet'!$E$9+1,1))-AVERAGE(OFFSET($H$3,0,0,'Données projet'!$E$9+1,1))</f>
        <v>224.7049802939942</v>
      </c>
      <c r="T135" s="59">
        <f t="shared" si="142"/>
        <v>203.48513862195352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0.29596707391883575</v>
      </c>
      <c r="AA135" s="21">
        <f>EXP(-LN(2)/25)*AA134+(1-EXP(-LN(2)/25))/(LN(2)/25)*Calculateur!V135*Calculateur!X135*VLOOKUP('Données projet'!$B$9,Paramètres!$A$1:$I$89,3,0)*0.475*44/12</f>
        <v>1.1544580359616636</v>
      </c>
      <c r="AB135" s="21">
        <f>EXP(-LN(2)/2)*AB134+(1-EXP(-LN(2)/2))/(LN(2)/2)*V135*Y135*VLOOKUP('Données projet'!$B$9,Paramètres!$A$1:$I$89,3,0)*0.475*44/12</f>
        <v>3.9793113653487942E-15</v>
      </c>
      <c r="AC135" s="22">
        <f t="shared" si="111"/>
        <v>1.4504251098805034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3.4106051316484809E-13</v>
      </c>
      <c r="AJ135" s="13">
        <f>AI135*VLOOKUP('Données projet'!$B$10,Paramètres!$A$1:$I$89,3,0)*VLOOKUP('Données projet'!$B$10,Paramètres!$A$1:$I$89,5,0)</f>
        <v>1.5961632016114892E-13</v>
      </c>
      <c r="AK135" s="13">
        <f t="shared" si="143"/>
        <v>2.2708641912150958E-12</v>
      </c>
      <c r="AL135" s="20">
        <f t="shared" si="112"/>
        <v>4.2330868906469593E-12</v>
      </c>
      <c r="AM135" s="59">
        <f t="shared" si="113"/>
        <v>293.33333333333752</v>
      </c>
      <c r="AN135" s="59">
        <f ca="1">AVERAGE(OFFSET($AM$3,0,0,'Données projet'!$E$10+1,1))-AVERAGE(OFFSET($H$3,0,0,'Données projet'!$E$10+1,1))</f>
        <v>158.58786357608489</v>
      </c>
      <c r="AO135" s="59">
        <f t="shared" si="144"/>
        <v>163.20074068819849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1.1368683772161603E-13</v>
      </c>
      <c r="O136" s="13">
        <f>N136*VLOOKUP('Données projet'!$B$9,Paramètres!$A$1:$I$89,3,0)*VLOOKUP('Données projet'!$B$9,Paramètres!$A$1:$I$89,5,0)</f>
        <v>6.3550942286383367E-14</v>
      </c>
      <c r="P136" s="13">
        <f t="shared" si="141"/>
        <v>1.0064464192543978E-12</v>
      </c>
      <c r="Q136" s="20">
        <f t="shared" si="108"/>
        <v>1.8635787380168604E-12</v>
      </c>
      <c r="R136" s="59">
        <f t="shared" si="109"/>
        <v>293.33333333333519</v>
      </c>
      <c r="S136" s="59">
        <f ca="1">AVERAGE(OFFSET($R$3,0,0,'Données projet'!$E$9+1,1))-AVERAGE(OFFSET($H$3,0,0,'Données projet'!$E$9+1,1))</f>
        <v>224.7049802939942</v>
      </c>
      <c r="T136" s="59">
        <f t="shared" si="142"/>
        <v>203.48513862195352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0.2901633401213774</v>
      </c>
      <c r="AA136" s="21">
        <f>EXP(-LN(2)/25)*AA135+(1-EXP(-LN(2)/25))/(LN(2)/25)*Calculateur!V136*Calculateur!X136*VLOOKUP('Données projet'!$B$9,Paramètres!$A$1:$I$89,3,0)*0.475*44/12</f>
        <v>1.1228893202579824</v>
      </c>
      <c r="AB136" s="21">
        <f>EXP(-LN(2)/2)*AB135+(1-EXP(-LN(2)/2))/(LN(2)/2)*V136*Y136*VLOOKUP('Données projet'!$B$9,Paramètres!$A$1:$I$89,3,0)*0.475*44/12</f>
        <v>2.8137980508908315E-15</v>
      </c>
      <c r="AC136" s="22">
        <f t="shared" si="111"/>
        <v>1.4130526603793627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3.4106051316484809E-13</v>
      </c>
      <c r="AJ136" s="13">
        <f>AI136*VLOOKUP('Données projet'!$B$10,Paramètres!$A$1:$I$89,3,0)*VLOOKUP('Données projet'!$B$10,Paramètres!$A$1:$I$89,5,0)</f>
        <v>1.5961632016114892E-13</v>
      </c>
      <c r="AK136" s="13">
        <f t="shared" si="143"/>
        <v>2.2708641912150958E-12</v>
      </c>
      <c r="AL136" s="20">
        <f t="shared" si="112"/>
        <v>4.2330868906469593E-12</v>
      </c>
      <c r="AM136" s="59">
        <f t="shared" si="113"/>
        <v>293.33333333333752</v>
      </c>
      <c r="AN136" s="59">
        <f ca="1">AVERAGE(OFFSET($AM$3,0,0,'Données projet'!$E$10+1,1))-AVERAGE(OFFSET($H$3,0,0,'Données projet'!$E$10+1,1))</f>
        <v>158.58786357608489</v>
      </c>
      <c r="AO136" s="59">
        <f t="shared" si="144"/>
        <v>163.20074068819849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1.1368683772161603E-13</v>
      </c>
      <c r="O137" s="13">
        <f>N137*VLOOKUP('Données projet'!$B$9,Paramètres!$A$1:$I$89,3,0)*VLOOKUP('Données projet'!$B$9,Paramètres!$A$1:$I$89,5,0)</f>
        <v>6.3550942286383367E-14</v>
      </c>
      <c r="P137" s="13">
        <f t="shared" si="141"/>
        <v>1.0064464192543978E-12</v>
      </c>
      <c r="Q137" s="20">
        <f t="shared" si="108"/>
        <v>1.8635787380168604E-12</v>
      </c>
      <c r="R137" s="59">
        <f t="shared" si="109"/>
        <v>293.33333333333519</v>
      </c>
      <c r="S137" s="59">
        <f ca="1">AVERAGE(OFFSET($R$3,0,0,'Données projet'!$E$9+1,1))-AVERAGE(OFFSET($H$3,0,0,'Données projet'!$E$9+1,1))</f>
        <v>224.7049802939942</v>
      </c>
      <c r="T137" s="59">
        <f t="shared" si="142"/>
        <v>203.48513862195352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0.28447341400375914</v>
      </c>
      <c r="AA137" s="21">
        <f>EXP(-LN(2)/25)*AA136+(1-EXP(-LN(2)/25))/(LN(2)/25)*Calculateur!V137*Calculateur!X137*VLOOKUP('Données projet'!$B$9,Paramètres!$A$1:$I$89,3,0)*0.475*44/12</f>
        <v>1.0921838527453449</v>
      </c>
      <c r="AB137" s="21">
        <f>EXP(-LN(2)/2)*AB136+(1-EXP(-LN(2)/2))/(LN(2)/2)*V137*Y137*VLOOKUP('Données projet'!$B$9,Paramètres!$A$1:$I$89,3,0)*0.475*44/12</f>
        <v>1.9896556826743971E-15</v>
      </c>
      <c r="AC137" s="22">
        <f t="shared" si="111"/>
        <v>1.3766572667491059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3.4106051316484809E-13</v>
      </c>
      <c r="AJ137" s="13">
        <f>AI137*VLOOKUP('Données projet'!$B$10,Paramètres!$A$1:$I$89,3,0)*VLOOKUP('Données projet'!$B$10,Paramètres!$A$1:$I$89,5,0)</f>
        <v>1.5961632016114892E-13</v>
      </c>
      <c r="AK137" s="13">
        <f t="shared" si="143"/>
        <v>2.2708641912150958E-12</v>
      </c>
      <c r="AL137" s="20">
        <f t="shared" si="112"/>
        <v>4.2330868906469593E-12</v>
      </c>
      <c r="AM137" s="59">
        <f t="shared" si="113"/>
        <v>293.33333333333752</v>
      </c>
      <c r="AN137" s="59">
        <f ca="1">AVERAGE(OFFSET($AM$3,0,0,'Données projet'!$E$10+1,1))-AVERAGE(OFFSET($H$3,0,0,'Données projet'!$E$10+1,1))</f>
        <v>158.58786357608489</v>
      </c>
      <c r="AO137" s="59">
        <f t="shared" si="144"/>
        <v>163.20074068819849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1.1368683772161603E-13</v>
      </c>
      <c r="O138" s="13">
        <f>N138*VLOOKUP('Données projet'!$B$9,Paramètres!$A$1:$I$89,3,0)*VLOOKUP('Données projet'!$B$9,Paramètres!$A$1:$I$89,5,0)</f>
        <v>6.3550942286383367E-14</v>
      </c>
      <c r="P138" s="13">
        <f t="shared" si="141"/>
        <v>1.0064464192543978E-12</v>
      </c>
      <c r="Q138" s="20">
        <f t="shared" si="108"/>
        <v>1.8635787380168604E-12</v>
      </c>
      <c r="R138" s="59">
        <f t="shared" si="109"/>
        <v>293.33333333333519</v>
      </c>
      <c r="S138" s="59">
        <f ca="1">AVERAGE(OFFSET($R$3,0,0,'Données projet'!$E$9+1,1))-AVERAGE(OFFSET($H$3,0,0,'Données projet'!$E$9+1,1))</f>
        <v>224.7049802939942</v>
      </c>
      <c r="T138" s="59">
        <f t="shared" si="142"/>
        <v>203.48513862195352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0.27889506386679513</v>
      </c>
      <c r="AA138" s="21">
        <f>EXP(-LN(2)/25)*AA137+(1-EXP(-LN(2)/25))/(LN(2)/25)*Calculateur!V138*Calculateur!X138*VLOOKUP('Données projet'!$B$9,Paramètres!$A$1:$I$89,3,0)*0.475*44/12</f>
        <v>1.0623180278565709</v>
      </c>
      <c r="AB138" s="21">
        <f>EXP(-LN(2)/2)*AB137+(1-EXP(-LN(2)/2))/(LN(2)/2)*V138*Y138*VLOOKUP('Données projet'!$B$9,Paramètres!$A$1:$I$89,3,0)*0.475*44/12</f>
        <v>1.4068990254454157E-15</v>
      </c>
      <c r="AC138" s="22">
        <f t="shared" si="111"/>
        <v>1.3412130917233673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3.4106051316484809E-13</v>
      </c>
      <c r="AJ138" s="13">
        <f>AI138*VLOOKUP('Données projet'!$B$10,Paramètres!$A$1:$I$89,3,0)*VLOOKUP('Données projet'!$B$10,Paramètres!$A$1:$I$89,5,0)</f>
        <v>1.5961632016114892E-13</v>
      </c>
      <c r="AK138" s="13">
        <f t="shared" si="143"/>
        <v>2.2708641912150958E-12</v>
      </c>
      <c r="AL138" s="20">
        <f t="shared" si="112"/>
        <v>4.2330868906469593E-12</v>
      </c>
      <c r="AM138" s="59">
        <f t="shared" si="113"/>
        <v>293.33333333333752</v>
      </c>
      <c r="AN138" s="59">
        <f ca="1">AVERAGE(OFFSET($AM$3,0,0,'Données projet'!$E$10+1,1))-AVERAGE(OFFSET($H$3,0,0,'Données projet'!$E$10+1,1))</f>
        <v>158.58786357608489</v>
      </c>
      <c r="AO138" s="59">
        <f t="shared" si="144"/>
        <v>163.20074068819849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1.1368683772161603E-13</v>
      </c>
      <c r="O139" s="13">
        <f>N139*VLOOKUP('Données projet'!$B$9,Paramètres!$A$1:$I$89,3,0)*VLOOKUP('Données projet'!$B$9,Paramètres!$A$1:$I$89,5,0)</f>
        <v>6.3550942286383367E-14</v>
      </c>
      <c r="P139" s="13">
        <f t="shared" si="141"/>
        <v>1.0064464192543978E-12</v>
      </c>
      <c r="Q139" s="20">
        <f t="shared" si="108"/>
        <v>1.8635787380168604E-12</v>
      </c>
      <c r="R139" s="59">
        <f t="shared" si="109"/>
        <v>293.33333333333519</v>
      </c>
      <c r="S139" s="59">
        <f ca="1">AVERAGE(OFFSET($R$3,0,0,'Données projet'!$E$9+1,1))-AVERAGE(OFFSET($H$3,0,0,'Données projet'!$E$9+1,1))</f>
        <v>224.7049802939942</v>
      </c>
      <c r="T139" s="59">
        <f t="shared" si="142"/>
        <v>203.48513862195352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0.27342610177355936</v>
      </c>
      <c r="AA139" s="21">
        <f>EXP(-LN(2)/25)*AA138+(1-EXP(-LN(2)/25))/(LN(2)/25)*Calculateur!V139*Calculateur!X139*VLOOKUP('Données projet'!$B$9,Paramètres!$A$1:$I$89,3,0)*0.475*44/12</f>
        <v>1.0332688855199559</v>
      </c>
      <c r="AB139" s="21">
        <f>EXP(-LN(2)/2)*AB138+(1-EXP(-LN(2)/2))/(LN(2)/2)*V139*Y139*VLOOKUP('Données projet'!$B$9,Paramètres!$A$1:$I$89,3,0)*0.475*44/12</f>
        <v>9.9482784133719854E-16</v>
      </c>
      <c r="AC139" s="22">
        <f t="shared" si="111"/>
        <v>1.3066949872935161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3.4106051316484809E-13</v>
      </c>
      <c r="AJ139" s="13">
        <f>AI139*VLOOKUP('Données projet'!$B$10,Paramètres!$A$1:$I$89,3,0)*VLOOKUP('Données projet'!$B$10,Paramètres!$A$1:$I$89,5,0)</f>
        <v>1.5961632016114892E-13</v>
      </c>
      <c r="AK139" s="13">
        <f t="shared" si="143"/>
        <v>2.2708641912150958E-12</v>
      </c>
      <c r="AL139" s="20">
        <f t="shared" si="112"/>
        <v>4.2330868906469593E-12</v>
      </c>
      <c r="AM139" s="59">
        <f t="shared" si="113"/>
        <v>293.33333333333752</v>
      </c>
      <c r="AN139" s="59">
        <f ca="1">AVERAGE(OFFSET($AM$3,0,0,'Données projet'!$E$10+1,1))-AVERAGE(OFFSET($H$3,0,0,'Données projet'!$E$10+1,1))</f>
        <v>158.58786357608489</v>
      </c>
      <c r="AO139" s="59">
        <f t="shared" si="144"/>
        <v>163.20074068819849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1.1368683772161603E-13</v>
      </c>
      <c r="O140" s="13">
        <f>N140*VLOOKUP('Données projet'!$B$9,Paramètres!$A$1:$I$89,3,0)*VLOOKUP('Données projet'!$B$9,Paramètres!$A$1:$I$89,5,0)</f>
        <v>6.3550942286383367E-14</v>
      </c>
      <c r="P140" s="13">
        <f t="shared" si="141"/>
        <v>1.0064464192543978E-12</v>
      </c>
      <c r="Q140" s="20">
        <f t="shared" si="108"/>
        <v>1.8635787380168604E-12</v>
      </c>
      <c r="R140" s="59">
        <f t="shared" si="109"/>
        <v>293.33333333333519</v>
      </c>
      <c r="S140" s="59">
        <f ca="1">AVERAGE(OFFSET($R$3,0,0,'Données projet'!$E$9+1,1))-AVERAGE(OFFSET($H$3,0,0,'Données projet'!$E$9+1,1))</f>
        <v>224.7049802939942</v>
      </c>
      <c r="T140" s="59">
        <f t="shared" si="142"/>
        <v>203.48513862195352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0.26806438269123445</v>
      </c>
      <c r="AA140" s="21">
        <f>EXP(-LN(2)/25)*AA139+(1-EXP(-LN(2)/25))/(LN(2)/25)*Calculateur!V140*Calculateur!X140*VLOOKUP('Données projet'!$B$9,Paramètres!$A$1:$I$89,3,0)*0.475*44/12</f>
        <v>1.0050140935081635</v>
      </c>
      <c r="AB140" s="21">
        <f>EXP(-LN(2)/2)*AB139+(1-EXP(-LN(2)/2))/(LN(2)/2)*V140*Y140*VLOOKUP('Données projet'!$B$9,Paramètres!$A$1:$I$89,3,0)*0.475*44/12</f>
        <v>7.0344951272270787E-16</v>
      </c>
      <c r="AC140" s="22">
        <f t="shared" si="111"/>
        <v>1.2730784761993987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3.4106051316484809E-13</v>
      </c>
      <c r="AJ140" s="13">
        <f>AI140*VLOOKUP('Données projet'!$B$10,Paramètres!$A$1:$I$89,3,0)*VLOOKUP('Données projet'!$B$10,Paramètres!$A$1:$I$89,5,0)</f>
        <v>1.5961632016114892E-13</v>
      </c>
      <c r="AK140" s="13">
        <f t="shared" si="143"/>
        <v>2.2708641912150958E-12</v>
      </c>
      <c r="AL140" s="20">
        <f t="shared" si="112"/>
        <v>4.2330868906469593E-12</v>
      </c>
      <c r="AM140" s="59">
        <f t="shared" si="113"/>
        <v>293.33333333333752</v>
      </c>
      <c r="AN140" s="59">
        <f ca="1">AVERAGE(OFFSET($AM$3,0,0,'Données projet'!$E$10+1,1))-AVERAGE(OFFSET($H$3,0,0,'Données projet'!$E$10+1,1))</f>
        <v>158.58786357608489</v>
      </c>
      <c r="AO140" s="59">
        <f t="shared" si="144"/>
        <v>163.20074068819849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1.1368683772161603E-13</v>
      </c>
      <c r="O141" s="13">
        <f>N141*VLOOKUP('Données projet'!$B$9,Paramètres!$A$1:$I$89,3,0)*VLOOKUP('Données projet'!$B$9,Paramètres!$A$1:$I$89,5,0)</f>
        <v>6.3550942286383367E-14</v>
      </c>
      <c r="P141" s="13">
        <f t="shared" si="141"/>
        <v>1.0064464192543978E-12</v>
      </c>
      <c r="Q141" s="20">
        <f t="shared" si="108"/>
        <v>1.8635787380168604E-12</v>
      </c>
      <c r="R141" s="59">
        <f t="shared" si="109"/>
        <v>293.33333333333519</v>
      </c>
      <c r="S141" s="59">
        <f ca="1">AVERAGE(OFFSET($R$3,0,0,'Données projet'!$E$9+1,1))-AVERAGE(OFFSET($H$3,0,0,'Données projet'!$E$9+1,1))</f>
        <v>224.7049802939942</v>
      </c>
      <c r="T141" s="59">
        <f t="shared" si="142"/>
        <v>203.48513862195352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0.26280780364978817</v>
      </c>
      <c r="AA141" s="21">
        <f>EXP(-LN(2)/25)*AA140+(1-EXP(-LN(2)/25))/(LN(2)/25)*Calculateur!V141*Calculateur!X141*VLOOKUP('Données projet'!$B$9,Paramètres!$A$1:$I$89,3,0)*0.475*44/12</f>
        <v>0.97753193026978857</v>
      </c>
      <c r="AB141" s="21">
        <f>EXP(-LN(2)/2)*AB140+(1-EXP(-LN(2)/2))/(LN(2)/2)*V141*Y141*VLOOKUP('Données projet'!$B$9,Paramètres!$A$1:$I$89,3,0)*0.475*44/12</f>
        <v>4.9741392066859927E-16</v>
      </c>
      <c r="AC141" s="22">
        <f t="shared" si="111"/>
        <v>1.2403397339195772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3.4106051316484809E-13</v>
      </c>
      <c r="AJ141" s="13">
        <f>AI141*VLOOKUP('Données projet'!$B$10,Paramètres!$A$1:$I$89,3,0)*VLOOKUP('Données projet'!$B$10,Paramètres!$A$1:$I$89,5,0)</f>
        <v>1.5961632016114892E-13</v>
      </c>
      <c r="AK141" s="13">
        <f t="shared" si="143"/>
        <v>2.2708641912150958E-12</v>
      </c>
      <c r="AL141" s="20">
        <f t="shared" si="112"/>
        <v>4.2330868906469593E-12</v>
      </c>
      <c r="AM141" s="59">
        <f t="shared" si="113"/>
        <v>293.33333333333752</v>
      </c>
      <c r="AN141" s="59">
        <f ca="1">AVERAGE(OFFSET($AM$3,0,0,'Données projet'!$E$10+1,1))-AVERAGE(OFFSET($H$3,0,0,'Données projet'!$E$10+1,1))</f>
        <v>158.58786357608489</v>
      </c>
      <c r="AO141" s="59">
        <f t="shared" si="144"/>
        <v>163.20074068819849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1.1368683772161603E-13</v>
      </c>
      <c r="O142" s="13">
        <f>N142*VLOOKUP('Données projet'!$B$9,Paramètres!$A$1:$I$89,3,0)*VLOOKUP('Données projet'!$B$9,Paramètres!$A$1:$I$89,5,0)</f>
        <v>6.3550942286383367E-14</v>
      </c>
      <c r="P142" s="13">
        <f t="shared" si="141"/>
        <v>1.0064464192543978E-12</v>
      </c>
      <c r="Q142" s="20">
        <f t="shared" si="108"/>
        <v>1.8635787380168604E-12</v>
      </c>
      <c r="R142" s="59">
        <f t="shared" si="109"/>
        <v>293.33333333333519</v>
      </c>
      <c r="S142" s="59">
        <f ca="1">AVERAGE(OFFSET($R$3,0,0,'Données projet'!$E$9+1,1))-AVERAGE(OFFSET($H$3,0,0,'Données projet'!$E$9+1,1))</f>
        <v>224.7049802939942</v>
      </c>
      <c r="T142" s="59">
        <f t="shared" si="142"/>
        <v>203.48513862195352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0.25765430291714803</v>
      </c>
      <c r="AA142" s="21">
        <f>EXP(-LN(2)/25)*AA141+(1-EXP(-LN(2)/25))/(LN(2)/25)*Calculateur!V142*Calculateur!X142*VLOOKUP('Données projet'!$B$9,Paramètres!$A$1:$I$89,3,0)*0.475*44/12</f>
        <v>0.95080126823039113</v>
      </c>
      <c r="AB142" s="21">
        <f>EXP(-LN(2)/2)*AB141+(1-EXP(-LN(2)/2))/(LN(2)/2)*V142*Y142*VLOOKUP('Données projet'!$B$9,Paramètres!$A$1:$I$89,3,0)*0.475*44/12</f>
        <v>3.5172475636135393E-16</v>
      </c>
      <c r="AC142" s="22">
        <f t="shared" si="111"/>
        <v>1.2084555711475395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3.4106051316484809E-13</v>
      </c>
      <c r="AJ142" s="13">
        <f>AI142*VLOOKUP('Données projet'!$B$10,Paramètres!$A$1:$I$89,3,0)*VLOOKUP('Données projet'!$B$10,Paramètres!$A$1:$I$89,5,0)</f>
        <v>1.5961632016114892E-13</v>
      </c>
      <c r="AK142" s="13">
        <f t="shared" si="143"/>
        <v>2.2708641912150958E-12</v>
      </c>
      <c r="AL142" s="20">
        <f t="shared" si="112"/>
        <v>4.2330868906469593E-12</v>
      </c>
      <c r="AM142" s="59">
        <f t="shared" si="113"/>
        <v>293.33333333333752</v>
      </c>
      <c r="AN142" s="59">
        <f ca="1">AVERAGE(OFFSET($AM$3,0,0,'Données projet'!$E$10+1,1))-AVERAGE(OFFSET($H$3,0,0,'Données projet'!$E$10+1,1))</f>
        <v>158.58786357608489</v>
      </c>
      <c r="AO142" s="59">
        <f t="shared" si="144"/>
        <v>163.20074068819849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1.1368683772161603E-13</v>
      </c>
      <c r="O143" s="13">
        <f>N143*VLOOKUP('Données projet'!$B$9,Paramètres!$A$1:$I$89,3,0)*VLOOKUP('Données projet'!$B$9,Paramètres!$A$1:$I$89,5,0)</f>
        <v>6.3550942286383367E-14</v>
      </c>
      <c r="P143" s="13">
        <f t="shared" si="141"/>
        <v>1.0064464192543978E-12</v>
      </c>
      <c r="Q143" s="20">
        <f t="shared" si="108"/>
        <v>1.8635787380168604E-12</v>
      </c>
      <c r="R143" s="59">
        <f t="shared" si="109"/>
        <v>293.33333333333519</v>
      </c>
      <c r="S143" s="59">
        <f ca="1">AVERAGE(OFFSET($R$3,0,0,'Données projet'!$E$9+1,1))-AVERAGE(OFFSET($H$3,0,0,'Données projet'!$E$9+1,1))</f>
        <v>224.7049802939942</v>
      </c>
      <c r="T143" s="59">
        <f t="shared" si="142"/>
        <v>203.48513862195352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0.25260185919054989</v>
      </c>
      <c r="AA143" s="21">
        <f>EXP(-LN(2)/25)*AA142+(1-EXP(-LN(2)/25))/(LN(2)/25)*Calculateur!V143*Calculateur!X143*VLOOKUP('Données projet'!$B$9,Paramètres!$A$1:$I$89,3,0)*0.475*44/12</f>
        <v>0.92480155755016547</v>
      </c>
      <c r="AB143" s="21">
        <f>EXP(-LN(2)/2)*AB142+(1-EXP(-LN(2)/2))/(LN(2)/2)*V143*Y143*VLOOKUP('Données projet'!$B$9,Paramètres!$A$1:$I$89,3,0)*0.475*44/12</f>
        <v>2.4870696033429964E-16</v>
      </c>
      <c r="AC143" s="22">
        <f t="shared" si="111"/>
        <v>1.1774034167407155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3.4106051316484809E-13</v>
      </c>
      <c r="AJ143" s="13">
        <f>AI143*VLOOKUP('Données projet'!$B$10,Paramètres!$A$1:$I$89,3,0)*VLOOKUP('Données projet'!$B$10,Paramètres!$A$1:$I$89,5,0)</f>
        <v>1.5961632016114892E-13</v>
      </c>
      <c r="AK143" s="13">
        <f t="shared" si="143"/>
        <v>2.2708641912150958E-12</v>
      </c>
      <c r="AL143" s="20">
        <f t="shared" si="112"/>
        <v>4.2330868906469593E-12</v>
      </c>
      <c r="AM143" s="59">
        <f t="shared" si="113"/>
        <v>293.33333333333752</v>
      </c>
      <c r="AN143" s="59">
        <f ca="1">AVERAGE(OFFSET($AM$3,0,0,'Données projet'!$E$10+1,1))-AVERAGE(OFFSET($H$3,0,0,'Données projet'!$E$10+1,1))</f>
        <v>158.58786357608489</v>
      </c>
      <c r="AO143" s="59">
        <f t="shared" si="144"/>
        <v>163.20074068819849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1.1368683772161603E-13</v>
      </c>
      <c r="O144" s="13">
        <f>N144*VLOOKUP('Données projet'!$B$9,Paramètres!$A$1:$I$89,3,0)*VLOOKUP('Données projet'!$B$9,Paramètres!$A$1:$I$89,5,0)</f>
        <v>6.3550942286383367E-14</v>
      </c>
      <c r="P144" s="13">
        <f t="shared" si="141"/>
        <v>1.0064464192543978E-12</v>
      </c>
      <c r="Q144" s="20">
        <f t="shared" si="108"/>
        <v>1.8635787380168604E-12</v>
      </c>
      <c r="R144" s="59">
        <f t="shared" si="109"/>
        <v>293.33333333333519</v>
      </c>
      <c r="S144" s="59">
        <f ca="1">AVERAGE(OFFSET($R$3,0,0,'Données projet'!$E$9+1,1))-AVERAGE(OFFSET($H$3,0,0,'Données projet'!$E$9+1,1))</f>
        <v>224.7049802939942</v>
      </c>
      <c r="T144" s="59">
        <f t="shared" si="142"/>
        <v>203.48513862195352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0.24764849080374399</v>
      </c>
      <c r="AA144" s="21">
        <f>EXP(-LN(2)/25)*AA143+(1-EXP(-LN(2)/25))/(LN(2)/25)*Calculateur!V144*Calculateur!X144*VLOOKUP('Données projet'!$B$9,Paramètres!$A$1:$I$89,3,0)*0.475*44/12</f>
        <v>0.89951281032575592</v>
      </c>
      <c r="AB144" s="21">
        <f>EXP(-LN(2)/2)*AB143+(1-EXP(-LN(2)/2))/(LN(2)/2)*V144*Y144*VLOOKUP('Données projet'!$B$9,Paramètres!$A$1:$I$89,3,0)*0.475*44/12</f>
        <v>1.7586237818067697E-16</v>
      </c>
      <c r="AC144" s="22">
        <f t="shared" si="111"/>
        <v>1.1471613011295001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3.4106051316484809E-13</v>
      </c>
      <c r="AJ144" s="13">
        <f>AI144*VLOOKUP('Données projet'!$B$10,Paramètres!$A$1:$I$89,3,0)*VLOOKUP('Données projet'!$B$10,Paramètres!$A$1:$I$89,5,0)</f>
        <v>1.5961632016114892E-13</v>
      </c>
      <c r="AK144" s="13">
        <f t="shared" si="143"/>
        <v>2.2708641912150958E-12</v>
      </c>
      <c r="AL144" s="20">
        <f t="shared" si="112"/>
        <v>4.2330868906469593E-12</v>
      </c>
      <c r="AM144" s="59">
        <f t="shared" si="113"/>
        <v>293.33333333333752</v>
      </c>
      <c r="AN144" s="59">
        <f ca="1">AVERAGE(OFFSET($AM$3,0,0,'Données projet'!$E$10+1,1))-AVERAGE(OFFSET($H$3,0,0,'Données projet'!$E$10+1,1))</f>
        <v>158.58786357608489</v>
      </c>
      <c r="AO144" s="59">
        <f t="shared" si="144"/>
        <v>163.20074068819849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1.1368683772161603E-13</v>
      </c>
      <c r="O145" s="13">
        <f>N145*VLOOKUP('Données projet'!$B$9,Paramètres!$A$1:$I$89,3,0)*VLOOKUP('Données projet'!$B$9,Paramètres!$A$1:$I$89,5,0)</f>
        <v>6.3550942286383367E-14</v>
      </c>
      <c r="P145" s="13">
        <f t="shared" si="141"/>
        <v>1.0064464192543978E-12</v>
      </c>
      <c r="Q145" s="20">
        <f t="shared" si="108"/>
        <v>1.8635787380168604E-12</v>
      </c>
      <c r="R145" s="59">
        <f t="shared" si="109"/>
        <v>293.33333333333519</v>
      </c>
      <c r="S145" s="59">
        <f ca="1">AVERAGE(OFFSET($R$3,0,0,'Données projet'!$E$9+1,1))-AVERAGE(OFFSET($H$3,0,0,'Données projet'!$E$9+1,1))</f>
        <v>224.7049802939942</v>
      </c>
      <c r="T145" s="59">
        <f t="shared" si="142"/>
        <v>203.48513862195352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0.24279225494974693</v>
      </c>
      <c r="AA145" s="21">
        <f>EXP(-LN(2)/25)*AA144+(1-EXP(-LN(2)/25))/(LN(2)/25)*Calculateur!V145*Calculateur!X145*VLOOKUP('Données projet'!$B$9,Paramètres!$A$1:$I$89,3,0)*0.475*44/12</f>
        <v>0.87491558522407531</v>
      </c>
      <c r="AB145" s="21">
        <f>EXP(-LN(2)/2)*AB144+(1-EXP(-LN(2)/2))/(LN(2)/2)*V145*Y145*VLOOKUP('Données projet'!$B$9,Paramètres!$A$1:$I$89,3,0)*0.475*44/12</f>
        <v>1.2435348016714982E-16</v>
      </c>
      <c r="AC145" s="22">
        <f t="shared" si="111"/>
        <v>1.1177078401738225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3.4106051316484809E-13</v>
      </c>
      <c r="AJ145" s="13">
        <f>AI145*VLOOKUP('Données projet'!$B$10,Paramètres!$A$1:$I$89,3,0)*VLOOKUP('Données projet'!$B$10,Paramètres!$A$1:$I$89,5,0)</f>
        <v>1.5961632016114892E-13</v>
      </c>
      <c r="AK145" s="13">
        <f t="shared" si="143"/>
        <v>2.2708641912150958E-12</v>
      </c>
      <c r="AL145" s="20">
        <f t="shared" si="112"/>
        <v>4.2330868906469593E-12</v>
      </c>
      <c r="AM145" s="59">
        <f t="shared" si="113"/>
        <v>293.33333333333752</v>
      </c>
      <c r="AN145" s="59">
        <f ca="1">AVERAGE(OFFSET($AM$3,0,0,'Données projet'!$E$10+1,1))-AVERAGE(OFFSET($H$3,0,0,'Données projet'!$E$10+1,1))</f>
        <v>158.58786357608489</v>
      </c>
      <c r="AO145" s="59">
        <f t="shared" si="144"/>
        <v>163.20074068819849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1.1368683772161603E-13</v>
      </c>
      <c r="O146" s="13">
        <f>N146*VLOOKUP('Données projet'!$B$9,Paramètres!$A$1:$I$89,3,0)*VLOOKUP('Données projet'!$B$9,Paramètres!$A$1:$I$89,5,0)</f>
        <v>6.3550942286383367E-14</v>
      </c>
      <c r="P146" s="13">
        <f t="shared" si="141"/>
        <v>1.0064464192543978E-12</v>
      </c>
      <c r="Q146" s="20">
        <f t="shared" si="108"/>
        <v>1.8635787380168604E-12</v>
      </c>
      <c r="R146" s="59">
        <f t="shared" si="109"/>
        <v>293.33333333333519</v>
      </c>
      <c r="S146" s="59">
        <f ca="1">AVERAGE(OFFSET($R$3,0,0,'Données projet'!$E$9+1,1))-AVERAGE(OFFSET($H$3,0,0,'Données projet'!$E$9+1,1))</f>
        <v>224.7049802939942</v>
      </c>
      <c r="T146" s="59">
        <f t="shared" si="142"/>
        <v>203.48513862195352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0.23803124691883537</v>
      </c>
      <c r="AA146" s="21">
        <f>EXP(-LN(2)/25)*AA145+(1-EXP(-LN(2)/25))/(LN(2)/25)*Calculateur!V146*Calculateur!X146*VLOOKUP('Données projet'!$B$9,Paramètres!$A$1:$I$89,3,0)*0.475*44/12</f>
        <v>0.85099097253631195</v>
      </c>
      <c r="AB146" s="21">
        <f>EXP(-LN(2)/2)*AB145+(1-EXP(-LN(2)/2))/(LN(2)/2)*V146*Y146*VLOOKUP('Données projet'!$B$9,Paramètres!$A$1:$I$89,3,0)*0.475*44/12</f>
        <v>8.7931189090338484E-17</v>
      </c>
      <c r="AC146" s="22">
        <f t="shared" si="111"/>
        <v>1.0890222194551473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3.4106051316484809E-13</v>
      </c>
      <c r="AJ146" s="13">
        <f>AI146*VLOOKUP('Données projet'!$B$10,Paramètres!$A$1:$I$89,3,0)*VLOOKUP('Données projet'!$B$10,Paramètres!$A$1:$I$89,5,0)</f>
        <v>1.5961632016114892E-13</v>
      </c>
      <c r="AK146" s="13">
        <f t="shared" si="143"/>
        <v>2.2708641912150958E-12</v>
      </c>
      <c r="AL146" s="20">
        <f t="shared" si="112"/>
        <v>4.2330868906469593E-12</v>
      </c>
      <c r="AM146" s="59">
        <f t="shared" si="113"/>
        <v>293.33333333333752</v>
      </c>
      <c r="AN146" s="59">
        <f ca="1">AVERAGE(OFFSET($AM$3,0,0,'Données projet'!$E$10+1,1))-AVERAGE(OFFSET($H$3,0,0,'Données projet'!$E$10+1,1))</f>
        <v>158.58786357608489</v>
      </c>
      <c r="AO146" s="59">
        <f t="shared" si="144"/>
        <v>163.20074068819849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1.1368683772161603E-13</v>
      </c>
      <c r="O147" s="13">
        <f>N147*VLOOKUP('Données projet'!$B$9,Paramètres!$A$1:$I$89,3,0)*VLOOKUP('Données projet'!$B$9,Paramètres!$A$1:$I$89,5,0)</f>
        <v>6.3550942286383367E-14</v>
      </c>
      <c r="P147" s="13">
        <f t="shared" si="141"/>
        <v>1.0064464192543978E-12</v>
      </c>
      <c r="Q147" s="20">
        <f t="shared" si="108"/>
        <v>1.8635787380168604E-12</v>
      </c>
      <c r="R147" s="59">
        <f t="shared" si="109"/>
        <v>293.33333333333519</v>
      </c>
      <c r="S147" s="59">
        <f ca="1">AVERAGE(OFFSET($R$3,0,0,'Données projet'!$E$9+1,1))-AVERAGE(OFFSET($H$3,0,0,'Données projet'!$E$9+1,1))</f>
        <v>224.7049802939942</v>
      </c>
      <c r="T147" s="59">
        <f t="shared" si="142"/>
        <v>203.48513862195352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0.23336359935148182</v>
      </c>
      <c r="AA147" s="21">
        <f>EXP(-LN(2)/25)*AA146+(1-EXP(-LN(2)/25))/(LN(2)/25)*Calculateur!V147*Calculateur!X147*VLOOKUP('Données projet'!$B$9,Paramètres!$A$1:$I$89,3,0)*0.475*44/12</f>
        <v>0.82772057964063617</v>
      </c>
      <c r="AB147" s="21">
        <f>EXP(-LN(2)/2)*AB146+(1-EXP(-LN(2)/2))/(LN(2)/2)*V147*Y147*VLOOKUP('Données projet'!$B$9,Paramètres!$A$1:$I$89,3,0)*0.475*44/12</f>
        <v>6.2176740083574909E-17</v>
      </c>
      <c r="AC147" s="22">
        <f t="shared" si="111"/>
        <v>1.0610841789921179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3.4106051316484809E-13</v>
      </c>
      <c r="AJ147" s="13">
        <f>AI147*VLOOKUP('Données projet'!$B$10,Paramètres!$A$1:$I$89,3,0)*VLOOKUP('Données projet'!$B$10,Paramètres!$A$1:$I$89,5,0)</f>
        <v>1.5961632016114892E-13</v>
      </c>
      <c r="AK147" s="13">
        <f t="shared" si="143"/>
        <v>2.2708641912150958E-12</v>
      </c>
      <c r="AL147" s="20">
        <f t="shared" si="112"/>
        <v>4.2330868906469593E-12</v>
      </c>
      <c r="AM147" s="59">
        <f t="shared" si="113"/>
        <v>293.33333333333752</v>
      </c>
      <c r="AN147" s="59">
        <f ca="1">AVERAGE(OFFSET($AM$3,0,0,'Données projet'!$E$10+1,1))-AVERAGE(OFFSET($H$3,0,0,'Données projet'!$E$10+1,1))</f>
        <v>158.58786357608489</v>
      </c>
      <c r="AO147" s="59">
        <f t="shared" si="144"/>
        <v>163.20074068819849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1.1368683772161603E-13</v>
      </c>
      <c r="O148" s="13">
        <f>N148*VLOOKUP('Données projet'!$B$9,Paramètres!$A$1:$I$89,3,0)*VLOOKUP('Données projet'!$B$9,Paramètres!$A$1:$I$89,5,0)</f>
        <v>6.3550942286383367E-14</v>
      </c>
      <c r="P148" s="13">
        <f t="shared" si="141"/>
        <v>1.0064464192543978E-12</v>
      </c>
      <c r="Q148" s="20">
        <f t="shared" si="108"/>
        <v>1.8635787380168604E-12</v>
      </c>
      <c r="R148" s="59">
        <f t="shared" si="109"/>
        <v>293.33333333333519</v>
      </c>
      <c r="S148" s="59">
        <f ca="1">AVERAGE(OFFSET($R$3,0,0,'Données projet'!$E$9+1,1))-AVERAGE(OFFSET($H$3,0,0,'Données projet'!$E$9+1,1))</f>
        <v>224.7049802939942</v>
      </c>
      <c r="T148" s="59">
        <f t="shared" si="142"/>
        <v>203.48513862195352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0.22878748150594019</v>
      </c>
      <c r="AA148" s="21">
        <f>EXP(-LN(2)/25)*AA147+(1-EXP(-LN(2)/25))/(LN(2)/25)*Calculateur!V148*Calculateur!X148*VLOOKUP('Données projet'!$B$9,Paramètres!$A$1:$I$89,3,0)*0.475*44/12</f>
        <v>0.80508651686242949</v>
      </c>
      <c r="AB148" s="21">
        <f>EXP(-LN(2)/2)*AB147+(1-EXP(-LN(2)/2))/(LN(2)/2)*V148*Y148*VLOOKUP('Données projet'!$B$9,Paramètres!$A$1:$I$89,3,0)*0.475*44/12</f>
        <v>4.3965594545169242E-17</v>
      </c>
      <c r="AC148" s="22">
        <f t="shared" si="111"/>
        <v>1.0338739983683696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3.4106051316484809E-13</v>
      </c>
      <c r="AJ148" s="13">
        <f>AI148*VLOOKUP('Données projet'!$B$10,Paramètres!$A$1:$I$89,3,0)*VLOOKUP('Données projet'!$B$10,Paramètres!$A$1:$I$89,5,0)</f>
        <v>1.5961632016114892E-13</v>
      </c>
      <c r="AK148" s="13">
        <f t="shared" si="143"/>
        <v>2.2708641912150958E-12</v>
      </c>
      <c r="AL148" s="20">
        <f t="shared" si="112"/>
        <v>4.2330868906469593E-12</v>
      </c>
      <c r="AM148" s="59">
        <f t="shared" si="113"/>
        <v>293.33333333333752</v>
      </c>
      <c r="AN148" s="59">
        <f ca="1">AVERAGE(OFFSET($AM$3,0,0,'Données projet'!$E$10+1,1))-AVERAGE(OFFSET($H$3,0,0,'Données projet'!$E$10+1,1))</f>
        <v>158.58786357608489</v>
      </c>
      <c r="AO148" s="59">
        <f t="shared" si="144"/>
        <v>163.20074068819849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1.1368683772161603E-13</v>
      </c>
      <c r="O149" s="13">
        <f>N149*VLOOKUP('Données projet'!$B$9,Paramètres!$A$1:$I$89,3,0)*VLOOKUP('Données projet'!$B$9,Paramètres!$A$1:$I$89,5,0)</f>
        <v>6.3550942286383367E-14</v>
      </c>
      <c r="P149" s="13">
        <f t="shared" si="141"/>
        <v>1.0064464192543978E-12</v>
      </c>
      <c r="Q149" s="20">
        <f t="shared" si="108"/>
        <v>1.8635787380168604E-12</v>
      </c>
      <c r="R149" s="59">
        <f t="shared" si="109"/>
        <v>293.33333333333519</v>
      </c>
      <c r="S149" s="59">
        <f ca="1">AVERAGE(OFFSET($R$3,0,0,'Données projet'!$E$9+1,1))-AVERAGE(OFFSET($H$3,0,0,'Données projet'!$E$9+1,1))</f>
        <v>224.7049802939942</v>
      </c>
      <c r="T149" s="59">
        <f t="shared" si="142"/>
        <v>203.48513862195352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0.22430109854019334</v>
      </c>
      <c r="AA149" s="21">
        <f>EXP(-LN(2)/25)*AA148+(1-EXP(-LN(2)/25))/(LN(2)/25)*Calculateur!V149*Calculateur!X149*VLOOKUP('Données projet'!$B$9,Paramètres!$A$1:$I$89,3,0)*0.475*44/12</f>
        <v>0.78307138372116647</v>
      </c>
      <c r="AB149" s="21">
        <f>EXP(-LN(2)/2)*AB148+(1-EXP(-LN(2)/2))/(LN(2)/2)*V149*Y149*VLOOKUP('Données projet'!$B$9,Paramètres!$A$1:$I$89,3,0)*0.475*44/12</f>
        <v>3.1088370041787455E-17</v>
      </c>
      <c r="AC149" s="22">
        <f t="shared" si="111"/>
        <v>1.0073724822613599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3.4106051316484809E-13</v>
      </c>
      <c r="AJ149" s="13">
        <f>AI149*VLOOKUP('Données projet'!$B$10,Paramètres!$A$1:$I$89,3,0)*VLOOKUP('Données projet'!$B$10,Paramètres!$A$1:$I$89,5,0)</f>
        <v>1.5961632016114892E-13</v>
      </c>
      <c r="AK149" s="13">
        <f t="shared" si="143"/>
        <v>2.2708641912150958E-12</v>
      </c>
      <c r="AL149" s="20">
        <f t="shared" si="112"/>
        <v>4.2330868906469593E-12</v>
      </c>
      <c r="AM149" s="59">
        <f t="shared" si="113"/>
        <v>293.33333333333752</v>
      </c>
      <c r="AN149" s="59">
        <f ca="1">AVERAGE(OFFSET($AM$3,0,0,'Données projet'!$E$10+1,1))-AVERAGE(OFFSET($H$3,0,0,'Données projet'!$E$10+1,1))</f>
        <v>158.58786357608489</v>
      </c>
      <c r="AO149" s="59">
        <f t="shared" si="144"/>
        <v>163.20074068819849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1.1368683772161603E-13</v>
      </c>
      <c r="O150" s="13">
        <f>N150*VLOOKUP('Données projet'!$B$9,Paramètres!$A$1:$I$89,3,0)*VLOOKUP('Données projet'!$B$9,Paramètres!$A$1:$I$89,5,0)</f>
        <v>6.3550942286383367E-14</v>
      </c>
      <c r="P150" s="13">
        <f t="shared" si="141"/>
        <v>1.0064464192543978E-12</v>
      </c>
      <c r="Q150" s="20">
        <f t="shared" si="108"/>
        <v>1.8635787380168604E-12</v>
      </c>
      <c r="R150" s="59">
        <f t="shared" si="109"/>
        <v>293.33333333333519</v>
      </c>
      <c r="S150" s="59">
        <f ca="1">AVERAGE(OFFSET($R$3,0,0,'Données projet'!$E$9+1,1))-AVERAGE(OFFSET($H$3,0,0,'Données projet'!$E$9+1,1))</f>
        <v>224.7049802939942</v>
      </c>
      <c r="T150" s="59">
        <f t="shared" si="142"/>
        <v>203.48513862195352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0.21990269080798139</v>
      </c>
      <c r="AA150" s="21">
        <f>EXP(-LN(2)/25)*AA149+(1-EXP(-LN(2)/25))/(LN(2)/25)*Calculateur!V150*Calculateur!X150*VLOOKUP('Données projet'!$B$9,Paramètres!$A$1:$I$89,3,0)*0.475*44/12</f>
        <v>0.76165825555337685</v>
      </c>
      <c r="AB150" s="21">
        <f>EXP(-LN(2)/2)*AB149+(1-EXP(-LN(2)/2))/(LN(2)/2)*V150*Y150*VLOOKUP('Données projet'!$B$9,Paramètres!$A$1:$I$89,3,0)*0.475*44/12</f>
        <v>2.1982797272584621E-17</v>
      </c>
      <c r="AC150" s="22">
        <f t="shared" si="111"/>
        <v>0.98156094636135827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3.4106051316484809E-13</v>
      </c>
      <c r="AJ150" s="13">
        <f>AI150*VLOOKUP('Données projet'!$B$10,Paramètres!$A$1:$I$89,3,0)*VLOOKUP('Données projet'!$B$10,Paramètres!$A$1:$I$89,5,0)</f>
        <v>1.5961632016114892E-13</v>
      </c>
      <c r="AK150" s="13">
        <f t="shared" si="143"/>
        <v>2.2708641912150958E-12</v>
      </c>
      <c r="AL150" s="20">
        <f t="shared" si="112"/>
        <v>4.2330868906469593E-12</v>
      </c>
      <c r="AM150" s="59">
        <f t="shared" si="113"/>
        <v>293.33333333333752</v>
      </c>
      <c r="AN150" s="59">
        <f ca="1">AVERAGE(OFFSET($AM$3,0,0,'Données projet'!$E$10+1,1))-AVERAGE(OFFSET($H$3,0,0,'Données projet'!$E$10+1,1))</f>
        <v>158.58786357608489</v>
      </c>
      <c r="AO150" s="59">
        <f t="shared" si="144"/>
        <v>163.20074068819849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1.1368683772161603E-13</v>
      </c>
      <c r="O151" s="13">
        <f>N151*VLOOKUP('Données projet'!$B$9,Paramètres!$A$1:$I$89,3,0)*VLOOKUP('Données projet'!$B$9,Paramètres!$A$1:$I$89,5,0)</f>
        <v>6.3550942286383367E-14</v>
      </c>
      <c r="P151" s="13">
        <f t="shared" si="141"/>
        <v>1.0064464192543978E-12</v>
      </c>
      <c r="Q151" s="20">
        <f t="shared" si="108"/>
        <v>1.8635787380168604E-12</v>
      </c>
      <c r="R151" s="59">
        <f t="shared" si="109"/>
        <v>293.33333333333519</v>
      </c>
      <c r="S151" s="59">
        <f ca="1">AVERAGE(OFFSET($R$3,0,0,'Données projet'!$E$9+1,1))-AVERAGE(OFFSET($H$3,0,0,'Données projet'!$E$9+1,1))</f>
        <v>224.7049802939942</v>
      </c>
      <c r="T151" s="59">
        <f t="shared" si="142"/>
        <v>203.48513862195352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0.21559053316863427</v>
      </c>
      <c r="AA151" s="21">
        <f>EXP(-LN(2)/25)*AA150+(1-EXP(-LN(2)/25))/(LN(2)/25)*Calculateur!V151*Calculateur!X151*VLOOKUP('Données projet'!$B$9,Paramètres!$A$1:$I$89,3,0)*0.475*44/12</f>
        <v>0.74083067050140294</v>
      </c>
      <c r="AB151" s="21">
        <f>EXP(-LN(2)/2)*AB150+(1-EXP(-LN(2)/2))/(LN(2)/2)*V151*Y151*VLOOKUP('Données projet'!$B$9,Paramètres!$A$1:$I$89,3,0)*0.475*44/12</f>
        <v>1.5544185020893727E-17</v>
      </c>
      <c r="AC151" s="22">
        <f t="shared" si="111"/>
        <v>0.95642120367003725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3.4106051316484809E-13</v>
      </c>
      <c r="AJ151" s="13">
        <f>AI151*VLOOKUP('Données projet'!$B$10,Paramètres!$A$1:$I$89,3,0)*VLOOKUP('Données projet'!$B$10,Paramètres!$A$1:$I$89,5,0)</f>
        <v>1.5961632016114892E-13</v>
      </c>
      <c r="AK151" s="13">
        <f t="shared" si="143"/>
        <v>2.2708641912150958E-12</v>
      </c>
      <c r="AL151" s="20">
        <f t="shared" si="112"/>
        <v>4.2330868906469593E-12</v>
      </c>
      <c r="AM151" s="59">
        <f t="shared" si="113"/>
        <v>293.33333333333752</v>
      </c>
      <c r="AN151" s="59">
        <f ca="1">AVERAGE(OFFSET($AM$3,0,0,'Données projet'!$E$10+1,1))-AVERAGE(OFFSET($H$3,0,0,'Données projet'!$E$10+1,1))</f>
        <v>158.58786357608489</v>
      </c>
      <c r="AO151" s="59">
        <f t="shared" si="144"/>
        <v>163.20074068819849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1.1368683772161603E-13</v>
      </c>
      <c r="O152" s="13">
        <f>N152*VLOOKUP('Données projet'!$B$9,Paramètres!$A$1:$I$89,3,0)*VLOOKUP('Données projet'!$B$9,Paramètres!$A$1:$I$89,5,0)</f>
        <v>6.3550942286383367E-14</v>
      </c>
      <c r="P152" s="13">
        <f t="shared" si="141"/>
        <v>1.0064464192543978E-12</v>
      </c>
      <c r="Q152" s="20">
        <f t="shared" si="108"/>
        <v>1.8635787380168604E-12</v>
      </c>
      <c r="R152" s="59">
        <f t="shared" si="109"/>
        <v>293.33333333333519</v>
      </c>
      <c r="S152" s="59">
        <f ca="1">AVERAGE(OFFSET($R$3,0,0,'Données projet'!$E$9+1,1))-AVERAGE(OFFSET($H$3,0,0,'Données projet'!$E$9+1,1))</f>
        <v>224.7049802939942</v>
      </c>
      <c r="T152" s="59">
        <f t="shared" si="142"/>
        <v>203.48513862195352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0.21136293431043832</v>
      </c>
      <c r="AA152" s="21">
        <f>EXP(-LN(2)/25)*AA151+(1-EXP(-LN(2)/25))/(LN(2)/25)*Calculateur!V152*Calculateur!X152*VLOOKUP('Données projet'!$B$9,Paramètres!$A$1:$I$89,3,0)*0.475*44/12</f>
        <v>0.72057261685795027</v>
      </c>
      <c r="AB152" s="21">
        <f>EXP(-LN(2)/2)*AB151+(1-EXP(-LN(2)/2))/(LN(2)/2)*V152*Y152*VLOOKUP('Données projet'!$B$9,Paramètres!$A$1:$I$89,3,0)*0.475*44/12</f>
        <v>1.099139863629231E-17</v>
      </c>
      <c r="AC152" s="22">
        <f t="shared" si="111"/>
        <v>0.93193555116838855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3.4106051316484809E-13</v>
      </c>
      <c r="AJ152" s="13">
        <f>AI152*VLOOKUP('Données projet'!$B$10,Paramètres!$A$1:$I$89,3,0)*VLOOKUP('Données projet'!$B$10,Paramètres!$A$1:$I$89,5,0)</f>
        <v>1.5961632016114892E-13</v>
      </c>
      <c r="AK152" s="13">
        <f t="shared" si="143"/>
        <v>2.2708641912150958E-12</v>
      </c>
      <c r="AL152" s="20">
        <f t="shared" si="112"/>
        <v>4.2330868906469593E-12</v>
      </c>
      <c r="AM152" s="59">
        <f t="shared" si="113"/>
        <v>293.33333333333752</v>
      </c>
      <c r="AN152" s="59">
        <f ca="1">AVERAGE(OFFSET($AM$3,0,0,'Données projet'!$E$10+1,1))-AVERAGE(OFFSET($H$3,0,0,'Données projet'!$E$10+1,1))</f>
        <v>158.58786357608489</v>
      </c>
      <c r="AO152" s="59">
        <f t="shared" si="144"/>
        <v>163.20074068819849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1.1368683772161603E-13</v>
      </c>
      <c r="O153" s="13">
        <f>N153*VLOOKUP('Données projet'!$B$9,Paramètres!$A$1:$I$89,3,0)*VLOOKUP('Données projet'!$B$9,Paramètres!$A$1:$I$89,5,0)</f>
        <v>6.3550942286383367E-14</v>
      </c>
      <c r="P153" s="13">
        <f t="shared" si="141"/>
        <v>1.0064464192543978E-12</v>
      </c>
      <c r="Q153" s="20">
        <f t="shared" si="108"/>
        <v>1.8635787380168604E-12</v>
      </c>
      <c r="R153" s="59">
        <f t="shared" si="109"/>
        <v>293.33333333333519</v>
      </c>
      <c r="S153" s="59">
        <f ca="1">AVERAGE(OFFSET($R$3,0,0,'Données projet'!$E$9+1,1))-AVERAGE(OFFSET($H$3,0,0,'Données projet'!$E$9+1,1))</f>
        <v>224.7049802939942</v>
      </c>
      <c r="T153" s="59">
        <f t="shared" si="142"/>
        <v>203.48513862195352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0.20721823608727089</v>
      </c>
      <c r="AA153" s="21">
        <f>EXP(-LN(2)/25)*AA152+(1-EXP(-LN(2)/25))/(LN(2)/25)*Calculateur!V153*Calculateur!X153*VLOOKUP('Données projet'!$B$9,Paramètres!$A$1:$I$89,3,0)*0.475*44/12</f>
        <v>0.70086852075670258</v>
      </c>
      <c r="AB153" s="21">
        <f>EXP(-LN(2)/2)*AB152+(1-EXP(-LN(2)/2))/(LN(2)/2)*V153*Y153*VLOOKUP('Données projet'!$B$9,Paramètres!$A$1:$I$89,3,0)*0.475*44/12</f>
        <v>7.7720925104468636E-18</v>
      </c>
      <c r="AC153" s="22">
        <f t="shared" si="111"/>
        <v>0.90808675684397344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3.4106051316484809E-13</v>
      </c>
      <c r="AJ153" s="13">
        <f>AI153*VLOOKUP('Données projet'!$B$10,Paramètres!$A$1:$I$89,3,0)*VLOOKUP('Données projet'!$B$10,Paramètres!$A$1:$I$89,5,0)</f>
        <v>1.5961632016114892E-13</v>
      </c>
      <c r="AK153" s="13">
        <f t="shared" si="143"/>
        <v>2.2708641912150958E-12</v>
      </c>
      <c r="AL153" s="20">
        <f t="shared" si="112"/>
        <v>4.2330868906469593E-12</v>
      </c>
      <c r="AM153" s="59">
        <f t="shared" si="113"/>
        <v>293.33333333333752</v>
      </c>
      <c r="AN153" s="59">
        <f ca="1">AVERAGE(OFFSET($AM$3,0,0,'Données projet'!$E$10+1,1))-AVERAGE(OFFSET($H$3,0,0,'Données projet'!$E$10+1,1))</f>
        <v>158.58786357608489</v>
      </c>
      <c r="AO153" s="59">
        <f t="shared" si="144"/>
        <v>163.20074068819849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1.1368683772161603E-13</v>
      </c>
      <c r="O154" s="13">
        <f>N154*VLOOKUP('Données projet'!$B$9,Paramètres!$A$1:$I$89,3,0)*VLOOKUP('Données projet'!$B$9,Paramètres!$A$1:$I$89,5,0)</f>
        <v>6.3550942286383367E-14</v>
      </c>
      <c r="P154" s="13">
        <f t="shared" si="141"/>
        <v>1.0064464192543978E-12</v>
      </c>
      <c r="Q154" s="20">
        <f t="shared" ref="Q154:Q203" si="162">(O154+P154)*0.475*44/12</f>
        <v>1.8635787380168604E-12</v>
      </c>
      <c r="R154" s="59">
        <f t="shared" si="109"/>
        <v>293.33333333333519</v>
      </c>
      <c r="S154" s="59">
        <f ca="1">AVERAGE(OFFSET($R$3,0,0,'Données projet'!$E$9+1,1))-AVERAGE(OFFSET($H$3,0,0,'Données projet'!$E$9+1,1))</f>
        <v>224.7049802939942</v>
      </c>
      <c r="T154" s="59">
        <f t="shared" si="142"/>
        <v>203.48513862195352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0.20315481286824347</v>
      </c>
      <c r="AA154" s="21">
        <f>EXP(-LN(2)/25)*AA153+(1-EXP(-LN(2)/25))/(LN(2)/25)*Calculateur!V154*Calculateur!X154*VLOOKUP('Données projet'!$B$9,Paramètres!$A$1:$I$89,3,0)*0.475*44/12</f>
        <v>0.68170323419953693</v>
      </c>
      <c r="AB154" s="21">
        <f>EXP(-LN(2)/2)*AB153+(1-EXP(-LN(2)/2))/(LN(2)/2)*V154*Y154*VLOOKUP('Données projet'!$B$9,Paramètres!$A$1:$I$89,3,0)*0.475*44/12</f>
        <v>5.4956993181461552E-18</v>
      </c>
      <c r="AC154" s="22">
        <f t="shared" ref="AC154:AC203" si="163">SUM(Z154:AB154)</f>
        <v>0.88485804706778037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3.4106051316484809E-13</v>
      </c>
      <c r="AJ154" s="13">
        <f>AI154*VLOOKUP('Données projet'!$B$10,Paramètres!$A$1:$I$89,3,0)*VLOOKUP('Données projet'!$B$10,Paramètres!$A$1:$I$89,5,0)</f>
        <v>1.5961632016114892E-13</v>
      </c>
      <c r="AK154" s="13">
        <f t="shared" ref="AK154:AK203" si="164">EXP(-1.0587+0.8836*LN(AJ154)+0.284)</f>
        <v>2.2708641912150958E-12</v>
      </c>
      <c r="AL154" s="20">
        <f t="shared" ref="AL154:AL203" si="165">(AJ154+AK154)*0.475*44/12</f>
        <v>4.2330868906469593E-12</v>
      </c>
      <c r="AM154" s="59">
        <f t="shared" si="113"/>
        <v>293.33333333333752</v>
      </c>
      <c r="AN154" s="59">
        <f ca="1">AVERAGE(OFFSET($AM$3,0,0,'Données projet'!$E$10+1,1))-AVERAGE(OFFSET($H$3,0,0,'Données projet'!$E$10+1,1))</f>
        <v>158.58786357608489</v>
      </c>
      <c r="AO154" s="59">
        <f t="shared" si="144"/>
        <v>163.20074068819849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1.1368683772161603E-13</v>
      </c>
      <c r="O155" s="13">
        <f>N155*VLOOKUP('Données projet'!$B$9,Paramètres!$A$1:$I$89,3,0)*VLOOKUP('Données projet'!$B$9,Paramètres!$A$1:$I$89,5,0)</f>
        <v>6.3550942286383367E-14</v>
      </c>
      <c r="P155" s="13">
        <f t="shared" si="141"/>
        <v>1.0064464192543978E-12</v>
      </c>
      <c r="Q155" s="20">
        <f t="shared" si="162"/>
        <v>1.8635787380168604E-12</v>
      </c>
      <c r="R155" s="59">
        <f t="shared" si="109"/>
        <v>293.33333333333519</v>
      </c>
      <c r="S155" s="59">
        <f ca="1">AVERAGE(OFFSET($R$3,0,0,'Données projet'!$E$9+1,1))-AVERAGE(OFFSET($H$3,0,0,'Données projet'!$E$9+1,1))</f>
        <v>224.7049802939942</v>
      </c>
      <c r="T155" s="59">
        <f t="shared" si="142"/>
        <v>203.48513862195352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0.19917107090009775</v>
      </c>
      <c r="AA155" s="21">
        <f>EXP(-LN(2)/25)*AA154+(1-EXP(-LN(2)/25))/(LN(2)/25)*Calculateur!V155*Calculateur!X155*VLOOKUP('Données projet'!$B$9,Paramètres!$A$1:$I$89,3,0)*0.475*44/12</f>
        <v>0.66306202341113551</v>
      </c>
      <c r="AB155" s="21">
        <f>EXP(-LN(2)/2)*AB154+(1-EXP(-LN(2)/2))/(LN(2)/2)*V155*Y155*VLOOKUP('Données projet'!$B$9,Paramètres!$A$1:$I$89,3,0)*0.475*44/12</f>
        <v>3.8860462552234318E-18</v>
      </c>
      <c r="AC155" s="22">
        <f t="shared" si="163"/>
        <v>0.86223309431123329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3.4106051316484809E-13</v>
      </c>
      <c r="AJ155" s="13">
        <f>AI155*VLOOKUP('Données projet'!$B$10,Paramètres!$A$1:$I$89,3,0)*VLOOKUP('Données projet'!$B$10,Paramètres!$A$1:$I$89,5,0)</f>
        <v>1.5961632016114892E-13</v>
      </c>
      <c r="AK155" s="13">
        <f t="shared" si="164"/>
        <v>2.2708641912150958E-12</v>
      </c>
      <c r="AL155" s="20">
        <f t="shared" si="165"/>
        <v>4.2330868906469593E-12</v>
      </c>
      <c r="AM155" s="59">
        <f t="shared" si="113"/>
        <v>293.33333333333752</v>
      </c>
      <c r="AN155" s="59">
        <f ca="1">AVERAGE(OFFSET($AM$3,0,0,'Données projet'!$E$10+1,1))-AVERAGE(OFFSET($H$3,0,0,'Données projet'!$E$10+1,1))</f>
        <v>158.58786357608489</v>
      </c>
      <c r="AO155" s="59">
        <f t="shared" si="144"/>
        <v>163.20074068819849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1.1368683772161603E-13</v>
      </c>
      <c r="O156" s="13">
        <f>N156*VLOOKUP('Données projet'!$B$9,Paramètres!$A$1:$I$89,3,0)*VLOOKUP('Données projet'!$B$9,Paramètres!$A$1:$I$89,5,0)</f>
        <v>6.3550942286383367E-14</v>
      </c>
      <c r="P156" s="13">
        <f t="shared" si="141"/>
        <v>1.0064464192543978E-12</v>
      </c>
      <c r="Q156" s="20">
        <f t="shared" si="162"/>
        <v>1.8635787380168604E-12</v>
      </c>
      <c r="R156" s="59">
        <f t="shared" si="109"/>
        <v>293.33333333333519</v>
      </c>
      <c r="S156" s="59">
        <f ca="1">AVERAGE(OFFSET($R$3,0,0,'Données projet'!$E$9+1,1))-AVERAGE(OFFSET($H$3,0,0,'Données projet'!$E$9+1,1))</f>
        <v>224.7049802939942</v>
      </c>
      <c r="T156" s="59">
        <f t="shared" si="142"/>
        <v>203.48513862195352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0.19526544768210469</v>
      </c>
      <c r="AA156" s="21">
        <f>EXP(-LN(2)/25)*AA155+(1-EXP(-LN(2)/25))/(LN(2)/25)*Calculateur!V156*Calculateur!X156*VLOOKUP('Données projet'!$B$9,Paramètres!$A$1:$I$89,3,0)*0.475*44/12</f>
        <v>0.64493055751204165</v>
      </c>
      <c r="AB156" s="21">
        <f>EXP(-LN(2)/2)*AB155+(1-EXP(-LN(2)/2))/(LN(2)/2)*V156*Y156*VLOOKUP('Données projet'!$B$9,Paramètres!$A$1:$I$89,3,0)*0.475*44/12</f>
        <v>2.7478496590730776E-18</v>
      </c>
      <c r="AC156" s="22">
        <f t="shared" si="163"/>
        <v>0.84019600519414639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3.4106051316484809E-13</v>
      </c>
      <c r="AJ156" s="13">
        <f>AI156*VLOOKUP('Données projet'!$B$10,Paramètres!$A$1:$I$89,3,0)*VLOOKUP('Données projet'!$B$10,Paramètres!$A$1:$I$89,5,0)</f>
        <v>1.5961632016114892E-13</v>
      </c>
      <c r="AK156" s="13">
        <f t="shared" si="164"/>
        <v>2.2708641912150958E-12</v>
      </c>
      <c r="AL156" s="20">
        <f t="shared" si="165"/>
        <v>4.2330868906469593E-12</v>
      </c>
      <c r="AM156" s="59">
        <f t="shared" si="113"/>
        <v>293.33333333333752</v>
      </c>
      <c r="AN156" s="59">
        <f ca="1">AVERAGE(OFFSET($AM$3,0,0,'Données projet'!$E$10+1,1))-AVERAGE(OFFSET($H$3,0,0,'Données projet'!$E$10+1,1))</f>
        <v>158.58786357608489</v>
      </c>
      <c r="AO156" s="59">
        <f t="shared" si="144"/>
        <v>163.20074068819849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1.1368683772161603E-13</v>
      </c>
      <c r="O157" s="13">
        <f>N157*VLOOKUP('Données projet'!$B$9,Paramètres!$A$1:$I$89,3,0)*VLOOKUP('Données projet'!$B$9,Paramètres!$A$1:$I$89,5,0)</f>
        <v>6.3550942286383367E-14</v>
      </c>
      <c r="P157" s="13">
        <f t="shared" si="141"/>
        <v>1.0064464192543978E-12</v>
      </c>
      <c r="Q157" s="20">
        <f t="shared" si="162"/>
        <v>1.8635787380168604E-12</v>
      </c>
      <c r="R157" s="59">
        <f t="shared" si="109"/>
        <v>293.33333333333519</v>
      </c>
      <c r="S157" s="59">
        <f ca="1">AVERAGE(OFFSET($R$3,0,0,'Données projet'!$E$9+1,1))-AVERAGE(OFFSET($H$3,0,0,'Données projet'!$E$9+1,1))</f>
        <v>224.7049802939942</v>
      </c>
      <c r="T157" s="59">
        <f t="shared" si="142"/>
        <v>203.48513862195352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0.19143641135322154</v>
      </c>
      <c r="AA157" s="21">
        <f>EXP(-LN(2)/25)*AA156+(1-EXP(-LN(2)/25))/(LN(2)/25)*Calculateur!V157*Calculateur!X157*VLOOKUP('Données projet'!$B$9,Paramètres!$A$1:$I$89,3,0)*0.475*44/12</f>
        <v>0.62729489750145084</v>
      </c>
      <c r="AB157" s="21">
        <f>EXP(-LN(2)/2)*AB156+(1-EXP(-LN(2)/2))/(LN(2)/2)*V157*Y157*VLOOKUP('Données projet'!$B$9,Paramètres!$A$1:$I$89,3,0)*0.475*44/12</f>
        <v>1.9430231276117159E-18</v>
      </c>
      <c r="AC157" s="22">
        <f t="shared" si="163"/>
        <v>0.81873130885467238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3.4106051316484809E-13</v>
      </c>
      <c r="AJ157" s="13">
        <f>AI157*VLOOKUP('Données projet'!$B$10,Paramètres!$A$1:$I$89,3,0)*VLOOKUP('Données projet'!$B$10,Paramètres!$A$1:$I$89,5,0)</f>
        <v>1.5961632016114892E-13</v>
      </c>
      <c r="AK157" s="13">
        <f t="shared" si="164"/>
        <v>2.2708641912150958E-12</v>
      </c>
      <c r="AL157" s="20">
        <f t="shared" si="165"/>
        <v>4.2330868906469593E-12</v>
      </c>
      <c r="AM157" s="59">
        <f t="shared" si="113"/>
        <v>293.33333333333752</v>
      </c>
      <c r="AN157" s="59">
        <f ca="1">AVERAGE(OFFSET($AM$3,0,0,'Données projet'!$E$10+1,1))-AVERAGE(OFFSET($H$3,0,0,'Données projet'!$E$10+1,1))</f>
        <v>158.58786357608489</v>
      </c>
      <c r="AO157" s="59">
        <f t="shared" si="144"/>
        <v>163.20074068819849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1.1368683772161603E-13</v>
      </c>
      <c r="O158" s="13">
        <f>N158*VLOOKUP('Données projet'!$B$9,Paramètres!$A$1:$I$89,3,0)*VLOOKUP('Données projet'!$B$9,Paramètres!$A$1:$I$89,5,0)</f>
        <v>6.3550942286383367E-14</v>
      </c>
      <c r="P158" s="13">
        <f t="shared" si="141"/>
        <v>1.0064464192543978E-12</v>
      </c>
      <c r="Q158" s="20">
        <f t="shared" si="162"/>
        <v>1.8635787380168604E-12</v>
      </c>
      <c r="R158" s="59">
        <f t="shared" si="109"/>
        <v>293.33333333333519</v>
      </c>
      <c r="S158" s="59">
        <f ca="1">AVERAGE(OFFSET($R$3,0,0,'Données projet'!$E$9+1,1))-AVERAGE(OFFSET($H$3,0,0,'Données projet'!$E$9+1,1))</f>
        <v>224.7049802939942</v>
      </c>
      <c r="T158" s="59">
        <f t="shared" si="142"/>
        <v>203.48513862195352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0.18768246009126624</v>
      </c>
      <c r="AA158" s="21">
        <f>EXP(-LN(2)/25)*AA157+(1-EXP(-LN(2)/25))/(LN(2)/25)*Calculateur!V158*Calculateur!X158*VLOOKUP('Données projet'!$B$9,Paramètres!$A$1:$I$89,3,0)*0.475*44/12</f>
        <v>0.61014148554126868</v>
      </c>
      <c r="AB158" s="21">
        <f>EXP(-LN(2)/2)*AB157+(1-EXP(-LN(2)/2))/(LN(2)/2)*V158*Y158*VLOOKUP('Données projet'!$B$9,Paramètres!$A$1:$I$89,3,0)*0.475*44/12</f>
        <v>1.3739248295365388E-18</v>
      </c>
      <c r="AC158" s="22">
        <f t="shared" si="163"/>
        <v>0.79782394563253489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3.4106051316484809E-13</v>
      </c>
      <c r="AJ158" s="13">
        <f>AI158*VLOOKUP('Données projet'!$B$10,Paramètres!$A$1:$I$89,3,0)*VLOOKUP('Données projet'!$B$10,Paramètres!$A$1:$I$89,5,0)</f>
        <v>1.5961632016114892E-13</v>
      </c>
      <c r="AK158" s="13">
        <f t="shared" si="164"/>
        <v>2.2708641912150958E-12</v>
      </c>
      <c r="AL158" s="20">
        <f t="shared" si="165"/>
        <v>4.2330868906469593E-12</v>
      </c>
      <c r="AM158" s="59">
        <f t="shared" si="113"/>
        <v>293.33333333333752</v>
      </c>
      <c r="AN158" s="59">
        <f ca="1">AVERAGE(OFFSET($AM$3,0,0,'Données projet'!$E$10+1,1))-AVERAGE(OFFSET($H$3,0,0,'Données projet'!$E$10+1,1))</f>
        <v>158.58786357608489</v>
      </c>
      <c r="AO158" s="59">
        <f t="shared" si="144"/>
        <v>163.20074068819849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1.1368683772161603E-13</v>
      </c>
      <c r="O159" s="13">
        <f>N159*VLOOKUP('Données projet'!$B$9,Paramètres!$A$1:$I$89,3,0)*VLOOKUP('Données projet'!$B$9,Paramètres!$A$1:$I$89,5,0)</f>
        <v>6.3550942286383367E-14</v>
      </c>
      <c r="P159" s="13">
        <f t="shared" si="141"/>
        <v>1.0064464192543978E-12</v>
      </c>
      <c r="Q159" s="20">
        <f t="shared" si="162"/>
        <v>1.8635787380168604E-12</v>
      </c>
      <c r="R159" s="59">
        <f t="shared" si="109"/>
        <v>293.33333333333519</v>
      </c>
      <c r="S159" s="59">
        <f ca="1">AVERAGE(OFFSET($R$3,0,0,'Données projet'!$E$9+1,1))-AVERAGE(OFFSET($H$3,0,0,'Données projet'!$E$9+1,1))</f>
        <v>224.7049802939942</v>
      </c>
      <c r="T159" s="59">
        <f t="shared" si="142"/>
        <v>203.48513862195352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0.18400212152387369</v>
      </c>
      <c r="AA159" s="21">
        <f>EXP(-LN(2)/25)*AA158+(1-EXP(-LN(2)/25))/(LN(2)/25)*Calculateur!V159*Calculateur!X159*VLOOKUP('Données projet'!$B$9,Paramètres!$A$1:$I$89,3,0)*0.475*44/12</f>
        <v>0.59345713453319648</v>
      </c>
      <c r="AB159" s="21">
        <f>EXP(-LN(2)/2)*AB158+(1-EXP(-LN(2)/2))/(LN(2)/2)*V159*Y159*VLOOKUP('Données projet'!$B$9,Paramètres!$A$1:$I$89,3,0)*0.475*44/12</f>
        <v>9.7151156380585795E-19</v>
      </c>
      <c r="AC159" s="22">
        <f t="shared" si="163"/>
        <v>0.77745925605707011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3.4106051316484809E-13</v>
      </c>
      <c r="AJ159" s="13">
        <f>AI159*VLOOKUP('Données projet'!$B$10,Paramètres!$A$1:$I$89,3,0)*VLOOKUP('Données projet'!$B$10,Paramètres!$A$1:$I$89,5,0)</f>
        <v>1.5961632016114892E-13</v>
      </c>
      <c r="AK159" s="13">
        <f t="shared" si="164"/>
        <v>2.2708641912150958E-12</v>
      </c>
      <c r="AL159" s="20">
        <f t="shared" si="165"/>
        <v>4.2330868906469593E-12</v>
      </c>
      <c r="AM159" s="59">
        <f t="shared" si="113"/>
        <v>293.33333333333752</v>
      </c>
      <c r="AN159" s="59">
        <f ca="1">AVERAGE(OFFSET($AM$3,0,0,'Données projet'!$E$10+1,1))-AVERAGE(OFFSET($H$3,0,0,'Données projet'!$E$10+1,1))</f>
        <v>158.58786357608489</v>
      </c>
      <c r="AO159" s="59">
        <f t="shared" si="144"/>
        <v>163.20074068819849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1.1368683772161603E-13</v>
      </c>
      <c r="O160" s="13">
        <f>N160*VLOOKUP('Données projet'!$B$9,Paramètres!$A$1:$I$89,3,0)*VLOOKUP('Données projet'!$B$9,Paramètres!$A$1:$I$89,5,0)</f>
        <v>6.3550942286383367E-14</v>
      </c>
      <c r="P160" s="13">
        <f t="shared" si="141"/>
        <v>1.0064464192543978E-12</v>
      </c>
      <c r="Q160" s="20">
        <f t="shared" si="162"/>
        <v>1.8635787380168604E-12</v>
      </c>
      <c r="R160" s="59">
        <f t="shared" si="109"/>
        <v>293.33333333333519</v>
      </c>
      <c r="S160" s="59">
        <f ca="1">AVERAGE(OFFSET($R$3,0,0,'Données projet'!$E$9+1,1))-AVERAGE(OFFSET($H$3,0,0,'Données projet'!$E$9+1,1))</f>
        <v>224.7049802939942</v>
      </c>
      <c r="T160" s="59">
        <f t="shared" si="142"/>
        <v>203.48513862195352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0.18039395215100285</v>
      </c>
      <c r="AA160" s="21">
        <f>EXP(-LN(2)/25)*AA159+(1-EXP(-LN(2)/25))/(LN(2)/25)*Calculateur!V160*Calculateur!X160*VLOOKUP('Données projet'!$B$9,Paramètres!$A$1:$I$89,3,0)*0.475*44/12</f>
        <v>0.57722901798083193</v>
      </c>
      <c r="AB160" s="21">
        <f>EXP(-LN(2)/2)*AB159+(1-EXP(-LN(2)/2))/(LN(2)/2)*V160*Y160*VLOOKUP('Données projet'!$B$9,Paramètres!$A$1:$I$89,3,0)*0.475*44/12</f>
        <v>6.869624147682694E-19</v>
      </c>
      <c r="AC160" s="22">
        <f t="shared" si="163"/>
        <v>0.75762297013183477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3.4106051316484809E-13</v>
      </c>
      <c r="AJ160" s="13">
        <f>AI160*VLOOKUP('Données projet'!$B$10,Paramètres!$A$1:$I$89,3,0)*VLOOKUP('Données projet'!$B$10,Paramètres!$A$1:$I$89,5,0)</f>
        <v>1.5961632016114892E-13</v>
      </c>
      <c r="AK160" s="13">
        <f t="shared" si="164"/>
        <v>2.2708641912150958E-12</v>
      </c>
      <c r="AL160" s="20">
        <f t="shared" si="165"/>
        <v>4.2330868906469593E-12</v>
      </c>
      <c r="AM160" s="59">
        <f t="shared" si="113"/>
        <v>293.33333333333752</v>
      </c>
      <c r="AN160" s="59">
        <f ca="1">AVERAGE(OFFSET($AM$3,0,0,'Données projet'!$E$10+1,1))-AVERAGE(OFFSET($H$3,0,0,'Données projet'!$E$10+1,1))</f>
        <v>158.58786357608489</v>
      </c>
      <c r="AO160" s="59">
        <f t="shared" si="144"/>
        <v>163.20074068819849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1.1368683772161603E-13</v>
      </c>
      <c r="O161" s="13">
        <f>N161*VLOOKUP('Données projet'!$B$9,Paramètres!$A$1:$I$89,3,0)*VLOOKUP('Données projet'!$B$9,Paramètres!$A$1:$I$89,5,0)</f>
        <v>6.3550942286383367E-14</v>
      </c>
      <c r="P161" s="13">
        <f t="shared" si="141"/>
        <v>1.0064464192543978E-12</v>
      </c>
      <c r="Q161" s="20">
        <f t="shared" si="162"/>
        <v>1.8635787380168604E-12</v>
      </c>
      <c r="R161" s="59">
        <f t="shared" si="109"/>
        <v>293.33333333333519</v>
      </c>
      <c r="S161" s="59">
        <f ca="1">AVERAGE(OFFSET($R$3,0,0,'Données projet'!$E$9+1,1))-AVERAGE(OFFSET($H$3,0,0,'Données projet'!$E$9+1,1))</f>
        <v>224.7049802939942</v>
      </c>
      <c r="T161" s="59">
        <f t="shared" si="142"/>
        <v>203.48513862195352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0.17685653677876798</v>
      </c>
      <c r="AA161" s="21">
        <f>EXP(-LN(2)/25)*AA160+(1-EXP(-LN(2)/25))/(LN(2)/25)*Calculateur!V161*Calculateur!X161*VLOOKUP('Données projet'!$B$9,Paramètres!$A$1:$I$89,3,0)*0.475*44/12</f>
        <v>0.5614446601289913</v>
      </c>
      <c r="AB161" s="21">
        <f>EXP(-LN(2)/2)*AB160+(1-EXP(-LN(2)/2))/(LN(2)/2)*V161*Y161*VLOOKUP('Données projet'!$B$9,Paramètres!$A$1:$I$89,3,0)*0.475*44/12</f>
        <v>4.8575578190292898E-19</v>
      </c>
      <c r="AC161" s="22">
        <f t="shared" si="163"/>
        <v>0.73830119690775931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3.4106051316484809E-13</v>
      </c>
      <c r="AJ161" s="13">
        <f>AI161*VLOOKUP('Données projet'!$B$10,Paramètres!$A$1:$I$89,3,0)*VLOOKUP('Données projet'!$B$10,Paramètres!$A$1:$I$89,5,0)</f>
        <v>1.5961632016114892E-13</v>
      </c>
      <c r="AK161" s="13">
        <f t="shared" si="164"/>
        <v>2.2708641912150958E-12</v>
      </c>
      <c r="AL161" s="20">
        <f t="shared" si="165"/>
        <v>4.2330868906469593E-12</v>
      </c>
      <c r="AM161" s="59">
        <f t="shared" si="113"/>
        <v>293.33333333333752</v>
      </c>
      <c r="AN161" s="59">
        <f ca="1">AVERAGE(OFFSET($AM$3,0,0,'Données projet'!$E$10+1,1))-AVERAGE(OFFSET($H$3,0,0,'Données projet'!$E$10+1,1))</f>
        <v>158.58786357608489</v>
      </c>
      <c r="AO161" s="59">
        <f t="shared" si="144"/>
        <v>163.20074068819849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1.1368683772161603E-13</v>
      </c>
      <c r="O162" s="13">
        <f>N162*VLOOKUP('Données projet'!$B$9,Paramètres!$A$1:$I$89,3,0)*VLOOKUP('Données projet'!$B$9,Paramètres!$A$1:$I$89,5,0)</f>
        <v>6.3550942286383367E-14</v>
      </c>
      <c r="P162" s="13">
        <f t="shared" si="141"/>
        <v>1.0064464192543978E-12</v>
      </c>
      <c r="Q162" s="20">
        <f t="shared" si="162"/>
        <v>1.8635787380168604E-12</v>
      </c>
      <c r="R162" s="59">
        <f t="shared" si="109"/>
        <v>293.33333333333519</v>
      </c>
      <c r="S162" s="59">
        <f ca="1">AVERAGE(OFFSET($R$3,0,0,'Données projet'!$E$9+1,1))-AVERAGE(OFFSET($H$3,0,0,'Données projet'!$E$9+1,1))</f>
        <v>224.7049802939942</v>
      </c>
      <c r="T162" s="59">
        <f t="shared" si="142"/>
        <v>203.48513862195352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0.17338848796437231</v>
      </c>
      <c r="AA162" s="21">
        <f>EXP(-LN(2)/25)*AA161+(1-EXP(-LN(2)/25))/(LN(2)/25)*Calculateur!V162*Calculateur!X162*VLOOKUP('Données projet'!$B$9,Paramètres!$A$1:$I$89,3,0)*0.475*44/12</f>
        <v>0.54609192637267256</v>
      </c>
      <c r="AB162" s="21">
        <f>EXP(-LN(2)/2)*AB161+(1-EXP(-LN(2)/2))/(LN(2)/2)*V162*Y162*VLOOKUP('Données projet'!$B$9,Paramètres!$A$1:$I$89,3,0)*0.475*44/12</f>
        <v>3.434812073841347E-19</v>
      </c>
      <c r="AC162" s="22">
        <f t="shared" si="163"/>
        <v>0.7194804143370449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3.4106051316484809E-13</v>
      </c>
      <c r="AJ162" s="13">
        <f>AI162*VLOOKUP('Données projet'!$B$10,Paramètres!$A$1:$I$89,3,0)*VLOOKUP('Données projet'!$B$10,Paramètres!$A$1:$I$89,5,0)</f>
        <v>1.5961632016114892E-13</v>
      </c>
      <c r="AK162" s="13">
        <f t="shared" si="164"/>
        <v>2.2708641912150958E-12</v>
      </c>
      <c r="AL162" s="20">
        <f t="shared" si="165"/>
        <v>4.2330868906469593E-12</v>
      </c>
      <c r="AM162" s="59">
        <f t="shared" si="113"/>
        <v>293.33333333333752</v>
      </c>
      <c r="AN162" s="59">
        <f ca="1">AVERAGE(OFFSET($AM$3,0,0,'Données projet'!$E$10+1,1))-AVERAGE(OFFSET($H$3,0,0,'Données projet'!$E$10+1,1))</f>
        <v>158.58786357608489</v>
      </c>
      <c r="AO162" s="59">
        <f t="shared" si="144"/>
        <v>163.20074068819849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1.1368683772161603E-13</v>
      </c>
      <c r="O163" s="13">
        <f>N163*VLOOKUP('Données projet'!$B$9,Paramètres!$A$1:$I$89,3,0)*VLOOKUP('Données projet'!$B$9,Paramètres!$A$1:$I$89,5,0)</f>
        <v>6.3550942286383367E-14</v>
      </c>
      <c r="P163" s="13">
        <f t="shared" si="141"/>
        <v>1.0064464192543978E-12</v>
      </c>
      <c r="Q163" s="20">
        <f t="shared" si="162"/>
        <v>1.8635787380168604E-12</v>
      </c>
      <c r="R163" s="59">
        <f t="shared" si="109"/>
        <v>293.33333333333519</v>
      </c>
      <c r="S163" s="59">
        <f ca="1">AVERAGE(OFFSET($R$3,0,0,'Données projet'!$E$9+1,1))-AVERAGE(OFFSET($H$3,0,0,'Données projet'!$E$9+1,1))</f>
        <v>224.7049802939942</v>
      </c>
      <c r="T163" s="59">
        <f t="shared" si="142"/>
        <v>203.48513862195352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0.16998844547192604</v>
      </c>
      <c r="AA163" s="21">
        <f>EXP(-LN(2)/25)*AA162+(1-EXP(-LN(2)/25))/(LN(2)/25)*Calculateur!V163*Calculateur!X163*VLOOKUP('Données projet'!$B$9,Paramètres!$A$1:$I$89,3,0)*0.475*44/12</f>
        <v>0.53115901392828557</v>
      </c>
      <c r="AB163" s="21">
        <f>EXP(-LN(2)/2)*AB162+(1-EXP(-LN(2)/2))/(LN(2)/2)*V163*Y163*VLOOKUP('Données projet'!$B$9,Paramètres!$A$1:$I$89,3,0)*0.475*44/12</f>
        <v>2.4287789095146449E-19</v>
      </c>
      <c r="AC163" s="22">
        <f t="shared" si="163"/>
        <v>0.70114745940021161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3.4106051316484809E-13</v>
      </c>
      <c r="AJ163" s="13">
        <f>AI163*VLOOKUP('Données projet'!$B$10,Paramètres!$A$1:$I$89,3,0)*VLOOKUP('Données projet'!$B$10,Paramètres!$A$1:$I$89,5,0)</f>
        <v>1.5961632016114892E-13</v>
      </c>
      <c r="AK163" s="13">
        <f t="shared" si="164"/>
        <v>2.2708641912150958E-12</v>
      </c>
      <c r="AL163" s="20">
        <f t="shared" si="165"/>
        <v>4.2330868906469593E-12</v>
      </c>
      <c r="AM163" s="59">
        <f t="shared" si="113"/>
        <v>293.33333333333752</v>
      </c>
      <c r="AN163" s="59">
        <f ca="1">AVERAGE(OFFSET($AM$3,0,0,'Données projet'!$E$10+1,1))-AVERAGE(OFFSET($H$3,0,0,'Données projet'!$E$10+1,1))</f>
        <v>158.58786357608489</v>
      </c>
      <c r="AO163" s="59">
        <f t="shared" si="144"/>
        <v>163.20074068819849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1.1368683772161603E-13</v>
      </c>
      <c r="O164" s="13">
        <f>N164*VLOOKUP('Données projet'!$B$9,Paramètres!$A$1:$I$89,3,0)*VLOOKUP('Données projet'!$B$9,Paramètres!$A$1:$I$89,5,0)</f>
        <v>6.3550942286383367E-14</v>
      </c>
      <c r="P164" s="13">
        <f t="shared" si="141"/>
        <v>1.0064464192543978E-12</v>
      </c>
      <c r="Q164" s="20">
        <f t="shared" si="162"/>
        <v>1.8635787380168604E-12</v>
      </c>
      <c r="R164" s="59">
        <f t="shared" si="109"/>
        <v>293.33333333333519</v>
      </c>
      <c r="S164" s="59">
        <f ca="1">AVERAGE(OFFSET($R$3,0,0,'Données projet'!$E$9+1,1))-AVERAGE(OFFSET($H$3,0,0,'Données projet'!$E$9+1,1))</f>
        <v>224.7049802939942</v>
      </c>
      <c r="T164" s="59">
        <f t="shared" si="142"/>
        <v>203.48513862195352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0.16665507573893548</v>
      </c>
      <c r="AA164" s="21">
        <f>EXP(-LN(2)/25)*AA163+(1-EXP(-LN(2)/25))/(LN(2)/25)*Calculateur!V164*Calculateur!X164*VLOOKUP('Données projet'!$B$9,Paramètres!$A$1:$I$89,3,0)*0.475*44/12</f>
        <v>0.51663444275997805</v>
      </c>
      <c r="AB164" s="21">
        <f>EXP(-LN(2)/2)*AB163+(1-EXP(-LN(2)/2))/(LN(2)/2)*V164*Y164*VLOOKUP('Données projet'!$B$9,Paramètres!$A$1:$I$89,3,0)*0.475*44/12</f>
        <v>1.7174060369206735E-19</v>
      </c>
      <c r="AC164" s="22">
        <f t="shared" si="163"/>
        <v>0.68328951849891351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3.4106051316484809E-13</v>
      </c>
      <c r="AJ164" s="13">
        <f>AI164*VLOOKUP('Données projet'!$B$10,Paramètres!$A$1:$I$89,3,0)*VLOOKUP('Données projet'!$B$10,Paramètres!$A$1:$I$89,5,0)</f>
        <v>1.5961632016114892E-13</v>
      </c>
      <c r="AK164" s="13">
        <f t="shared" si="164"/>
        <v>2.2708641912150958E-12</v>
      </c>
      <c r="AL164" s="20">
        <f t="shared" si="165"/>
        <v>4.2330868906469593E-12</v>
      </c>
      <c r="AM164" s="59">
        <f t="shared" si="113"/>
        <v>293.33333333333752</v>
      </c>
      <c r="AN164" s="59">
        <f ca="1">AVERAGE(OFFSET($AM$3,0,0,'Données projet'!$E$10+1,1))-AVERAGE(OFFSET($H$3,0,0,'Données projet'!$E$10+1,1))</f>
        <v>158.58786357608489</v>
      </c>
      <c r="AO164" s="59">
        <f t="shared" si="144"/>
        <v>163.20074068819849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1.1368683772161603E-13</v>
      </c>
      <c r="O165" s="13">
        <f>N165*VLOOKUP('Données projet'!$B$9,Paramètres!$A$1:$I$89,3,0)*VLOOKUP('Données projet'!$B$9,Paramètres!$A$1:$I$89,5,0)</f>
        <v>6.3550942286383367E-14</v>
      </c>
      <c r="P165" s="13">
        <f t="shared" si="141"/>
        <v>1.0064464192543978E-12</v>
      </c>
      <c r="Q165" s="20">
        <f t="shared" si="162"/>
        <v>1.8635787380168604E-12</v>
      </c>
      <c r="R165" s="59">
        <f t="shared" si="109"/>
        <v>293.33333333333519</v>
      </c>
      <c r="S165" s="59">
        <f ca="1">AVERAGE(OFFSET($R$3,0,0,'Données projet'!$E$9+1,1))-AVERAGE(OFFSET($H$3,0,0,'Données projet'!$E$9+1,1))</f>
        <v>224.7049802939942</v>
      </c>
      <c r="T165" s="59">
        <f t="shared" si="142"/>
        <v>203.48513862195352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0.16338707135325409</v>
      </c>
      <c r="AA165" s="21">
        <f>EXP(-LN(2)/25)*AA164+(1-EXP(-LN(2)/25))/(LN(2)/25)*Calculateur!V165*Calculateur!X165*VLOOKUP('Données projet'!$B$9,Paramètres!$A$1:$I$89,3,0)*0.475*44/12</f>
        <v>0.50250704675408187</v>
      </c>
      <c r="AB165" s="21">
        <f>EXP(-LN(2)/2)*AB164+(1-EXP(-LN(2)/2))/(LN(2)/2)*V165*Y165*VLOOKUP('Données projet'!$B$9,Paramètres!$A$1:$I$89,3,0)*0.475*44/12</f>
        <v>1.2143894547573224E-19</v>
      </c>
      <c r="AC165" s="22">
        <f t="shared" si="163"/>
        <v>0.6658941181073359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3.4106051316484809E-13</v>
      </c>
      <c r="AJ165" s="13">
        <f>AI165*VLOOKUP('Données projet'!$B$10,Paramètres!$A$1:$I$89,3,0)*VLOOKUP('Données projet'!$B$10,Paramètres!$A$1:$I$89,5,0)</f>
        <v>1.5961632016114892E-13</v>
      </c>
      <c r="AK165" s="13">
        <f t="shared" si="164"/>
        <v>2.2708641912150958E-12</v>
      </c>
      <c r="AL165" s="20">
        <f t="shared" si="165"/>
        <v>4.2330868906469593E-12</v>
      </c>
      <c r="AM165" s="59">
        <f t="shared" si="113"/>
        <v>293.33333333333752</v>
      </c>
      <c r="AN165" s="59">
        <f ca="1">AVERAGE(OFFSET($AM$3,0,0,'Données projet'!$E$10+1,1))-AVERAGE(OFFSET($H$3,0,0,'Données projet'!$E$10+1,1))</f>
        <v>158.58786357608489</v>
      </c>
      <c r="AO165" s="59">
        <f t="shared" si="144"/>
        <v>163.20074068819849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1.1368683772161603E-13</v>
      </c>
      <c r="O166" s="13">
        <f>N166*VLOOKUP('Données projet'!$B$9,Paramètres!$A$1:$I$89,3,0)*VLOOKUP('Données projet'!$B$9,Paramètres!$A$1:$I$89,5,0)</f>
        <v>6.3550942286383367E-14</v>
      </c>
      <c r="P166" s="13">
        <f t="shared" si="141"/>
        <v>1.0064464192543978E-12</v>
      </c>
      <c r="Q166" s="20">
        <f t="shared" si="162"/>
        <v>1.8635787380168604E-12</v>
      </c>
      <c r="R166" s="59">
        <f t="shared" si="109"/>
        <v>293.33333333333519</v>
      </c>
      <c r="S166" s="59">
        <f ca="1">AVERAGE(OFFSET($R$3,0,0,'Données projet'!$E$9+1,1))-AVERAGE(OFFSET($H$3,0,0,'Données projet'!$E$9+1,1))</f>
        <v>224.7049802939942</v>
      </c>
      <c r="T166" s="59">
        <f t="shared" si="142"/>
        <v>203.48513862195352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0.16018315054029006</v>
      </c>
      <c r="AA166" s="21">
        <f>EXP(-LN(2)/25)*AA165+(1-EXP(-LN(2)/25))/(LN(2)/25)*Calculateur!V166*Calculateur!X166*VLOOKUP('Données projet'!$B$9,Paramètres!$A$1:$I$89,3,0)*0.475*44/12</f>
        <v>0.4887659651348944</v>
      </c>
      <c r="AB166" s="21">
        <f>EXP(-LN(2)/2)*AB165+(1-EXP(-LN(2)/2))/(LN(2)/2)*V166*Y166*VLOOKUP('Données projet'!$B$9,Paramètres!$A$1:$I$89,3,0)*0.475*44/12</f>
        <v>8.5870301846033675E-20</v>
      </c>
      <c r="AC166" s="22">
        <f t="shared" si="163"/>
        <v>0.64894911567518443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3.4106051316484809E-13</v>
      </c>
      <c r="AJ166" s="13">
        <f>AI166*VLOOKUP('Données projet'!$B$10,Paramètres!$A$1:$I$89,3,0)*VLOOKUP('Données projet'!$B$10,Paramètres!$A$1:$I$89,5,0)</f>
        <v>1.5961632016114892E-13</v>
      </c>
      <c r="AK166" s="13">
        <f t="shared" si="164"/>
        <v>2.2708641912150958E-12</v>
      </c>
      <c r="AL166" s="20">
        <f t="shared" si="165"/>
        <v>4.2330868906469593E-12</v>
      </c>
      <c r="AM166" s="59">
        <f t="shared" si="113"/>
        <v>293.33333333333752</v>
      </c>
      <c r="AN166" s="59">
        <f ca="1">AVERAGE(OFFSET($AM$3,0,0,'Données projet'!$E$10+1,1))-AVERAGE(OFFSET($H$3,0,0,'Données projet'!$E$10+1,1))</f>
        <v>158.58786357608489</v>
      </c>
      <c r="AO166" s="59">
        <f t="shared" si="144"/>
        <v>163.20074068819849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1.1368683772161603E-13</v>
      </c>
      <c r="O167" s="13">
        <f>N167*VLOOKUP('Données projet'!$B$9,Paramètres!$A$1:$I$89,3,0)*VLOOKUP('Données projet'!$B$9,Paramètres!$A$1:$I$89,5,0)</f>
        <v>6.3550942286383367E-14</v>
      </c>
      <c r="P167" s="13">
        <f t="shared" si="141"/>
        <v>1.0064464192543978E-12</v>
      </c>
      <c r="Q167" s="20">
        <f t="shared" si="162"/>
        <v>1.8635787380168604E-12</v>
      </c>
      <c r="R167" s="59">
        <f t="shared" si="109"/>
        <v>293.33333333333519</v>
      </c>
      <c r="S167" s="59">
        <f ca="1">AVERAGE(OFFSET($R$3,0,0,'Données projet'!$E$9+1,1))-AVERAGE(OFFSET($H$3,0,0,'Données projet'!$E$9+1,1))</f>
        <v>224.7049802939942</v>
      </c>
      <c r="T167" s="59">
        <f t="shared" si="142"/>
        <v>203.48513862195352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0.15704205666026952</v>
      </c>
      <c r="AA167" s="21">
        <f>EXP(-LN(2)/25)*AA166+(1-EXP(-LN(2)/25))/(LN(2)/25)*Calculateur!V167*Calculateur!X167*VLOOKUP('Données projet'!$B$9,Paramètres!$A$1:$I$89,3,0)*0.475*44/12</f>
        <v>0.47540063411519567</v>
      </c>
      <c r="AB167" s="21">
        <f>EXP(-LN(2)/2)*AB166+(1-EXP(-LN(2)/2))/(LN(2)/2)*V167*Y167*VLOOKUP('Données projet'!$B$9,Paramètres!$A$1:$I$89,3,0)*0.475*44/12</f>
        <v>6.0719472737866122E-20</v>
      </c>
      <c r="AC167" s="22">
        <f t="shared" si="163"/>
        <v>0.63244269077546522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3.4106051316484809E-13</v>
      </c>
      <c r="AJ167" s="13">
        <f>AI167*VLOOKUP('Données projet'!$B$10,Paramètres!$A$1:$I$89,3,0)*VLOOKUP('Données projet'!$B$10,Paramètres!$A$1:$I$89,5,0)</f>
        <v>1.5961632016114892E-13</v>
      </c>
      <c r="AK167" s="13">
        <f t="shared" si="164"/>
        <v>2.2708641912150958E-12</v>
      </c>
      <c r="AL167" s="20">
        <f t="shared" si="165"/>
        <v>4.2330868906469593E-12</v>
      </c>
      <c r="AM167" s="59">
        <f t="shared" si="113"/>
        <v>293.33333333333752</v>
      </c>
      <c r="AN167" s="59">
        <f ca="1">AVERAGE(OFFSET($AM$3,0,0,'Données projet'!$E$10+1,1))-AVERAGE(OFFSET($H$3,0,0,'Données projet'!$E$10+1,1))</f>
        <v>158.58786357608489</v>
      </c>
      <c r="AO167" s="59">
        <f t="shared" si="144"/>
        <v>163.20074068819849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1.1368683772161603E-13</v>
      </c>
      <c r="O168" s="13">
        <f>N168*VLOOKUP('Données projet'!$B$9,Paramètres!$A$1:$I$89,3,0)*VLOOKUP('Données projet'!$B$9,Paramètres!$A$1:$I$89,5,0)</f>
        <v>6.3550942286383367E-14</v>
      </c>
      <c r="P168" s="13">
        <f t="shared" si="141"/>
        <v>1.0064464192543978E-12</v>
      </c>
      <c r="Q168" s="20">
        <f t="shared" si="162"/>
        <v>1.8635787380168604E-12</v>
      </c>
      <c r="R168" s="59">
        <f t="shared" si="109"/>
        <v>293.33333333333519</v>
      </c>
      <c r="S168" s="59">
        <f ca="1">AVERAGE(OFFSET($R$3,0,0,'Données projet'!$E$9+1,1))-AVERAGE(OFFSET($H$3,0,0,'Données projet'!$E$9+1,1))</f>
        <v>224.7049802939942</v>
      </c>
      <c r="T168" s="59">
        <f t="shared" si="142"/>
        <v>203.48513862195352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0.15396255771535811</v>
      </c>
      <c r="AA168" s="21">
        <f>EXP(-LN(2)/25)*AA167+(1-EXP(-LN(2)/25))/(LN(2)/25)*Calculateur!V168*Calculateur!X168*VLOOKUP('Données projet'!$B$9,Paramètres!$A$1:$I$89,3,0)*0.475*44/12</f>
        <v>0.46240077877508284</v>
      </c>
      <c r="AB168" s="21">
        <f>EXP(-LN(2)/2)*AB167+(1-EXP(-LN(2)/2))/(LN(2)/2)*V168*Y168*VLOOKUP('Données projet'!$B$9,Paramètres!$A$1:$I$89,3,0)*0.475*44/12</f>
        <v>4.2935150923016838E-20</v>
      </c>
      <c r="AC168" s="22">
        <f t="shared" si="163"/>
        <v>0.61636333649044095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3.4106051316484809E-13</v>
      </c>
      <c r="AJ168" s="13">
        <f>AI168*VLOOKUP('Données projet'!$B$10,Paramètres!$A$1:$I$89,3,0)*VLOOKUP('Données projet'!$B$10,Paramètres!$A$1:$I$89,5,0)</f>
        <v>1.5961632016114892E-13</v>
      </c>
      <c r="AK168" s="13">
        <f t="shared" si="164"/>
        <v>2.2708641912150958E-12</v>
      </c>
      <c r="AL168" s="20">
        <f t="shared" si="165"/>
        <v>4.2330868906469593E-12</v>
      </c>
      <c r="AM168" s="59">
        <f t="shared" si="113"/>
        <v>293.33333333333752</v>
      </c>
      <c r="AN168" s="59">
        <f ca="1">AVERAGE(OFFSET($AM$3,0,0,'Données projet'!$E$10+1,1))-AVERAGE(OFFSET($H$3,0,0,'Données projet'!$E$10+1,1))</f>
        <v>158.58786357608489</v>
      </c>
      <c r="AO168" s="59">
        <f t="shared" si="144"/>
        <v>163.20074068819849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1.1368683772161603E-13</v>
      </c>
      <c r="O169" s="13">
        <f>N169*VLOOKUP('Données projet'!$B$9,Paramètres!$A$1:$I$89,3,0)*VLOOKUP('Données projet'!$B$9,Paramètres!$A$1:$I$89,5,0)</f>
        <v>6.3550942286383367E-14</v>
      </c>
      <c r="P169" s="13">
        <f t="shared" si="141"/>
        <v>1.0064464192543978E-12</v>
      </c>
      <c r="Q169" s="20">
        <f t="shared" si="162"/>
        <v>1.8635787380168604E-12</v>
      </c>
      <c r="R169" s="59">
        <f t="shared" si="109"/>
        <v>293.33333333333519</v>
      </c>
      <c r="S169" s="59">
        <f ca="1">AVERAGE(OFFSET($R$3,0,0,'Données projet'!$E$9+1,1))-AVERAGE(OFFSET($H$3,0,0,'Données projet'!$E$9+1,1))</f>
        <v>224.7049802939942</v>
      </c>
      <c r="T169" s="59">
        <f t="shared" si="142"/>
        <v>203.48513862195352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0.15094344586644751</v>
      </c>
      <c r="AA169" s="21">
        <f>EXP(-LN(2)/25)*AA168+(1-EXP(-LN(2)/25))/(LN(2)/25)*Calculateur!V169*Calculateur!X169*VLOOKUP('Données projet'!$B$9,Paramètres!$A$1:$I$89,3,0)*0.475*44/12</f>
        <v>0.44975640516287807</v>
      </c>
      <c r="AB169" s="21">
        <f>EXP(-LN(2)/2)*AB168+(1-EXP(-LN(2)/2))/(LN(2)/2)*V169*Y169*VLOOKUP('Données projet'!$B$9,Paramètres!$A$1:$I$89,3,0)*0.475*44/12</f>
        <v>3.0359736368933061E-20</v>
      </c>
      <c r="AC169" s="22">
        <f t="shared" si="163"/>
        <v>0.60069985102932555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3.4106051316484809E-13</v>
      </c>
      <c r="AJ169" s="13">
        <f>AI169*VLOOKUP('Données projet'!$B$10,Paramètres!$A$1:$I$89,3,0)*VLOOKUP('Données projet'!$B$10,Paramètres!$A$1:$I$89,5,0)</f>
        <v>1.5961632016114892E-13</v>
      </c>
      <c r="AK169" s="13">
        <f t="shared" si="164"/>
        <v>2.2708641912150958E-12</v>
      </c>
      <c r="AL169" s="20">
        <f t="shared" si="165"/>
        <v>4.2330868906469593E-12</v>
      </c>
      <c r="AM169" s="59">
        <f t="shared" si="113"/>
        <v>293.33333333333752</v>
      </c>
      <c r="AN169" s="59">
        <f ca="1">AVERAGE(OFFSET($AM$3,0,0,'Données projet'!$E$10+1,1))-AVERAGE(OFFSET($H$3,0,0,'Données projet'!$E$10+1,1))</f>
        <v>158.58786357608489</v>
      </c>
      <c r="AO169" s="59">
        <f t="shared" si="144"/>
        <v>163.20074068819849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1.1368683772161603E-13</v>
      </c>
      <c r="O170" s="13">
        <f>N170*VLOOKUP('Données projet'!$B$9,Paramètres!$A$1:$I$89,3,0)*VLOOKUP('Données projet'!$B$9,Paramètres!$A$1:$I$89,5,0)</f>
        <v>6.3550942286383367E-14</v>
      </c>
      <c r="P170" s="13">
        <f t="shared" si="141"/>
        <v>1.0064464192543978E-12</v>
      </c>
      <c r="Q170" s="20">
        <f t="shared" si="162"/>
        <v>1.8635787380168604E-12</v>
      </c>
      <c r="R170" s="59">
        <f t="shared" si="109"/>
        <v>293.33333333333519</v>
      </c>
      <c r="S170" s="59">
        <f ca="1">AVERAGE(OFFSET($R$3,0,0,'Données projet'!$E$9+1,1))-AVERAGE(OFFSET($H$3,0,0,'Données projet'!$E$9+1,1))</f>
        <v>224.7049802939942</v>
      </c>
      <c r="T170" s="59">
        <f t="shared" si="142"/>
        <v>203.48513862195352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0.14798353695941766</v>
      </c>
      <c r="AA170" s="21">
        <f>EXP(-LN(2)/25)*AA169+(1-EXP(-LN(2)/25))/(LN(2)/25)*Calculateur!V170*Calculateur!X170*VLOOKUP('Données projet'!$B$9,Paramètres!$A$1:$I$89,3,0)*0.475*44/12</f>
        <v>0.43745779261203777</v>
      </c>
      <c r="AB170" s="21">
        <f>EXP(-LN(2)/2)*AB169+(1-EXP(-LN(2)/2))/(LN(2)/2)*V170*Y170*VLOOKUP('Données projet'!$B$9,Paramètres!$A$1:$I$89,3,0)*0.475*44/12</f>
        <v>2.1467575461508419E-20</v>
      </c>
      <c r="AC170" s="22">
        <f t="shared" si="163"/>
        <v>0.58544132957145545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3.4106051316484809E-13</v>
      </c>
      <c r="AJ170" s="13">
        <f>AI170*VLOOKUP('Données projet'!$B$10,Paramètres!$A$1:$I$89,3,0)*VLOOKUP('Données projet'!$B$10,Paramètres!$A$1:$I$89,5,0)</f>
        <v>1.5961632016114892E-13</v>
      </c>
      <c r="AK170" s="13">
        <f t="shared" si="164"/>
        <v>2.2708641912150958E-12</v>
      </c>
      <c r="AL170" s="20">
        <f t="shared" si="165"/>
        <v>4.2330868906469593E-12</v>
      </c>
      <c r="AM170" s="59">
        <f t="shared" si="113"/>
        <v>293.33333333333752</v>
      </c>
      <c r="AN170" s="59">
        <f ca="1">AVERAGE(OFFSET($AM$3,0,0,'Données projet'!$E$10+1,1))-AVERAGE(OFFSET($H$3,0,0,'Données projet'!$E$10+1,1))</f>
        <v>158.58786357608489</v>
      </c>
      <c r="AO170" s="59">
        <f t="shared" si="144"/>
        <v>163.20074068819849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1.1368683772161603E-13</v>
      </c>
      <c r="O171" s="13">
        <f>N171*VLOOKUP('Données projet'!$B$9,Paramètres!$A$1:$I$89,3,0)*VLOOKUP('Données projet'!$B$9,Paramètres!$A$1:$I$89,5,0)</f>
        <v>6.3550942286383367E-14</v>
      </c>
      <c r="P171" s="13">
        <f t="shared" si="141"/>
        <v>1.0064464192543978E-12</v>
      </c>
      <c r="Q171" s="20">
        <f t="shared" si="162"/>
        <v>1.8635787380168604E-12</v>
      </c>
      <c r="R171" s="59">
        <f t="shared" si="109"/>
        <v>293.33333333333519</v>
      </c>
      <c r="S171" s="59">
        <f ca="1">AVERAGE(OFFSET($R$3,0,0,'Données projet'!$E$9+1,1))-AVERAGE(OFFSET($H$3,0,0,'Données projet'!$E$9+1,1))</f>
        <v>224.7049802939942</v>
      </c>
      <c r="T171" s="59">
        <f t="shared" si="142"/>
        <v>203.48513862195352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0.14508167006068848</v>
      </c>
      <c r="AA171" s="21">
        <f>EXP(-LN(2)/25)*AA170+(1-EXP(-LN(2)/25))/(LN(2)/25)*Calculateur!V171*Calculateur!X171*VLOOKUP('Données projet'!$B$9,Paramètres!$A$1:$I$89,3,0)*0.475*44/12</f>
        <v>0.42549548626815609</v>
      </c>
      <c r="AB171" s="21">
        <f>EXP(-LN(2)/2)*AB170+(1-EXP(-LN(2)/2))/(LN(2)/2)*V171*Y171*VLOOKUP('Données projet'!$B$9,Paramètres!$A$1:$I$89,3,0)*0.475*44/12</f>
        <v>1.5179868184466531E-20</v>
      </c>
      <c r="AC171" s="22">
        <f t="shared" si="163"/>
        <v>0.57057715632884454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3.4106051316484809E-13</v>
      </c>
      <c r="AJ171" s="13">
        <f>AI171*VLOOKUP('Données projet'!$B$10,Paramètres!$A$1:$I$89,3,0)*VLOOKUP('Données projet'!$B$10,Paramètres!$A$1:$I$89,5,0)</f>
        <v>1.5961632016114892E-13</v>
      </c>
      <c r="AK171" s="13">
        <f t="shared" si="164"/>
        <v>2.2708641912150958E-12</v>
      </c>
      <c r="AL171" s="20">
        <f t="shared" si="165"/>
        <v>4.2330868906469593E-12</v>
      </c>
      <c r="AM171" s="59">
        <f t="shared" si="113"/>
        <v>293.33333333333752</v>
      </c>
      <c r="AN171" s="59">
        <f ca="1">AVERAGE(OFFSET($AM$3,0,0,'Données projet'!$E$10+1,1))-AVERAGE(OFFSET($H$3,0,0,'Données projet'!$E$10+1,1))</f>
        <v>158.58786357608489</v>
      </c>
      <c r="AO171" s="59">
        <f t="shared" si="144"/>
        <v>163.20074068819849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1.1368683772161603E-13</v>
      </c>
      <c r="O172" s="13">
        <f>N172*VLOOKUP('Données projet'!$B$9,Paramètres!$A$1:$I$89,3,0)*VLOOKUP('Données projet'!$B$9,Paramètres!$A$1:$I$89,5,0)</f>
        <v>6.3550942286383367E-14</v>
      </c>
      <c r="P172" s="13">
        <f t="shared" si="141"/>
        <v>1.0064464192543978E-12</v>
      </c>
      <c r="Q172" s="20">
        <f t="shared" si="162"/>
        <v>1.8635787380168604E-12</v>
      </c>
      <c r="R172" s="59">
        <f t="shared" si="109"/>
        <v>293.33333333333519</v>
      </c>
      <c r="S172" s="59">
        <f ca="1">AVERAGE(OFFSET($R$3,0,0,'Données projet'!$E$9+1,1))-AVERAGE(OFFSET($H$3,0,0,'Données projet'!$E$9+1,1))</f>
        <v>224.7049802939942</v>
      </c>
      <c r="T172" s="59">
        <f t="shared" si="142"/>
        <v>203.48513862195352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0.14223670700187935</v>
      </c>
      <c r="AA172" s="21">
        <f>EXP(-LN(2)/25)*AA171+(1-EXP(-LN(2)/25))/(LN(2)/25)*Calculateur!V172*Calculateur!X172*VLOOKUP('Données projet'!$B$9,Paramètres!$A$1:$I$89,3,0)*0.475*44/12</f>
        <v>0.41386028982031819</v>
      </c>
      <c r="AB172" s="21">
        <f>EXP(-LN(2)/2)*AB171+(1-EXP(-LN(2)/2))/(LN(2)/2)*V172*Y172*VLOOKUP('Données projet'!$B$9,Paramètres!$A$1:$I$89,3,0)*0.475*44/12</f>
        <v>1.0733787730754209E-20</v>
      </c>
      <c r="AC172" s="22">
        <f t="shared" si="163"/>
        <v>0.5560969968221976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3.4106051316484809E-13</v>
      </c>
      <c r="AJ172" s="13">
        <f>AI172*VLOOKUP('Données projet'!$B$10,Paramètres!$A$1:$I$89,3,0)*VLOOKUP('Données projet'!$B$10,Paramètres!$A$1:$I$89,5,0)</f>
        <v>1.5961632016114892E-13</v>
      </c>
      <c r="AK172" s="13">
        <f t="shared" si="164"/>
        <v>2.2708641912150958E-12</v>
      </c>
      <c r="AL172" s="20">
        <f t="shared" si="165"/>
        <v>4.2330868906469593E-12</v>
      </c>
      <c r="AM172" s="59">
        <f t="shared" si="113"/>
        <v>293.33333333333752</v>
      </c>
      <c r="AN172" s="59">
        <f ca="1">AVERAGE(OFFSET($AM$3,0,0,'Données projet'!$E$10+1,1))-AVERAGE(OFFSET($H$3,0,0,'Données projet'!$E$10+1,1))</f>
        <v>158.58786357608489</v>
      </c>
      <c r="AO172" s="59">
        <f t="shared" si="144"/>
        <v>163.20074068819849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1.1368683772161603E-13</v>
      </c>
      <c r="O173" s="13">
        <f>N173*VLOOKUP('Données projet'!$B$9,Paramètres!$A$1:$I$89,3,0)*VLOOKUP('Données projet'!$B$9,Paramètres!$A$1:$I$89,5,0)</f>
        <v>6.3550942286383367E-14</v>
      </c>
      <c r="P173" s="13">
        <f t="shared" si="141"/>
        <v>1.0064464192543978E-12</v>
      </c>
      <c r="Q173" s="20">
        <f t="shared" si="162"/>
        <v>1.8635787380168604E-12</v>
      </c>
      <c r="R173" s="59">
        <f t="shared" si="109"/>
        <v>293.33333333333519</v>
      </c>
      <c r="S173" s="59">
        <f ca="1">AVERAGE(OFFSET($R$3,0,0,'Données projet'!$E$9+1,1))-AVERAGE(OFFSET($H$3,0,0,'Données projet'!$E$9+1,1))</f>
        <v>224.7049802939942</v>
      </c>
      <c r="T173" s="59">
        <f t="shared" si="142"/>
        <v>203.48513862195352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0.13944753193339735</v>
      </c>
      <c r="AA173" s="21">
        <f>EXP(-LN(2)/25)*AA172+(1-EXP(-LN(2)/25))/(LN(2)/25)*Calculateur!V173*Calculateur!X173*VLOOKUP('Données projet'!$B$9,Paramètres!$A$1:$I$89,3,0)*0.475*44/12</f>
        <v>0.40254325843121486</v>
      </c>
      <c r="AB173" s="21">
        <f>EXP(-LN(2)/2)*AB172+(1-EXP(-LN(2)/2))/(LN(2)/2)*V173*Y173*VLOOKUP('Données projet'!$B$9,Paramètres!$A$1:$I$89,3,0)*0.475*44/12</f>
        <v>7.5899340922332653E-21</v>
      </c>
      <c r="AC173" s="22">
        <f t="shared" si="163"/>
        <v>0.54199079036461217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3.4106051316484809E-13</v>
      </c>
      <c r="AJ173" s="13">
        <f>AI173*VLOOKUP('Données projet'!$B$10,Paramètres!$A$1:$I$89,3,0)*VLOOKUP('Données projet'!$B$10,Paramètres!$A$1:$I$89,5,0)</f>
        <v>1.5961632016114892E-13</v>
      </c>
      <c r="AK173" s="13">
        <f t="shared" si="164"/>
        <v>2.2708641912150958E-12</v>
      </c>
      <c r="AL173" s="20">
        <f t="shared" si="165"/>
        <v>4.2330868906469593E-12</v>
      </c>
      <c r="AM173" s="59">
        <f t="shared" si="113"/>
        <v>293.33333333333752</v>
      </c>
      <c r="AN173" s="59">
        <f ca="1">AVERAGE(OFFSET($AM$3,0,0,'Données projet'!$E$10+1,1))-AVERAGE(OFFSET($H$3,0,0,'Données projet'!$E$10+1,1))</f>
        <v>158.58786357608489</v>
      </c>
      <c r="AO173" s="59">
        <f t="shared" si="144"/>
        <v>163.20074068819849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1.1368683772161603E-13</v>
      </c>
      <c r="O174" s="13">
        <f>N174*VLOOKUP('Données projet'!$B$9,Paramètres!$A$1:$I$89,3,0)*VLOOKUP('Données projet'!$B$9,Paramètres!$A$1:$I$89,5,0)</f>
        <v>6.3550942286383367E-14</v>
      </c>
      <c r="P174" s="13">
        <f t="shared" si="141"/>
        <v>1.0064464192543978E-12</v>
      </c>
      <c r="Q174" s="20">
        <f t="shared" si="162"/>
        <v>1.8635787380168604E-12</v>
      </c>
      <c r="R174" s="59">
        <f t="shared" si="109"/>
        <v>293.33333333333519</v>
      </c>
      <c r="S174" s="59">
        <f ca="1">AVERAGE(OFFSET($R$3,0,0,'Données projet'!$E$9+1,1))-AVERAGE(OFFSET($H$3,0,0,'Données projet'!$E$9+1,1))</f>
        <v>224.7049802939942</v>
      </c>
      <c r="T174" s="59">
        <f t="shared" si="142"/>
        <v>203.48513862195352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0.13671305088677946</v>
      </c>
      <c r="AA174" s="21">
        <f>EXP(-LN(2)/25)*AA173+(1-EXP(-LN(2)/25))/(LN(2)/25)*Calculateur!V174*Calculateur!X174*VLOOKUP('Données projet'!$B$9,Paramètres!$A$1:$I$89,3,0)*0.475*44/12</f>
        <v>0.39153569186058335</v>
      </c>
      <c r="AB174" s="21">
        <f>EXP(-LN(2)/2)*AB173+(1-EXP(-LN(2)/2))/(LN(2)/2)*V174*Y174*VLOOKUP('Données projet'!$B$9,Paramètres!$A$1:$I$89,3,0)*0.475*44/12</f>
        <v>5.3668938653771047E-21</v>
      </c>
      <c r="AC174" s="22">
        <f t="shared" si="163"/>
        <v>0.52824874274736278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3.4106051316484809E-13</v>
      </c>
      <c r="AJ174" s="13">
        <f>AI174*VLOOKUP('Données projet'!$B$10,Paramètres!$A$1:$I$89,3,0)*VLOOKUP('Données projet'!$B$10,Paramètres!$A$1:$I$89,5,0)</f>
        <v>1.5961632016114892E-13</v>
      </c>
      <c r="AK174" s="13">
        <f t="shared" si="164"/>
        <v>2.2708641912150958E-12</v>
      </c>
      <c r="AL174" s="20">
        <f t="shared" si="165"/>
        <v>4.2330868906469593E-12</v>
      </c>
      <c r="AM174" s="59">
        <f t="shared" si="113"/>
        <v>293.33333333333752</v>
      </c>
      <c r="AN174" s="59">
        <f ca="1">AVERAGE(OFFSET($AM$3,0,0,'Données projet'!$E$10+1,1))-AVERAGE(OFFSET($H$3,0,0,'Données projet'!$E$10+1,1))</f>
        <v>158.58786357608489</v>
      </c>
      <c r="AO174" s="59">
        <f t="shared" si="144"/>
        <v>163.20074068819849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1.1368683772161603E-13</v>
      </c>
      <c r="O175" s="13">
        <f>N175*VLOOKUP('Données projet'!$B$9,Paramètres!$A$1:$I$89,3,0)*VLOOKUP('Données projet'!$B$9,Paramètres!$A$1:$I$89,5,0)</f>
        <v>6.3550942286383367E-14</v>
      </c>
      <c r="P175" s="13">
        <f t="shared" si="141"/>
        <v>1.0064464192543978E-12</v>
      </c>
      <c r="Q175" s="20">
        <f t="shared" si="162"/>
        <v>1.8635787380168604E-12</v>
      </c>
      <c r="R175" s="59">
        <f t="shared" si="109"/>
        <v>293.33333333333519</v>
      </c>
      <c r="S175" s="59">
        <f ca="1">AVERAGE(OFFSET($R$3,0,0,'Données projet'!$E$9+1,1))-AVERAGE(OFFSET($H$3,0,0,'Données projet'!$E$9+1,1))</f>
        <v>224.7049802939942</v>
      </c>
      <c r="T175" s="59">
        <f t="shared" si="142"/>
        <v>203.48513862195352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0.134032191345617</v>
      </c>
      <c r="AA175" s="21">
        <f>EXP(-LN(2)/25)*AA174+(1-EXP(-LN(2)/25))/(LN(2)/25)*Calculateur!V175*Calculateur!X175*VLOOKUP('Données projet'!$B$9,Paramètres!$A$1:$I$89,3,0)*0.475*44/12</f>
        <v>0.38082912777668854</v>
      </c>
      <c r="AB175" s="21">
        <f>EXP(-LN(2)/2)*AB174+(1-EXP(-LN(2)/2))/(LN(2)/2)*V175*Y175*VLOOKUP('Données projet'!$B$9,Paramètres!$A$1:$I$89,3,0)*0.475*44/12</f>
        <v>3.7949670461166326E-21</v>
      </c>
      <c r="AC175" s="22">
        <f t="shared" si="163"/>
        <v>0.51486131912230548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3.4106051316484809E-13</v>
      </c>
      <c r="AJ175" s="13">
        <f>AI175*VLOOKUP('Données projet'!$B$10,Paramètres!$A$1:$I$89,3,0)*VLOOKUP('Données projet'!$B$10,Paramètres!$A$1:$I$89,5,0)</f>
        <v>1.5961632016114892E-13</v>
      </c>
      <c r="AK175" s="13">
        <f t="shared" si="164"/>
        <v>2.2708641912150958E-12</v>
      </c>
      <c r="AL175" s="20">
        <f t="shared" si="165"/>
        <v>4.2330868906469593E-12</v>
      </c>
      <c r="AM175" s="59">
        <f t="shared" si="113"/>
        <v>293.33333333333752</v>
      </c>
      <c r="AN175" s="59">
        <f ca="1">AVERAGE(OFFSET($AM$3,0,0,'Données projet'!$E$10+1,1))-AVERAGE(OFFSET($H$3,0,0,'Données projet'!$E$10+1,1))</f>
        <v>158.58786357608489</v>
      </c>
      <c r="AO175" s="59">
        <f t="shared" si="144"/>
        <v>163.20074068819849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1.1368683772161603E-13</v>
      </c>
      <c r="O176" s="13">
        <f>N176*VLOOKUP('Données projet'!$B$9,Paramètres!$A$1:$I$89,3,0)*VLOOKUP('Données projet'!$B$9,Paramètres!$A$1:$I$89,5,0)</f>
        <v>6.3550942286383367E-14</v>
      </c>
      <c r="P176" s="13">
        <f t="shared" si="141"/>
        <v>1.0064464192543978E-12</v>
      </c>
      <c r="Q176" s="20">
        <f t="shared" si="162"/>
        <v>1.8635787380168604E-12</v>
      </c>
      <c r="R176" s="59">
        <f t="shared" si="109"/>
        <v>293.33333333333519</v>
      </c>
      <c r="S176" s="59">
        <f ca="1">AVERAGE(OFFSET($R$3,0,0,'Données projet'!$E$9+1,1))-AVERAGE(OFFSET($H$3,0,0,'Données projet'!$E$9+1,1))</f>
        <v>224.7049802939942</v>
      </c>
      <c r="T176" s="59">
        <f t="shared" si="142"/>
        <v>203.48513862195352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0.13140390182489387</v>
      </c>
      <c r="AA176" s="21">
        <f>EXP(-LN(2)/25)*AA175+(1-EXP(-LN(2)/25))/(LN(2)/25)*Calculateur!V176*Calculateur!X176*VLOOKUP('Données projet'!$B$9,Paramètres!$A$1:$I$89,3,0)*0.475*44/12</f>
        <v>0.37041533525070158</v>
      </c>
      <c r="AB176" s="21">
        <f>EXP(-LN(2)/2)*AB175+(1-EXP(-LN(2)/2))/(LN(2)/2)*V176*Y176*VLOOKUP('Données projet'!$B$9,Paramètres!$A$1:$I$89,3,0)*0.475*44/12</f>
        <v>2.6834469326885524E-21</v>
      </c>
      <c r="AC176" s="22">
        <f t="shared" si="163"/>
        <v>0.50181923707559539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3.4106051316484809E-13</v>
      </c>
      <c r="AJ176" s="13">
        <f>AI176*VLOOKUP('Données projet'!$B$10,Paramètres!$A$1:$I$89,3,0)*VLOOKUP('Données projet'!$B$10,Paramètres!$A$1:$I$89,5,0)</f>
        <v>1.5961632016114892E-13</v>
      </c>
      <c r="AK176" s="13">
        <f t="shared" si="164"/>
        <v>2.2708641912150958E-12</v>
      </c>
      <c r="AL176" s="20">
        <f t="shared" si="165"/>
        <v>4.2330868906469593E-12</v>
      </c>
      <c r="AM176" s="59">
        <f t="shared" si="113"/>
        <v>293.33333333333752</v>
      </c>
      <c r="AN176" s="59">
        <f ca="1">AVERAGE(OFFSET($AM$3,0,0,'Données projet'!$E$10+1,1))-AVERAGE(OFFSET($H$3,0,0,'Données projet'!$E$10+1,1))</f>
        <v>158.58786357608489</v>
      </c>
      <c r="AO176" s="59">
        <f t="shared" si="144"/>
        <v>163.20074068819849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1.1368683772161603E-13</v>
      </c>
      <c r="O177" s="13">
        <f>N177*VLOOKUP('Données projet'!$B$9,Paramètres!$A$1:$I$89,3,0)*VLOOKUP('Données projet'!$B$9,Paramètres!$A$1:$I$89,5,0)</f>
        <v>6.3550942286383367E-14</v>
      </c>
      <c r="P177" s="13">
        <f t="shared" si="141"/>
        <v>1.0064464192543978E-12</v>
      </c>
      <c r="Q177" s="20">
        <f t="shared" si="162"/>
        <v>1.8635787380168604E-12</v>
      </c>
      <c r="R177" s="59">
        <f t="shared" si="109"/>
        <v>293.33333333333519</v>
      </c>
      <c r="S177" s="59">
        <f ca="1">AVERAGE(OFFSET($R$3,0,0,'Données projet'!$E$9+1,1))-AVERAGE(OFFSET($H$3,0,0,'Données projet'!$E$9+1,1))</f>
        <v>224.7049802939942</v>
      </c>
      <c r="T177" s="59">
        <f t="shared" si="142"/>
        <v>203.48513862195352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0.12882715145857382</v>
      </c>
      <c r="AA177" s="21">
        <f>EXP(-LN(2)/25)*AA176+(1-EXP(-LN(2)/25))/(LN(2)/25)*Calculateur!V177*Calculateur!X177*VLOOKUP('Données projet'!$B$9,Paramètres!$A$1:$I$89,3,0)*0.475*44/12</f>
        <v>0.36028630842897524</v>
      </c>
      <c r="AB177" s="21">
        <f>EXP(-LN(2)/2)*AB176+(1-EXP(-LN(2)/2))/(LN(2)/2)*V177*Y177*VLOOKUP('Données projet'!$B$9,Paramètres!$A$1:$I$89,3,0)*0.475*44/12</f>
        <v>1.8974835230583163E-21</v>
      </c>
      <c r="AC177" s="22">
        <f t="shared" si="163"/>
        <v>0.48911345988754906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3.4106051316484809E-13</v>
      </c>
      <c r="AJ177" s="13">
        <f>AI177*VLOOKUP('Données projet'!$B$10,Paramètres!$A$1:$I$89,3,0)*VLOOKUP('Données projet'!$B$10,Paramètres!$A$1:$I$89,5,0)</f>
        <v>1.5961632016114892E-13</v>
      </c>
      <c r="AK177" s="13">
        <f t="shared" si="164"/>
        <v>2.2708641912150958E-12</v>
      </c>
      <c r="AL177" s="20">
        <f t="shared" si="165"/>
        <v>4.2330868906469593E-12</v>
      </c>
      <c r="AM177" s="59">
        <f t="shared" si="113"/>
        <v>293.33333333333752</v>
      </c>
      <c r="AN177" s="59">
        <f ca="1">AVERAGE(OFFSET($AM$3,0,0,'Données projet'!$E$10+1,1))-AVERAGE(OFFSET($H$3,0,0,'Données projet'!$E$10+1,1))</f>
        <v>158.58786357608489</v>
      </c>
      <c r="AO177" s="59">
        <f t="shared" si="144"/>
        <v>163.20074068819849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1.1368683772161603E-13</v>
      </c>
      <c r="O178" s="13">
        <f>N178*VLOOKUP('Données projet'!$B$9,Paramètres!$A$1:$I$89,3,0)*VLOOKUP('Données projet'!$B$9,Paramètres!$A$1:$I$89,5,0)</f>
        <v>6.3550942286383367E-14</v>
      </c>
      <c r="P178" s="13">
        <f t="shared" si="141"/>
        <v>1.0064464192543978E-12</v>
      </c>
      <c r="Q178" s="20">
        <f t="shared" si="162"/>
        <v>1.8635787380168604E-12</v>
      </c>
      <c r="R178" s="59">
        <f t="shared" si="109"/>
        <v>293.33333333333519</v>
      </c>
      <c r="S178" s="59">
        <f ca="1">AVERAGE(OFFSET($R$3,0,0,'Données projet'!$E$9+1,1))-AVERAGE(OFFSET($H$3,0,0,'Données projet'!$E$9+1,1))</f>
        <v>224.7049802939942</v>
      </c>
      <c r="T178" s="59">
        <f t="shared" si="142"/>
        <v>203.48513862195352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0.12630092959527475</v>
      </c>
      <c r="AA178" s="21">
        <f>EXP(-LN(2)/25)*AA177+(1-EXP(-LN(2)/25))/(LN(2)/25)*Calculateur!V178*Calculateur!X178*VLOOKUP('Données projet'!$B$9,Paramètres!$A$1:$I$89,3,0)*0.475*44/12</f>
        <v>0.3504342603783514</v>
      </c>
      <c r="AB178" s="21">
        <f>EXP(-LN(2)/2)*AB177+(1-EXP(-LN(2)/2))/(LN(2)/2)*V178*Y178*VLOOKUP('Données projet'!$B$9,Paramètres!$A$1:$I$89,3,0)*0.475*44/12</f>
        <v>1.3417234663442762E-21</v>
      </c>
      <c r="AC178" s="22">
        <f t="shared" si="163"/>
        <v>0.47673518997362618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3.4106051316484809E-13</v>
      </c>
      <c r="AJ178" s="13">
        <f>AI178*VLOOKUP('Données projet'!$B$10,Paramètres!$A$1:$I$89,3,0)*VLOOKUP('Données projet'!$B$10,Paramètres!$A$1:$I$89,5,0)</f>
        <v>1.5961632016114892E-13</v>
      </c>
      <c r="AK178" s="13">
        <f t="shared" si="164"/>
        <v>2.2708641912150958E-12</v>
      </c>
      <c r="AL178" s="20">
        <f t="shared" si="165"/>
        <v>4.2330868906469593E-12</v>
      </c>
      <c r="AM178" s="59">
        <f t="shared" si="113"/>
        <v>293.33333333333752</v>
      </c>
      <c r="AN178" s="59">
        <f ca="1">AVERAGE(OFFSET($AM$3,0,0,'Données projet'!$E$10+1,1))-AVERAGE(OFFSET($H$3,0,0,'Données projet'!$E$10+1,1))</f>
        <v>158.58786357608489</v>
      </c>
      <c r="AO178" s="59">
        <f t="shared" si="144"/>
        <v>163.20074068819849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1.1368683772161603E-13</v>
      </c>
      <c r="O179" s="13">
        <f>N179*VLOOKUP('Données projet'!$B$9,Paramètres!$A$1:$I$89,3,0)*VLOOKUP('Données projet'!$B$9,Paramètres!$A$1:$I$89,5,0)</f>
        <v>6.3550942286383367E-14</v>
      </c>
      <c r="P179" s="13">
        <f t="shared" si="141"/>
        <v>1.0064464192543978E-12</v>
      </c>
      <c r="Q179" s="20">
        <f t="shared" si="162"/>
        <v>1.8635787380168604E-12</v>
      </c>
      <c r="R179" s="59">
        <f t="shared" si="109"/>
        <v>293.33333333333519</v>
      </c>
      <c r="S179" s="59">
        <f ca="1">AVERAGE(OFFSET($R$3,0,0,'Données projet'!$E$9+1,1))-AVERAGE(OFFSET($H$3,0,0,'Données projet'!$E$9+1,1))</f>
        <v>224.7049802939942</v>
      </c>
      <c r="T179" s="59">
        <f t="shared" si="142"/>
        <v>203.48513862195352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0.1238242454018718</v>
      </c>
      <c r="AA179" s="21">
        <f>EXP(-LN(2)/25)*AA178+(1-EXP(-LN(2)/25))/(LN(2)/25)*Calculateur!V179*Calculateur!X179*VLOOKUP('Données projet'!$B$9,Paramètres!$A$1:$I$89,3,0)*0.475*44/12</f>
        <v>0.34085161709976858</v>
      </c>
      <c r="AB179" s="21">
        <f>EXP(-LN(2)/2)*AB178+(1-EXP(-LN(2)/2))/(LN(2)/2)*V179*Y179*VLOOKUP('Données projet'!$B$9,Paramètres!$A$1:$I$89,3,0)*0.475*44/12</f>
        <v>9.4874176152915816E-22</v>
      </c>
      <c r="AC179" s="22">
        <f t="shared" si="163"/>
        <v>0.46467586250164039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3.4106051316484809E-13</v>
      </c>
      <c r="AJ179" s="13">
        <f>AI179*VLOOKUP('Données projet'!$B$10,Paramètres!$A$1:$I$89,3,0)*VLOOKUP('Données projet'!$B$10,Paramètres!$A$1:$I$89,5,0)</f>
        <v>1.5961632016114892E-13</v>
      </c>
      <c r="AK179" s="13">
        <f t="shared" si="164"/>
        <v>2.2708641912150958E-12</v>
      </c>
      <c r="AL179" s="20">
        <f t="shared" si="165"/>
        <v>4.2330868906469593E-12</v>
      </c>
      <c r="AM179" s="59">
        <f t="shared" si="113"/>
        <v>293.33333333333752</v>
      </c>
      <c r="AN179" s="59">
        <f ca="1">AVERAGE(OFFSET($AM$3,0,0,'Données projet'!$E$10+1,1))-AVERAGE(OFFSET($H$3,0,0,'Données projet'!$E$10+1,1))</f>
        <v>158.58786357608489</v>
      </c>
      <c r="AO179" s="59">
        <f t="shared" si="144"/>
        <v>163.20074068819849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1.1368683772161603E-13</v>
      </c>
      <c r="O180" s="13">
        <f>N180*VLOOKUP('Données projet'!$B$9,Paramètres!$A$1:$I$89,3,0)*VLOOKUP('Données projet'!$B$9,Paramètres!$A$1:$I$89,5,0)</f>
        <v>6.3550942286383367E-14</v>
      </c>
      <c r="P180" s="13">
        <f t="shared" si="141"/>
        <v>1.0064464192543978E-12</v>
      </c>
      <c r="Q180" s="20">
        <f t="shared" si="162"/>
        <v>1.8635787380168604E-12</v>
      </c>
      <c r="R180" s="59">
        <f t="shared" si="109"/>
        <v>293.33333333333519</v>
      </c>
      <c r="S180" s="59">
        <f ca="1">AVERAGE(OFFSET($R$3,0,0,'Données projet'!$E$9+1,1))-AVERAGE(OFFSET($H$3,0,0,'Données projet'!$E$9+1,1))</f>
        <v>224.7049802939942</v>
      </c>
      <c r="T180" s="59">
        <f t="shared" si="142"/>
        <v>203.48513862195352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0.12139612747487329</v>
      </c>
      <c r="AA180" s="21">
        <f>EXP(-LN(2)/25)*AA179+(1-EXP(-LN(2)/25))/(LN(2)/25)*Calculateur!V180*Calculateur!X180*VLOOKUP('Données projet'!$B$9,Paramètres!$A$1:$I$89,3,0)*0.475*44/12</f>
        <v>0.33153101170556787</v>
      </c>
      <c r="AB180" s="21">
        <f>EXP(-LN(2)/2)*AB179+(1-EXP(-LN(2)/2))/(LN(2)/2)*V180*Y180*VLOOKUP('Données projet'!$B$9,Paramètres!$A$1:$I$89,3,0)*0.475*44/12</f>
        <v>6.7086173317213809E-22</v>
      </c>
      <c r="AC180" s="22">
        <f t="shared" si="163"/>
        <v>0.45292713918044114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3.4106051316484809E-13</v>
      </c>
      <c r="AJ180" s="13">
        <f>AI180*VLOOKUP('Données projet'!$B$10,Paramètres!$A$1:$I$89,3,0)*VLOOKUP('Données projet'!$B$10,Paramètres!$A$1:$I$89,5,0)</f>
        <v>1.5961632016114892E-13</v>
      </c>
      <c r="AK180" s="13">
        <f t="shared" si="164"/>
        <v>2.2708641912150958E-12</v>
      </c>
      <c r="AL180" s="20">
        <f t="shared" si="165"/>
        <v>4.2330868906469593E-12</v>
      </c>
      <c r="AM180" s="59">
        <f t="shared" si="113"/>
        <v>293.33333333333752</v>
      </c>
      <c r="AN180" s="59">
        <f ca="1">AVERAGE(OFFSET($AM$3,0,0,'Données projet'!$E$10+1,1))-AVERAGE(OFFSET($H$3,0,0,'Données projet'!$E$10+1,1))</f>
        <v>158.58786357608489</v>
      </c>
      <c r="AO180" s="59">
        <f t="shared" si="144"/>
        <v>163.20074068819849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1.1368683772161603E-13</v>
      </c>
      <c r="O181" s="13">
        <f>N181*VLOOKUP('Données projet'!$B$9,Paramètres!$A$1:$I$89,3,0)*VLOOKUP('Données projet'!$B$9,Paramètres!$A$1:$I$89,5,0)</f>
        <v>6.3550942286383367E-14</v>
      </c>
      <c r="P181" s="13">
        <f t="shared" si="141"/>
        <v>1.0064464192543978E-12</v>
      </c>
      <c r="Q181" s="20">
        <f t="shared" si="162"/>
        <v>1.8635787380168604E-12</v>
      </c>
      <c r="R181" s="59">
        <f t="shared" si="109"/>
        <v>293.33333333333519</v>
      </c>
      <c r="S181" s="59">
        <f ca="1">AVERAGE(OFFSET($R$3,0,0,'Données projet'!$E$9+1,1))-AVERAGE(OFFSET($H$3,0,0,'Données projet'!$E$9+1,1))</f>
        <v>224.7049802939942</v>
      </c>
      <c r="T181" s="59">
        <f t="shared" si="142"/>
        <v>203.48513862195352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0.1190156234594175</v>
      </c>
      <c r="AA181" s="21">
        <f>EXP(-LN(2)/25)*AA180+(1-EXP(-LN(2)/25))/(LN(2)/25)*Calculateur!V181*Calculateur!X181*VLOOKUP('Données projet'!$B$9,Paramètres!$A$1:$I$89,3,0)*0.475*44/12</f>
        <v>0.32246527875602093</v>
      </c>
      <c r="AB181" s="21">
        <f>EXP(-LN(2)/2)*AB180+(1-EXP(-LN(2)/2))/(LN(2)/2)*V181*Y181*VLOOKUP('Données projet'!$B$9,Paramètres!$A$1:$I$89,3,0)*0.475*44/12</f>
        <v>4.7437088076457908E-22</v>
      </c>
      <c r="AC181" s="22">
        <f t="shared" si="163"/>
        <v>0.44148090221543845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3.4106051316484809E-13</v>
      </c>
      <c r="AJ181" s="13">
        <f>AI181*VLOOKUP('Données projet'!$B$10,Paramètres!$A$1:$I$89,3,0)*VLOOKUP('Données projet'!$B$10,Paramètres!$A$1:$I$89,5,0)</f>
        <v>1.5961632016114892E-13</v>
      </c>
      <c r="AK181" s="13">
        <f t="shared" si="164"/>
        <v>2.2708641912150958E-12</v>
      </c>
      <c r="AL181" s="20">
        <f t="shared" si="165"/>
        <v>4.2330868906469593E-12</v>
      </c>
      <c r="AM181" s="59">
        <f t="shared" si="113"/>
        <v>293.33333333333752</v>
      </c>
      <c r="AN181" s="59">
        <f ca="1">AVERAGE(OFFSET($AM$3,0,0,'Données projet'!$E$10+1,1))-AVERAGE(OFFSET($H$3,0,0,'Données projet'!$E$10+1,1))</f>
        <v>158.58786357608489</v>
      </c>
      <c r="AO181" s="59">
        <f t="shared" si="144"/>
        <v>163.20074068819849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1.1368683772161603E-13</v>
      </c>
      <c r="O182" s="13">
        <f>N182*VLOOKUP('Données projet'!$B$9,Paramètres!$A$1:$I$89,3,0)*VLOOKUP('Données projet'!$B$9,Paramètres!$A$1:$I$89,5,0)</f>
        <v>6.3550942286383367E-14</v>
      </c>
      <c r="P182" s="13">
        <f t="shared" si="141"/>
        <v>1.0064464192543978E-12</v>
      </c>
      <c r="Q182" s="20">
        <f t="shared" si="162"/>
        <v>1.8635787380168604E-12</v>
      </c>
      <c r="R182" s="59">
        <f t="shared" si="109"/>
        <v>293.33333333333519</v>
      </c>
      <c r="S182" s="59">
        <f ca="1">AVERAGE(OFFSET($R$3,0,0,'Données projet'!$E$9+1,1))-AVERAGE(OFFSET($H$3,0,0,'Données projet'!$E$9+1,1))</f>
        <v>224.7049802939942</v>
      </c>
      <c r="T182" s="59">
        <f t="shared" si="142"/>
        <v>203.48513862195352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0.11668179967574074</v>
      </c>
      <c r="AA182" s="21">
        <f>EXP(-LN(2)/25)*AA181+(1-EXP(-LN(2)/25))/(LN(2)/25)*Calculateur!V182*Calculateur!X182*VLOOKUP('Données projet'!$B$9,Paramètres!$A$1:$I$89,3,0)*0.475*44/12</f>
        <v>0.31364744875072553</v>
      </c>
      <c r="AB182" s="21">
        <f>EXP(-LN(2)/2)*AB181+(1-EXP(-LN(2)/2))/(LN(2)/2)*V182*Y182*VLOOKUP('Données projet'!$B$9,Paramètres!$A$1:$I$89,3,0)*0.475*44/12</f>
        <v>3.3543086658606904E-22</v>
      </c>
      <c r="AC182" s="22">
        <f t="shared" si="163"/>
        <v>0.43032924842646625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3.4106051316484809E-13</v>
      </c>
      <c r="AJ182" s="13">
        <f>AI182*VLOOKUP('Données projet'!$B$10,Paramètres!$A$1:$I$89,3,0)*VLOOKUP('Données projet'!$B$10,Paramètres!$A$1:$I$89,5,0)</f>
        <v>1.5961632016114892E-13</v>
      </c>
      <c r="AK182" s="13">
        <f t="shared" si="164"/>
        <v>2.2708641912150958E-12</v>
      </c>
      <c r="AL182" s="20">
        <f t="shared" si="165"/>
        <v>4.2330868906469593E-12</v>
      </c>
      <c r="AM182" s="59">
        <f t="shared" si="113"/>
        <v>293.33333333333752</v>
      </c>
      <c r="AN182" s="59">
        <f ca="1">AVERAGE(OFFSET($AM$3,0,0,'Données projet'!$E$10+1,1))-AVERAGE(OFFSET($H$3,0,0,'Données projet'!$E$10+1,1))</f>
        <v>158.58786357608489</v>
      </c>
      <c r="AO182" s="59">
        <f t="shared" si="144"/>
        <v>163.20074068819849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1.1368683772161603E-13</v>
      </c>
      <c r="O183" s="13">
        <f>N183*VLOOKUP('Données projet'!$B$9,Paramètres!$A$1:$I$89,3,0)*VLOOKUP('Données projet'!$B$9,Paramètres!$A$1:$I$89,5,0)</f>
        <v>6.3550942286383367E-14</v>
      </c>
      <c r="P183" s="13">
        <f t="shared" si="141"/>
        <v>1.0064464192543978E-12</v>
      </c>
      <c r="Q183" s="20">
        <f t="shared" si="162"/>
        <v>1.8635787380168604E-12</v>
      </c>
      <c r="R183" s="59">
        <f t="shared" si="109"/>
        <v>293.33333333333519</v>
      </c>
      <c r="S183" s="59">
        <f ca="1">AVERAGE(OFFSET($R$3,0,0,'Données projet'!$E$9+1,1))-AVERAGE(OFFSET($H$3,0,0,'Données projet'!$E$9+1,1))</f>
        <v>224.7049802939942</v>
      </c>
      <c r="T183" s="59">
        <f t="shared" si="142"/>
        <v>203.48513862195352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0.11439374075296993</v>
      </c>
      <c r="AA183" s="21">
        <f>EXP(-LN(2)/25)*AA182+(1-EXP(-LN(2)/25))/(LN(2)/25)*Calculateur!V183*Calculateur!X183*VLOOKUP('Données projet'!$B$9,Paramètres!$A$1:$I$89,3,0)*0.475*44/12</f>
        <v>0.30507074277063445</v>
      </c>
      <c r="AB183" s="21">
        <f>EXP(-LN(2)/2)*AB182+(1-EXP(-LN(2)/2))/(LN(2)/2)*V183*Y183*VLOOKUP('Données projet'!$B$9,Paramètres!$A$1:$I$89,3,0)*0.475*44/12</f>
        <v>2.3718544038228954E-22</v>
      </c>
      <c r="AC183" s="22">
        <f t="shared" si="163"/>
        <v>0.41946448352360438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3.4106051316484809E-13</v>
      </c>
      <c r="AJ183" s="13">
        <f>AI183*VLOOKUP('Données projet'!$B$10,Paramètres!$A$1:$I$89,3,0)*VLOOKUP('Données projet'!$B$10,Paramètres!$A$1:$I$89,5,0)</f>
        <v>1.5961632016114892E-13</v>
      </c>
      <c r="AK183" s="13">
        <f t="shared" si="164"/>
        <v>2.2708641912150958E-12</v>
      </c>
      <c r="AL183" s="20">
        <f t="shared" si="165"/>
        <v>4.2330868906469593E-12</v>
      </c>
      <c r="AM183" s="59">
        <f t="shared" si="113"/>
        <v>293.33333333333752</v>
      </c>
      <c r="AN183" s="59">
        <f ca="1">AVERAGE(OFFSET($AM$3,0,0,'Données projet'!$E$10+1,1))-AVERAGE(OFFSET($H$3,0,0,'Données projet'!$E$10+1,1))</f>
        <v>158.58786357608489</v>
      </c>
      <c r="AO183" s="59">
        <f t="shared" si="144"/>
        <v>163.20074068819849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1.1368683772161603E-13</v>
      </c>
      <c r="O184" s="13">
        <f>N184*VLOOKUP('Données projet'!$B$9,Paramètres!$A$1:$I$89,3,0)*VLOOKUP('Données projet'!$B$9,Paramètres!$A$1:$I$89,5,0)</f>
        <v>6.3550942286383367E-14</v>
      </c>
      <c r="P184" s="13">
        <f t="shared" si="141"/>
        <v>1.0064464192543978E-12</v>
      </c>
      <c r="Q184" s="20">
        <f t="shared" si="162"/>
        <v>1.8635787380168604E-12</v>
      </c>
      <c r="R184" s="59">
        <f t="shared" si="109"/>
        <v>293.33333333333519</v>
      </c>
      <c r="S184" s="59">
        <f ca="1">AVERAGE(OFFSET($R$3,0,0,'Données projet'!$E$9+1,1))-AVERAGE(OFFSET($H$3,0,0,'Données projet'!$E$9+1,1))</f>
        <v>224.7049802939942</v>
      </c>
      <c r="T184" s="59">
        <f t="shared" si="142"/>
        <v>203.48513862195352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0.1121505492700965</v>
      </c>
      <c r="AA184" s="21">
        <f>EXP(-LN(2)/25)*AA183+(1-EXP(-LN(2)/25))/(LN(2)/25)*Calculateur!V184*Calculateur!X184*VLOOKUP('Données projet'!$B$9,Paramètres!$A$1:$I$89,3,0)*0.475*44/12</f>
        <v>0.29672856726659835</v>
      </c>
      <c r="AB184" s="21">
        <f>EXP(-LN(2)/2)*AB183+(1-EXP(-LN(2)/2))/(LN(2)/2)*V184*Y184*VLOOKUP('Données projet'!$B$9,Paramètres!$A$1:$I$89,3,0)*0.475*44/12</f>
        <v>1.6771543329303452E-22</v>
      </c>
      <c r="AC184" s="22">
        <f t="shared" si="163"/>
        <v>0.40887911653669484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3.4106051316484809E-13</v>
      </c>
      <c r="AJ184" s="13">
        <f>AI184*VLOOKUP('Données projet'!$B$10,Paramètres!$A$1:$I$89,3,0)*VLOOKUP('Données projet'!$B$10,Paramètres!$A$1:$I$89,5,0)</f>
        <v>1.5961632016114892E-13</v>
      </c>
      <c r="AK184" s="13">
        <f t="shared" si="164"/>
        <v>2.2708641912150958E-12</v>
      </c>
      <c r="AL184" s="20">
        <f t="shared" si="165"/>
        <v>4.2330868906469593E-12</v>
      </c>
      <c r="AM184" s="59">
        <f t="shared" si="113"/>
        <v>293.33333333333752</v>
      </c>
      <c r="AN184" s="59">
        <f ca="1">AVERAGE(OFFSET($AM$3,0,0,'Données projet'!$E$10+1,1))-AVERAGE(OFFSET($H$3,0,0,'Données projet'!$E$10+1,1))</f>
        <v>158.58786357608489</v>
      </c>
      <c r="AO184" s="59">
        <f t="shared" si="144"/>
        <v>163.20074068819849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1.1368683772161603E-13</v>
      </c>
      <c r="O185" s="13">
        <f>N185*VLOOKUP('Données projet'!$B$9,Paramètres!$A$1:$I$89,3,0)*VLOOKUP('Données projet'!$B$9,Paramètres!$A$1:$I$89,5,0)</f>
        <v>6.3550942286383367E-14</v>
      </c>
      <c r="P185" s="13">
        <f t="shared" si="141"/>
        <v>1.0064464192543978E-12</v>
      </c>
      <c r="Q185" s="20">
        <f t="shared" si="162"/>
        <v>1.8635787380168604E-12</v>
      </c>
      <c r="R185" s="59">
        <f t="shared" si="109"/>
        <v>293.33333333333519</v>
      </c>
      <c r="S185" s="59">
        <f ca="1">AVERAGE(OFFSET($R$3,0,0,'Données projet'!$E$9+1,1))-AVERAGE(OFFSET($H$3,0,0,'Données projet'!$E$9+1,1))</f>
        <v>224.7049802939942</v>
      </c>
      <c r="T185" s="59">
        <f t="shared" si="142"/>
        <v>203.48513862195352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0.10995134540399053</v>
      </c>
      <c r="AA185" s="21">
        <f>EXP(-LN(2)/25)*AA184+(1-EXP(-LN(2)/25))/(LN(2)/25)*Calculateur!V185*Calculateur!X185*VLOOKUP('Données projet'!$B$9,Paramètres!$A$1:$I$89,3,0)*0.475*44/12</f>
        <v>0.28861450899041607</v>
      </c>
      <c r="AB185" s="21">
        <f>EXP(-LN(2)/2)*AB184+(1-EXP(-LN(2)/2))/(LN(2)/2)*V185*Y185*VLOOKUP('Données projet'!$B$9,Paramètres!$A$1:$I$89,3,0)*0.475*44/12</f>
        <v>1.1859272019114477E-22</v>
      </c>
      <c r="AC185" s="22">
        <f t="shared" si="163"/>
        <v>0.39856585439440662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3.4106051316484809E-13</v>
      </c>
      <c r="AJ185" s="13">
        <f>AI185*VLOOKUP('Données projet'!$B$10,Paramètres!$A$1:$I$89,3,0)*VLOOKUP('Données projet'!$B$10,Paramètres!$A$1:$I$89,5,0)</f>
        <v>1.5961632016114892E-13</v>
      </c>
      <c r="AK185" s="13">
        <f t="shared" si="164"/>
        <v>2.2708641912150958E-12</v>
      </c>
      <c r="AL185" s="20">
        <f t="shared" si="165"/>
        <v>4.2330868906469593E-12</v>
      </c>
      <c r="AM185" s="59">
        <f t="shared" si="113"/>
        <v>293.33333333333752</v>
      </c>
      <c r="AN185" s="59">
        <f ca="1">AVERAGE(OFFSET($AM$3,0,0,'Données projet'!$E$10+1,1))-AVERAGE(OFFSET($H$3,0,0,'Données projet'!$E$10+1,1))</f>
        <v>158.58786357608489</v>
      </c>
      <c r="AO185" s="59">
        <f t="shared" si="144"/>
        <v>163.20074068819849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1.1368683772161603E-13</v>
      </c>
      <c r="O186" s="13">
        <f>N186*VLOOKUP('Données projet'!$B$9,Paramètres!$A$1:$I$89,3,0)*VLOOKUP('Données projet'!$B$9,Paramètres!$A$1:$I$89,5,0)</f>
        <v>6.3550942286383367E-14</v>
      </c>
      <c r="P186" s="13">
        <f t="shared" si="141"/>
        <v>1.0064464192543978E-12</v>
      </c>
      <c r="Q186" s="20">
        <f t="shared" si="162"/>
        <v>1.8635787380168604E-12</v>
      </c>
      <c r="R186" s="59">
        <f t="shared" si="109"/>
        <v>293.33333333333519</v>
      </c>
      <c r="S186" s="59">
        <f ca="1">AVERAGE(OFFSET($R$3,0,0,'Données projet'!$E$9+1,1))-AVERAGE(OFFSET($H$3,0,0,'Données projet'!$E$9+1,1))</f>
        <v>224.7049802939942</v>
      </c>
      <c r="T186" s="59">
        <f t="shared" si="142"/>
        <v>203.48513862195352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0.10779526658431698</v>
      </c>
      <c r="AA186" s="21">
        <f>EXP(-LN(2)/25)*AA185+(1-EXP(-LN(2)/25))/(LN(2)/25)*Calculateur!V186*Calculateur!X186*VLOOKUP('Données projet'!$B$9,Paramètres!$A$1:$I$89,3,0)*0.475*44/12</f>
        <v>0.28072233006449576</v>
      </c>
      <c r="AB186" s="21">
        <f>EXP(-LN(2)/2)*AB185+(1-EXP(-LN(2)/2))/(LN(2)/2)*V186*Y186*VLOOKUP('Données projet'!$B$9,Paramètres!$A$1:$I$89,3,0)*0.475*44/12</f>
        <v>8.3857716646517261E-23</v>
      </c>
      <c r="AC186" s="22">
        <f t="shared" si="163"/>
        <v>0.38851759664881275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3.4106051316484809E-13</v>
      </c>
      <c r="AJ186" s="13">
        <f>AI186*VLOOKUP('Données projet'!$B$10,Paramètres!$A$1:$I$89,3,0)*VLOOKUP('Données projet'!$B$10,Paramètres!$A$1:$I$89,5,0)</f>
        <v>1.5961632016114892E-13</v>
      </c>
      <c r="AK186" s="13">
        <f t="shared" si="164"/>
        <v>2.2708641912150958E-12</v>
      </c>
      <c r="AL186" s="20">
        <f t="shared" si="165"/>
        <v>4.2330868906469593E-12</v>
      </c>
      <c r="AM186" s="59">
        <f t="shared" si="113"/>
        <v>293.33333333333752</v>
      </c>
      <c r="AN186" s="59">
        <f ca="1">AVERAGE(OFFSET($AM$3,0,0,'Données projet'!$E$10+1,1))-AVERAGE(OFFSET($H$3,0,0,'Données projet'!$E$10+1,1))</f>
        <v>158.58786357608489</v>
      </c>
      <c r="AO186" s="59">
        <f t="shared" si="144"/>
        <v>163.20074068819849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1.1368683772161603E-13</v>
      </c>
      <c r="O187" s="13">
        <f>N187*VLOOKUP('Données projet'!$B$9,Paramètres!$A$1:$I$89,3,0)*VLOOKUP('Données projet'!$B$9,Paramètres!$A$1:$I$89,5,0)</f>
        <v>6.3550942286383367E-14</v>
      </c>
      <c r="P187" s="13">
        <f t="shared" si="141"/>
        <v>1.0064464192543978E-12</v>
      </c>
      <c r="Q187" s="20">
        <f t="shared" si="162"/>
        <v>1.8635787380168604E-12</v>
      </c>
      <c r="R187" s="59">
        <f t="shared" si="109"/>
        <v>293.33333333333519</v>
      </c>
      <c r="S187" s="59">
        <f ca="1">AVERAGE(OFFSET($R$3,0,0,'Données projet'!$E$9+1,1))-AVERAGE(OFFSET($H$3,0,0,'Données projet'!$E$9+1,1))</f>
        <v>224.7049802939942</v>
      </c>
      <c r="T187" s="59">
        <f t="shared" si="142"/>
        <v>203.48513862195352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0.10568146715521901</v>
      </c>
      <c r="AA187" s="21">
        <f>EXP(-LN(2)/25)*AA186+(1-EXP(-LN(2)/25))/(LN(2)/25)*Calculateur!V187*Calculateur!X187*VLOOKUP('Données projet'!$B$9,Paramètres!$A$1:$I$89,3,0)*0.475*44/12</f>
        <v>0.27304596318633639</v>
      </c>
      <c r="AB187" s="21">
        <f>EXP(-LN(2)/2)*AB186+(1-EXP(-LN(2)/2))/(LN(2)/2)*V187*Y187*VLOOKUP('Données projet'!$B$9,Paramètres!$A$1:$I$89,3,0)*0.475*44/12</f>
        <v>5.9296360095572385E-23</v>
      </c>
      <c r="AC187" s="22">
        <f t="shared" si="163"/>
        <v>0.37872743034155543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3.4106051316484809E-13</v>
      </c>
      <c r="AJ187" s="13">
        <f>AI187*VLOOKUP('Données projet'!$B$10,Paramètres!$A$1:$I$89,3,0)*VLOOKUP('Données projet'!$B$10,Paramètres!$A$1:$I$89,5,0)</f>
        <v>1.5961632016114892E-13</v>
      </c>
      <c r="AK187" s="13">
        <f t="shared" si="164"/>
        <v>2.2708641912150958E-12</v>
      </c>
      <c r="AL187" s="20">
        <f t="shared" si="165"/>
        <v>4.2330868906469593E-12</v>
      </c>
      <c r="AM187" s="59">
        <f t="shared" si="113"/>
        <v>293.33333333333752</v>
      </c>
      <c r="AN187" s="59">
        <f ca="1">AVERAGE(OFFSET($AM$3,0,0,'Données projet'!$E$10+1,1))-AVERAGE(OFFSET($H$3,0,0,'Données projet'!$E$10+1,1))</f>
        <v>158.58786357608489</v>
      </c>
      <c r="AO187" s="59">
        <f t="shared" si="144"/>
        <v>163.20074068819849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1.1368683772161603E-13</v>
      </c>
      <c r="O188" s="13">
        <f>N188*VLOOKUP('Données projet'!$B$9,Paramètres!$A$1:$I$89,3,0)*VLOOKUP('Données projet'!$B$9,Paramètres!$A$1:$I$89,5,0)</f>
        <v>6.3550942286383367E-14</v>
      </c>
      <c r="P188" s="13">
        <f t="shared" si="141"/>
        <v>1.0064464192543978E-12</v>
      </c>
      <c r="Q188" s="20">
        <f t="shared" si="162"/>
        <v>1.8635787380168604E-12</v>
      </c>
      <c r="R188" s="59">
        <f t="shared" si="109"/>
        <v>293.33333333333519</v>
      </c>
      <c r="S188" s="59">
        <f ca="1">AVERAGE(OFFSET($R$3,0,0,'Données projet'!$E$9+1,1))-AVERAGE(OFFSET($H$3,0,0,'Données projet'!$E$9+1,1))</f>
        <v>224.7049802939942</v>
      </c>
      <c r="T188" s="59">
        <f t="shared" si="142"/>
        <v>203.48513862195352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0.10360911804363529</v>
      </c>
      <c r="AA188" s="21">
        <f>EXP(-LN(2)/25)*AA187+(1-EXP(-LN(2)/25))/(LN(2)/25)*Calculateur!V188*Calculateur!X188*VLOOKUP('Données projet'!$B$9,Paramètres!$A$1:$I$89,3,0)*0.475*44/12</f>
        <v>0.2655795069641429</v>
      </c>
      <c r="AB188" s="21">
        <f>EXP(-LN(2)/2)*AB187+(1-EXP(-LN(2)/2))/(LN(2)/2)*V188*Y188*VLOOKUP('Données projet'!$B$9,Paramètres!$A$1:$I$89,3,0)*0.475*44/12</f>
        <v>4.1928858323258631E-23</v>
      </c>
      <c r="AC188" s="22">
        <f t="shared" si="163"/>
        <v>0.36918862500777816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3.4106051316484809E-13</v>
      </c>
      <c r="AJ188" s="13">
        <f>AI188*VLOOKUP('Données projet'!$B$10,Paramètres!$A$1:$I$89,3,0)*VLOOKUP('Données projet'!$B$10,Paramètres!$A$1:$I$89,5,0)</f>
        <v>1.5961632016114892E-13</v>
      </c>
      <c r="AK188" s="13">
        <f t="shared" si="164"/>
        <v>2.2708641912150958E-12</v>
      </c>
      <c r="AL188" s="20">
        <f t="shared" si="165"/>
        <v>4.2330868906469593E-12</v>
      </c>
      <c r="AM188" s="59">
        <f t="shared" si="113"/>
        <v>293.33333333333752</v>
      </c>
      <c r="AN188" s="59">
        <f ca="1">AVERAGE(OFFSET($AM$3,0,0,'Données projet'!$E$10+1,1))-AVERAGE(OFFSET($H$3,0,0,'Données projet'!$E$10+1,1))</f>
        <v>158.58786357608489</v>
      </c>
      <c r="AO188" s="59">
        <f t="shared" si="144"/>
        <v>163.20074068819849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1.1368683772161603E-13</v>
      </c>
      <c r="O189" s="13">
        <f>N189*VLOOKUP('Données projet'!$B$9,Paramètres!$A$1:$I$89,3,0)*VLOOKUP('Données projet'!$B$9,Paramètres!$A$1:$I$89,5,0)</f>
        <v>6.3550942286383367E-14</v>
      </c>
      <c r="P189" s="13">
        <f t="shared" si="141"/>
        <v>1.0064464192543978E-12</v>
      </c>
      <c r="Q189" s="20">
        <f t="shared" si="162"/>
        <v>1.8635787380168604E-12</v>
      </c>
      <c r="R189" s="59">
        <f t="shared" si="109"/>
        <v>293.33333333333519</v>
      </c>
      <c r="S189" s="59">
        <f ca="1">AVERAGE(OFFSET($R$3,0,0,'Données projet'!$E$9+1,1))-AVERAGE(OFFSET($H$3,0,0,'Données projet'!$E$9+1,1))</f>
        <v>224.7049802939942</v>
      </c>
      <c r="T189" s="59">
        <f t="shared" si="142"/>
        <v>203.48513862195352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0.10157740643412159</v>
      </c>
      <c r="AA189" s="21">
        <f>EXP(-LN(2)/25)*AA188+(1-EXP(-LN(2)/25))/(LN(2)/25)*Calculateur!V189*Calculateur!X189*VLOOKUP('Données projet'!$B$9,Paramètres!$A$1:$I$89,3,0)*0.475*44/12</f>
        <v>0.25831722137998914</v>
      </c>
      <c r="AB189" s="21">
        <f>EXP(-LN(2)/2)*AB188+(1-EXP(-LN(2)/2))/(LN(2)/2)*V189*Y189*VLOOKUP('Données projet'!$B$9,Paramètres!$A$1:$I$89,3,0)*0.475*44/12</f>
        <v>2.9648180047786192E-23</v>
      </c>
      <c r="AC189" s="22">
        <f t="shared" si="163"/>
        <v>0.35989462781411075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3.4106051316484809E-13</v>
      </c>
      <c r="AJ189" s="13">
        <f>AI189*VLOOKUP('Données projet'!$B$10,Paramètres!$A$1:$I$89,3,0)*VLOOKUP('Données projet'!$B$10,Paramètres!$A$1:$I$89,5,0)</f>
        <v>1.5961632016114892E-13</v>
      </c>
      <c r="AK189" s="13">
        <f t="shared" si="164"/>
        <v>2.2708641912150958E-12</v>
      </c>
      <c r="AL189" s="20">
        <f t="shared" si="165"/>
        <v>4.2330868906469593E-12</v>
      </c>
      <c r="AM189" s="59">
        <f t="shared" si="113"/>
        <v>293.33333333333752</v>
      </c>
      <c r="AN189" s="59">
        <f ca="1">AVERAGE(OFFSET($AM$3,0,0,'Données projet'!$E$10+1,1))-AVERAGE(OFFSET($H$3,0,0,'Données projet'!$E$10+1,1))</f>
        <v>158.58786357608489</v>
      </c>
      <c r="AO189" s="59">
        <f t="shared" si="144"/>
        <v>163.20074068819849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1.1368683772161603E-13</v>
      </c>
      <c r="O190" s="13">
        <f>N190*VLOOKUP('Données projet'!$B$9,Paramètres!$A$1:$I$89,3,0)*VLOOKUP('Données projet'!$B$9,Paramètres!$A$1:$I$89,5,0)</f>
        <v>6.3550942286383367E-14</v>
      </c>
      <c r="P190" s="13">
        <f t="shared" si="141"/>
        <v>1.0064464192543978E-12</v>
      </c>
      <c r="Q190" s="20">
        <f t="shared" si="162"/>
        <v>1.8635787380168604E-12</v>
      </c>
      <c r="R190" s="59">
        <f t="shared" si="109"/>
        <v>293.33333333333519</v>
      </c>
      <c r="S190" s="59">
        <f ca="1">AVERAGE(OFFSET($R$3,0,0,'Données projet'!$E$9+1,1))-AVERAGE(OFFSET($H$3,0,0,'Données projet'!$E$9+1,1))</f>
        <v>224.7049802939942</v>
      </c>
      <c r="T190" s="59">
        <f t="shared" si="142"/>
        <v>203.48513862195352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9.9585535450048737E-2</v>
      </c>
      <c r="AA190" s="21">
        <f>EXP(-LN(2)/25)*AA189+(1-EXP(-LN(2)/25))/(LN(2)/25)*Calculateur!V190*Calculateur!X190*VLOOKUP('Données projet'!$B$9,Paramètres!$A$1:$I$89,3,0)*0.475*44/12</f>
        <v>0.25125352337704104</v>
      </c>
      <c r="AB190" s="21">
        <f>EXP(-LN(2)/2)*AB189+(1-EXP(-LN(2)/2))/(LN(2)/2)*V190*Y190*VLOOKUP('Données projet'!$B$9,Paramètres!$A$1:$I$89,3,0)*0.475*44/12</f>
        <v>2.0964429161629315E-23</v>
      </c>
      <c r="AC190" s="22">
        <f t="shared" si="163"/>
        <v>0.35083905882708977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3.4106051316484809E-13</v>
      </c>
      <c r="AJ190" s="13">
        <f>AI190*VLOOKUP('Données projet'!$B$10,Paramètres!$A$1:$I$89,3,0)*VLOOKUP('Données projet'!$B$10,Paramètres!$A$1:$I$89,5,0)</f>
        <v>1.5961632016114892E-13</v>
      </c>
      <c r="AK190" s="13">
        <f t="shared" si="164"/>
        <v>2.2708641912150958E-12</v>
      </c>
      <c r="AL190" s="20">
        <f t="shared" si="165"/>
        <v>4.2330868906469593E-12</v>
      </c>
      <c r="AM190" s="59">
        <f t="shared" si="113"/>
        <v>293.33333333333752</v>
      </c>
      <c r="AN190" s="59">
        <f ca="1">AVERAGE(OFFSET($AM$3,0,0,'Données projet'!$E$10+1,1))-AVERAGE(OFFSET($H$3,0,0,'Données projet'!$E$10+1,1))</f>
        <v>158.58786357608489</v>
      </c>
      <c r="AO190" s="59">
        <f t="shared" si="144"/>
        <v>163.20074068819849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1.1368683772161603E-13</v>
      </c>
      <c r="O191" s="13">
        <f>N191*VLOOKUP('Données projet'!$B$9,Paramètres!$A$1:$I$89,3,0)*VLOOKUP('Données projet'!$B$9,Paramètres!$A$1:$I$89,5,0)</f>
        <v>6.3550942286383367E-14</v>
      </c>
      <c r="P191" s="13">
        <f t="shared" si="141"/>
        <v>1.0064464192543978E-12</v>
      </c>
      <c r="Q191" s="20">
        <f t="shared" si="162"/>
        <v>1.8635787380168604E-12</v>
      </c>
      <c r="R191" s="59">
        <f t="shared" si="109"/>
        <v>293.33333333333519</v>
      </c>
      <c r="S191" s="59">
        <f ca="1">AVERAGE(OFFSET($R$3,0,0,'Données projet'!$E$9+1,1))-AVERAGE(OFFSET($H$3,0,0,'Données projet'!$E$9+1,1))</f>
        <v>224.7049802939942</v>
      </c>
      <c r="T191" s="59">
        <f t="shared" si="142"/>
        <v>203.48513862195352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9.7632723841052219E-2</v>
      </c>
      <c r="AA191" s="21">
        <f>EXP(-LN(2)/25)*AA190+(1-EXP(-LN(2)/25))/(LN(2)/25)*Calculateur!V191*Calculateur!X191*VLOOKUP('Données projet'!$B$9,Paramètres!$A$1:$I$89,3,0)*0.475*44/12</f>
        <v>0.24438298256744731</v>
      </c>
      <c r="AB191" s="21">
        <f>EXP(-LN(2)/2)*AB190+(1-EXP(-LN(2)/2))/(LN(2)/2)*V191*Y191*VLOOKUP('Données projet'!$B$9,Paramètres!$A$1:$I$89,3,0)*0.475*44/12</f>
        <v>1.4824090023893096E-23</v>
      </c>
      <c r="AC191" s="22">
        <f t="shared" si="163"/>
        <v>0.34201570640849954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3.4106051316484809E-13</v>
      </c>
      <c r="AJ191" s="13">
        <f>AI191*VLOOKUP('Données projet'!$B$10,Paramètres!$A$1:$I$89,3,0)*VLOOKUP('Données projet'!$B$10,Paramètres!$A$1:$I$89,5,0)</f>
        <v>1.5961632016114892E-13</v>
      </c>
      <c r="AK191" s="13">
        <f t="shared" si="164"/>
        <v>2.2708641912150958E-12</v>
      </c>
      <c r="AL191" s="20">
        <f t="shared" si="165"/>
        <v>4.2330868906469593E-12</v>
      </c>
      <c r="AM191" s="59">
        <f t="shared" si="113"/>
        <v>293.33333333333752</v>
      </c>
      <c r="AN191" s="59">
        <f ca="1">AVERAGE(OFFSET($AM$3,0,0,'Données projet'!$E$10+1,1))-AVERAGE(OFFSET($H$3,0,0,'Données projet'!$E$10+1,1))</f>
        <v>158.58786357608489</v>
      </c>
      <c r="AO191" s="59">
        <f t="shared" si="144"/>
        <v>163.20074068819849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1.1368683772161603E-13</v>
      </c>
      <c r="O192" s="13">
        <f>N192*VLOOKUP('Données projet'!$B$9,Paramètres!$A$1:$I$89,3,0)*VLOOKUP('Données projet'!$B$9,Paramètres!$A$1:$I$89,5,0)</f>
        <v>6.3550942286383367E-14</v>
      </c>
      <c r="P192" s="13">
        <f t="shared" si="141"/>
        <v>1.0064464192543978E-12</v>
      </c>
      <c r="Q192" s="20">
        <f t="shared" si="162"/>
        <v>1.8635787380168604E-12</v>
      </c>
      <c r="R192" s="59">
        <f t="shared" si="109"/>
        <v>293.33333333333519</v>
      </c>
      <c r="S192" s="59">
        <f ca="1">AVERAGE(OFFSET($R$3,0,0,'Données projet'!$E$9+1,1))-AVERAGE(OFFSET($H$3,0,0,'Données projet'!$E$9+1,1))</f>
        <v>224.7049802939942</v>
      </c>
      <c r="T192" s="59">
        <f t="shared" si="142"/>
        <v>203.48513862195352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9.5718205676610643E-2</v>
      </c>
      <c r="AA192" s="21">
        <f>EXP(-LN(2)/25)*AA191+(1-EXP(-LN(2)/25))/(LN(2)/25)*Calculateur!V192*Calculateur!X192*VLOOKUP('Données projet'!$B$9,Paramètres!$A$1:$I$89,3,0)*0.475*44/12</f>
        <v>0.23770031705759795</v>
      </c>
      <c r="AB192" s="21">
        <f>EXP(-LN(2)/2)*AB191+(1-EXP(-LN(2)/2))/(LN(2)/2)*V192*Y192*VLOOKUP('Données projet'!$B$9,Paramètres!$A$1:$I$89,3,0)*0.475*44/12</f>
        <v>1.0482214580814658E-23</v>
      </c>
      <c r="AC192" s="22">
        <f t="shared" si="163"/>
        <v>0.33341852273420858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3.4106051316484809E-13</v>
      </c>
      <c r="AJ192" s="13">
        <f>AI192*VLOOKUP('Données projet'!$B$10,Paramètres!$A$1:$I$89,3,0)*VLOOKUP('Données projet'!$B$10,Paramètres!$A$1:$I$89,5,0)</f>
        <v>1.5961632016114892E-13</v>
      </c>
      <c r="AK192" s="13">
        <f t="shared" si="164"/>
        <v>2.2708641912150958E-12</v>
      </c>
      <c r="AL192" s="20">
        <f t="shared" si="165"/>
        <v>4.2330868906469593E-12</v>
      </c>
      <c r="AM192" s="59">
        <f t="shared" si="113"/>
        <v>293.33333333333752</v>
      </c>
      <c r="AN192" s="59">
        <f ca="1">AVERAGE(OFFSET($AM$3,0,0,'Données projet'!$E$10+1,1))-AVERAGE(OFFSET($H$3,0,0,'Données projet'!$E$10+1,1))</f>
        <v>158.58786357608489</v>
      </c>
      <c r="AO192" s="59">
        <f t="shared" si="144"/>
        <v>163.20074068819849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1.1368683772161603E-13</v>
      </c>
      <c r="O193" s="13">
        <f>N193*VLOOKUP('Données projet'!$B$9,Paramètres!$A$1:$I$89,3,0)*VLOOKUP('Données projet'!$B$9,Paramètres!$A$1:$I$89,5,0)</f>
        <v>6.3550942286383367E-14</v>
      </c>
      <c r="P193" s="13">
        <f t="shared" si="141"/>
        <v>1.0064464192543978E-12</v>
      </c>
      <c r="Q193" s="20">
        <f t="shared" si="162"/>
        <v>1.8635787380168604E-12</v>
      </c>
      <c r="R193" s="59">
        <f t="shared" si="109"/>
        <v>293.33333333333519</v>
      </c>
      <c r="S193" s="59">
        <f ca="1">AVERAGE(OFFSET($R$3,0,0,'Données projet'!$E$9+1,1))-AVERAGE(OFFSET($H$3,0,0,'Données projet'!$E$9+1,1))</f>
        <v>224.7049802939942</v>
      </c>
      <c r="T193" s="59">
        <f t="shared" si="142"/>
        <v>203.48513862195352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9.3841230045632995E-2</v>
      </c>
      <c r="AA193" s="21">
        <f>EXP(-LN(2)/25)*AA192+(1-EXP(-LN(2)/25))/(LN(2)/25)*Calculateur!V193*Calculateur!X193*VLOOKUP('Données projet'!$B$9,Paramètres!$A$1:$I$89,3,0)*0.475*44/12</f>
        <v>0.23120038938754153</v>
      </c>
      <c r="AB193" s="21">
        <f>EXP(-LN(2)/2)*AB192+(1-EXP(-LN(2)/2))/(LN(2)/2)*V193*Y193*VLOOKUP('Données projet'!$B$9,Paramètres!$A$1:$I$89,3,0)*0.475*44/12</f>
        <v>7.4120450119465481E-24</v>
      </c>
      <c r="AC193" s="22">
        <f t="shared" si="163"/>
        <v>0.32504161943317456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3.4106051316484809E-13</v>
      </c>
      <c r="AJ193" s="13">
        <f>AI193*VLOOKUP('Données projet'!$B$10,Paramètres!$A$1:$I$89,3,0)*VLOOKUP('Données projet'!$B$10,Paramètres!$A$1:$I$89,5,0)</f>
        <v>1.5961632016114892E-13</v>
      </c>
      <c r="AK193" s="13">
        <f t="shared" si="164"/>
        <v>2.2708641912150958E-12</v>
      </c>
      <c r="AL193" s="20">
        <f t="shared" si="165"/>
        <v>4.2330868906469593E-12</v>
      </c>
      <c r="AM193" s="59">
        <f t="shared" si="113"/>
        <v>293.33333333333752</v>
      </c>
      <c r="AN193" s="59">
        <f ca="1">AVERAGE(OFFSET($AM$3,0,0,'Données projet'!$E$10+1,1))-AVERAGE(OFFSET($H$3,0,0,'Données projet'!$E$10+1,1))</f>
        <v>158.58786357608489</v>
      </c>
      <c r="AO193" s="59">
        <f t="shared" si="144"/>
        <v>163.20074068819849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1.1368683772161603E-13</v>
      </c>
      <c r="O194" s="13">
        <f>N194*VLOOKUP('Données projet'!$B$9,Paramètres!$A$1:$I$89,3,0)*VLOOKUP('Données projet'!$B$9,Paramètres!$A$1:$I$89,5,0)</f>
        <v>6.3550942286383367E-14</v>
      </c>
      <c r="P194" s="13">
        <f t="shared" si="141"/>
        <v>1.0064464192543978E-12</v>
      </c>
      <c r="Q194" s="20">
        <f t="shared" si="162"/>
        <v>1.8635787380168604E-12</v>
      </c>
      <c r="R194" s="59">
        <f t="shared" si="109"/>
        <v>293.33333333333519</v>
      </c>
      <c r="S194" s="59">
        <f ca="1">AVERAGE(OFFSET($R$3,0,0,'Données projet'!$E$9+1,1))-AVERAGE(OFFSET($H$3,0,0,'Données projet'!$E$9+1,1))</f>
        <v>224.7049802939942</v>
      </c>
      <c r="T194" s="59">
        <f t="shared" si="142"/>
        <v>203.48513862195352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9.2001060761936732E-2</v>
      </c>
      <c r="AA194" s="21">
        <f>EXP(-LN(2)/25)*AA193+(1-EXP(-LN(2)/25))/(LN(2)/25)*Calculateur!V194*Calculateur!X194*VLOOKUP('Données projet'!$B$9,Paramètres!$A$1:$I$89,3,0)*0.475*44/12</f>
        <v>0.22487820258143915</v>
      </c>
      <c r="AB194" s="21">
        <f>EXP(-LN(2)/2)*AB193+(1-EXP(-LN(2)/2))/(LN(2)/2)*V194*Y194*VLOOKUP('Données projet'!$B$9,Paramètres!$A$1:$I$89,3,0)*0.475*44/12</f>
        <v>5.2411072904073288E-24</v>
      </c>
      <c r="AC194" s="22">
        <f t="shared" si="163"/>
        <v>0.31687926334337591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3.4106051316484809E-13</v>
      </c>
      <c r="AJ194" s="13">
        <f>AI194*VLOOKUP('Données projet'!$B$10,Paramètres!$A$1:$I$89,3,0)*VLOOKUP('Données projet'!$B$10,Paramètres!$A$1:$I$89,5,0)</f>
        <v>1.5961632016114892E-13</v>
      </c>
      <c r="AK194" s="13">
        <f t="shared" si="164"/>
        <v>2.2708641912150958E-12</v>
      </c>
      <c r="AL194" s="20">
        <f t="shared" si="165"/>
        <v>4.2330868906469593E-12</v>
      </c>
      <c r="AM194" s="59">
        <f t="shared" si="113"/>
        <v>293.33333333333752</v>
      </c>
      <c r="AN194" s="59">
        <f ca="1">AVERAGE(OFFSET($AM$3,0,0,'Données projet'!$E$10+1,1))-AVERAGE(OFFSET($H$3,0,0,'Données projet'!$E$10+1,1))</f>
        <v>158.58786357608489</v>
      </c>
      <c r="AO194" s="59">
        <f t="shared" si="144"/>
        <v>163.20074068819849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1.1368683772161603E-13</v>
      </c>
      <c r="O195" s="13">
        <f>N195*VLOOKUP('Données projet'!$B$9,Paramètres!$A$1:$I$89,3,0)*VLOOKUP('Données projet'!$B$9,Paramètres!$A$1:$I$89,5,0)</f>
        <v>6.3550942286383367E-14</v>
      </c>
      <c r="P195" s="13">
        <f t="shared" si="141"/>
        <v>1.0064464192543978E-12</v>
      </c>
      <c r="Q195" s="20">
        <f t="shared" si="162"/>
        <v>1.8635787380168604E-12</v>
      </c>
      <c r="R195" s="59">
        <f t="shared" ref="R195:R203" si="191">Q195+(I195+J195)*44/12</f>
        <v>293.33333333333519</v>
      </c>
      <c r="S195" s="59">
        <f ca="1">AVERAGE(OFFSET($R$3,0,0,'Données projet'!$E$9+1,1))-AVERAGE(OFFSET($H$3,0,0,'Données projet'!$E$9+1,1))</f>
        <v>224.7049802939942</v>
      </c>
      <c r="T195" s="59">
        <f t="shared" si="142"/>
        <v>203.48513862195352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9.0196976075501312E-2</v>
      </c>
      <c r="AA195" s="21">
        <f>EXP(-LN(2)/25)*AA194+(1-EXP(-LN(2)/25))/(LN(2)/25)*Calculateur!V195*Calculateur!X195*VLOOKUP('Données projet'!$B$9,Paramètres!$A$1:$I$89,3,0)*0.475*44/12</f>
        <v>0.21872889630601899</v>
      </c>
      <c r="AB195" s="21">
        <f>EXP(-LN(2)/2)*AB194+(1-EXP(-LN(2)/2))/(LN(2)/2)*V195*Y195*VLOOKUP('Données projet'!$B$9,Paramètres!$A$1:$I$89,3,0)*0.475*44/12</f>
        <v>3.7060225059732741E-24</v>
      </c>
      <c r="AC195" s="22">
        <f t="shared" si="163"/>
        <v>0.30892587238152031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3.4106051316484809E-13</v>
      </c>
      <c r="AJ195" s="13">
        <f>AI195*VLOOKUP('Données projet'!$B$10,Paramètres!$A$1:$I$89,3,0)*VLOOKUP('Données projet'!$B$10,Paramètres!$A$1:$I$89,5,0)</f>
        <v>1.5961632016114892E-13</v>
      </c>
      <c r="AK195" s="13">
        <f t="shared" si="164"/>
        <v>2.2708641912150958E-12</v>
      </c>
      <c r="AL195" s="20">
        <f t="shared" si="165"/>
        <v>4.2330868906469593E-12</v>
      </c>
      <c r="AM195" s="59">
        <f t="shared" si="113"/>
        <v>293.33333333333752</v>
      </c>
      <c r="AN195" s="59">
        <f ca="1">AVERAGE(OFFSET($AM$3,0,0,'Données projet'!$E$10+1,1))-AVERAGE(OFFSET($H$3,0,0,'Données projet'!$E$10+1,1))</f>
        <v>158.58786357608489</v>
      </c>
      <c r="AO195" s="59">
        <f t="shared" si="144"/>
        <v>163.20074068819849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1.1368683772161603E-13</v>
      </c>
      <c r="O196" s="13">
        <f>N196*VLOOKUP('Données projet'!$B$9,Paramètres!$A$1:$I$89,3,0)*VLOOKUP('Données projet'!$B$9,Paramètres!$A$1:$I$89,5,0)</f>
        <v>6.3550942286383367E-14</v>
      </c>
      <c r="P196" s="13">
        <f t="shared" si="141"/>
        <v>1.0064464192543978E-12</v>
      </c>
      <c r="Q196" s="20">
        <f t="shared" si="162"/>
        <v>1.8635787380168604E-12</v>
      </c>
      <c r="R196" s="59">
        <f t="shared" si="191"/>
        <v>293.33333333333519</v>
      </c>
      <c r="S196" s="59">
        <f ca="1">AVERAGE(OFFSET($R$3,0,0,'Données projet'!$E$9+1,1))-AVERAGE(OFFSET($H$3,0,0,'Données projet'!$E$9+1,1))</f>
        <v>224.7049802939942</v>
      </c>
      <c r="T196" s="59">
        <f t="shared" si="142"/>
        <v>203.48513862195352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8.8428268389383891E-2</v>
      </c>
      <c r="AA196" s="21">
        <f>EXP(-LN(2)/25)*AA195+(1-EXP(-LN(2)/25))/(LN(2)/25)*Calculateur!V196*Calculateur!X196*VLOOKUP('Données projet'!$B$9,Paramètres!$A$1:$I$89,3,0)*0.475*44/12</f>
        <v>0.21274774313407815</v>
      </c>
      <c r="AB196" s="21">
        <f>EXP(-LN(2)/2)*AB195+(1-EXP(-LN(2)/2))/(LN(2)/2)*V196*Y196*VLOOKUP('Données projet'!$B$9,Paramètres!$A$1:$I$89,3,0)*0.475*44/12</f>
        <v>2.6205536452036644E-24</v>
      </c>
      <c r="AC196" s="22">
        <f t="shared" si="163"/>
        <v>0.30117601152346207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3.4106051316484809E-13</v>
      </c>
      <c r="AJ196" s="13">
        <f>AI196*VLOOKUP('Données projet'!$B$10,Paramètres!$A$1:$I$89,3,0)*VLOOKUP('Données projet'!$B$10,Paramètres!$A$1:$I$89,5,0)</f>
        <v>1.5961632016114892E-13</v>
      </c>
      <c r="AK196" s="13">
        <f t="shared" si="164"/>
        <v>2.2708641912150958E-12</v>
      </c>
      <c r="AL196" s="20">
        <f t="shared" si="165"/>
        <v>4.2330868906469593E-12</v>
      </c>
      <c r="AM196" s="59">
        <f t="shared" ref="AM196:AM203" si="193">AL196+(AD196+AE196)*44/12</f>
        <v>293.33333333333752</v>
      </c>
      <c r="AN196" s="59">
        <f ca="1">AVERAGE(OFFSET($AM$3,0,0,'Données projet'!$E$10+1,1))-AVERAGE(OFFSET($H$3,0,0,'Données projet'!$E$10+1,1))</f>
        <v>158.58786357608489</v>
      </c>
      <c r="AO196" s="59">
        <f t="shared" si="144"/>
        <v>163.20074068819849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1.1368683772161603E-13</v>
      </c>
      <c r="O197" s="13">
        <f>N197*VLOOKUP('Données projet'!$B$9,Paramètres!$A$1:$I$89,3,0)*VLOOKUP('Données projet'!$B$9,Paramètres!$A$1:$I$89,5,0)</f>
        <v>6.3550942286383367E-14</v>
      </c>
      <c r="P197" s="13">
        <f t="shared" ref="P197:P203" si="203">EXP(-1.0587+0.8836*LN(O197)+0.284)</f>
        <v>1.0064464192543978E-12</v>
      </c>
      <c r="Q197" s="20">
        <f t="shared" si="162"/>
        <v>1.8635787380168604E-12</v>
      </c>
      <c r="R197" s="59">
        <f t="shared" si="191"/>
        <v>293.33333333333519</v>
      </c>
      <c r="S197" s="59">
        <f ca="1">AVERAGE(OFFSET($R$3,0,0,'Données projet'!$E$9+1,1))-AVERAGE(OFFSET($H$3,0,0,'Données projet'!$E$9+1,1))</f>
        <v>224.7049802939942</v>
      </c>
      <c r="T197" s="59">
        <f t="shared" ref="T197:T203" si="204">$T$3</f>
        <v>203.48513862195352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8.6694243982186059E-2</v>
      </c>
      <c r="AA197" s="21">
        <f>EXP(-LN(2)/25)*AA196+(1-EXP(-LN(2)/25))/(LN(2)/25)*Calculateur!V197*Calculateur!X197*VLOOKUP('Données projet'!$B$9,Paramètres!$A$1:$I$89,3,0)*0.475*44/12</f>
        <v>0.20693014491015921</v>
      </c>
      <c r="AB197" s="21">
        <f>EXP(-LN(2)/2)*AB196+(1-EXP(-LN(2)/2))/(LN(2)/2)*V197*Y197*VLOOKUP('Données projet'!$B$9,Paramètres!$A$1:$I$89,3,0)*0.475*44/12</f>
        <v>1.853011252986637E-24</v>
      </c>
      <c r="AC197" s="22">
        <f t="shared" si="163"/>
        <v>0.29362438889234527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3.4106051316484809E-13</v>
      </c>
      <c r="AJ197" s="13">
        <f>AI197*VLOOKUP('Données projet'!$B$10,Paramètres!$A$1:$I$89,3,0)*VLOOKUP('Données projet'!$B$10,Paramètres!$A$1:$I$89,5,0)</f>
        <v>1.5961632016114892E-13</v>
      </c>
      <c r="AK197" s="13">
        <f t="shared" si="164"/>
        <v>2.2708641912150958E-12</v>
      </c>
      <c r="AL197" s="20">
        <f t="shared" si="165"/>
        <v>4.2330868906469593E-12</v>
      </c>
      <c r="AM197" s="59">
        <f t="shared" si="193"/>
        <v>293.33333333333752</v>
      </c>
      <c r="AN197" s="59">
        <f ca="1">AVERAGE(OFFSET($AM$3,0,0,'Données projet'!$E$10+1,1))-AVERAGE(OFFSET($H$3,0,0,'Données projet'!$E$10+1,1))</f>
        <v>158.58786357608489</v>
      </c>
      <c r="AO197" s="59">
        <f t="shared" ref="AO197:AO203" si="205">$AO$3</f>
        <v>163.20074068819849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1.1368683772161603E-13</v>
      </c>
      <c r="O198" s="13">
        <f>N198*VLOOKUP('Données projet'!$B$9,Paramètres!$A$1:$I$89,3,0)*VLOOKUP('Données projet'!$B$9,Paramètres!$A$1:$I$89,5,0)</f>
        <v>6.3550942286383367E-14</v>
      </c>
      <c r="P198" s="13">
        <f t="shared" si="203"/>
        <v>1.0064464192543978E-12</v>
      </c>
      <c r="Q198" s="20">
        <f t="shared" si="162"/>
        <v>1.8635787380168604E-12</v>
      </c>
      <c r="R198" s="59">
        <f t="shared" si="191"/>
        <v>293.33333333333519</v>
      </c>
      <c r="S198" s="59">
        <f ca="1">AVERAGE(OFFSET($R$3,0,0,'Données projet'!$E$9+1,1))-AVERAGE(OFFSET($H$3,0,0,'Données projet'!$E$9+1,1))</f>
        <v>224.7049802939942</v>
      </c>
      <c r="T198" s="59">
        <f t="shared" si="204"/>
        <v>203.48513862195352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8.4994222735962924E-2</v>
      </c>
      <c r="AA198" s="21">
        <f>EXP(-LN(2)/25)*AA197+(1-EXP(-LN(2)/25))/(LN(2)/25)*Calculateur!V198*Calculateur!X198*VLOOKUP('Données projet'!$B$9,Paramètres!$A$1:$I$89,3,0)*0.475*44/12</f>
        <v>0.20127162921560754</v>
      </c>
      <c r="AB198" s="21">
        <f>EXP(-LN(2)/2)*AB197+(1-EXP(-LN(2)/2))/(LN(2)/2)*V198*Y198*VLOOKUP('Données projet'!$B$9,Paramètres!$A$1:$I$89,3,0)*0.475*44/12</f>
        <v>1.3102768226018322E-24</v>
      </c>
      <c r="AC198" s="22">
        <f t="shared" si="163"/>
        <v>0.28626585195157045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3.4106051316484809E-13</v>
      </c>
      <c r="AJ198" s="13">
        <f>AI198*VLOOKUP('Données projet'!$B$10,Paramètres!$A$1:$I$89,3,0)*VLOOKUP('Données projet'!$B$10,Paramètres!$A$1:$I$89,5,0)</f>
        <v>1.5961632016114892E-13</v>
      </c>
      <c r="AK198" s="13">
        <f t="shared" si="164"/>
        <v>2.2708641912150958E-12</v>
      </c>
      <c r="AL198" s="20">
        <f t="shared" si="165"/>
        <v>4.2330868906469593E-12</v>
      </c>
      <c r="AM198" s="59">
        <f t="shared" si="193"/>
        <v>293.33333333333752</v>
      </c>
      <c r="AN198" s="59">
        <f ca="1">AVERAGE(OFFSET($AM$3,0,0,'Données projet'!$E$10+1,1))-AVERAGE(OFFSET($H$3,0,0,'Données projet'!$E$10+1,1))</f>
        <v>158.58786357608489</v>
      </c>
      <c r="AO198" s="59">
        <f t="shared" si="205"/>
        <v>163.20074068819849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1.1368683772161603E-13</v>
      </c>
      <c r="O199" s="13">
        <f>N199*VLOOKUP('Données projet'!$B$9,Paramètres!$A$1:$I$89,3,0)*VLOOKUP('Données projet'!$B$9,Paramètres!$A$1:$I$89,5,0)</f>
        <v>6.3550942286383367E-14</v>
      </c>
      <c r="P199" s="13">
        <f t="shared" si="203"/>
        <v>1.0064464192543978E-12</v>
      </c>
      <c r="Q199" s="20">
        <f t="shared" si="162"/>
        <v>1.8635787380168604E-12</v>
      </c>
      <c r="R199" s="59">
        <f t="shared" si="191"/>
        <v>293.33333333333519</v>
      </c>
      <c r="S199" s="59">
        <f ca="1">AVERAGE(OFFSET($R$3,0,0,'Données projet'!$E$9+1,1))-AVERAGE(OFFSET($H$3,0,0,'Données projet'!$E$9+1,1))</f>
        <v>224.7049802939942</v>
      </c>
      <c r="T199" s="59">
        <f t="shared" si="204"/>
        <v>203.48513862195352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8.3327537869467658E-2</v>
      </c>
      <c r="AA199" s="21">
        <f>EXP(-LN(2)/25)*AA198+(1-EXP(-LN(2)/25))/(LN(2)/25)*Calculateur!V199*Calculateur!X199*VLOOKUP('Données projet'!$B$9,Paramètres!$A$1:$I$89,3,0)*0.475*44/12</f>
        <v>0.19576784593029178</v>
      </c>
      <c r="AB199" s="21">
        <f>EXP(-LN(2)/2)*AB198+(1-EXP(-LN(2)/2))/(LN(2)/2)*V199*Y199*VLOOKUP('Données projet'!$B$9,Paramètres!$A$1:$I$89,3,0)*0.475*44/12</f>
        <v>9.2650562649331851E-25</v>
      </c>
      <c r="AC199" s="22">
        <f t="shared" si="163"/>
        <v>0.27909538379975946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3.4106051316484809E-13</v>
      </c>
      <c r="AJ199" s="13">
        <f>AI199*VLOOKUP('Données projet'!$B$10,Paramètres!$A$1:$I$89,3,0)*VLOOKUP('Données projet'!$B$10,Paramètres!$A$1:$I$89,5,0)</f>
        <v>1.5961632016114892E-13</v>
      </c>
      <c r="AK199" s="13">
        <f t="shared" si="164"/>
        <v>2.2708641912150958E-12</v>
      </c>
      <c r="AL199" s="20">
        <f t="shared" si="165"/>
        <v>4.2330868906469593E-12</v>
      </c>
      <c r="AM199" s="59">
        <f t="shared" si="193"/>
        <v>293.33333333333752</v>
      </c>
      <c r="AN199" s="59">
        <f ca="1">AVERAGE(OFFSET($AM$3,0,0,'Données projet'!$E$10+1,1))-AVERAGE(OFFSET($H$3,0,0,'Données projet'!$E$10+1,1))</f>
        <v>158.58786357608489</v>
      </c>
      <c r="AO199" s="59">
        <f t="shared" si="205"/>
        <v>163.20074068819849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1.1368683772161603E-13</v>
      </c>
      <c r="O200" s="13">
        <f>N200*VLOOKUP('Données projet'!$B$9,Paramètres!$A$1:$I$89,3,0)*VLOOKUP('Données projet'!$B$9,Paramètres!$A$1:$I$89,5,0)</f>
        <v>6.3550942286383367E-14</v>
      </c>
      <c r="P200" s="13">
        <f t="shared" si="203"/>
        <v>1.0064464192543978E-12</v>
      </c>
      <c r="Q200" s="20">
        <f t="shared" si="162"/>
        <v>1.8635787380168604E-12</v>
      </c>
      <c r="R200" s="59">
        <f t="shared" si="191"/>
        <v>293.33333333333519</v>
      </c>
      <c r="S200" s="59">
        <f ca="1">AVERAGE(OFFSET($R$3,0,0,'Données projet'!$E$9+1,1))-AVERAGE(OFFSET($H$3,0,0,'Données projet'!$E$9+1,1))</f>
        <v>224.7049802939942</v>
      </c>
      <c r="T200" s="59">
        <f t="shared" si="204"/>
        <v>203.48513862195352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8.169353567662696E-2</v>
      </c>
      <c r="AA200" s="21">
        <f>EXP(-LN(2)/25)*AA199+(1-EXP(-LN(2)/25))/(LN(2)/25)*Calculateur!V200*Calculateur!X200*VLOOKUP('Données projet'!$B$9,Paramètres!$A$1:$I$89,3,0)*0.475*44/12</f>
        <v>0.19041456388834438</v>
      </c>
      <c r="AB200" s="21">
        <f>EXP(-LN(2)/2)*AB199+(1-EXP(-LN(2)/2))/(LN(2)/2)*V200*Y200*VLOOKUP('Données projet'!$B$9,Paramètres!$A$1:$I$89,3,0)*0.475*44/12</f>
        <v>6.551384113009161E-25</v>
      </c>
      <c r="AC200" s="22">
        <f t="shared" si="163"/>
        <v>0.27210809956497134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3.4106051316484809E-13</v>
      </c>
      <c r="AJ200" s="13">
        <f>AI200*VLOOKUP('Données projet'!$B$10,Paramètres!$A$1:$I$89,3,0)*VLOOKUP('Données projet'!$B$10,Paramètres!$A$1:$I$89,5,0)</f>
        <v>1.5961632016114892E-13</v>
      </c>
      <c r="AK200" s="13">
        <f t="shared" si="164"/>
        <v>2.2708641912150958E-12</v>
      </c>
      <c r="AL200" s="20">
        <f t="shared" si="165"/>
        <v>4.2330868906469593E-12</v>
      </c>
      <c r="AM200" s="59">
        <f t="shared" si="193"/>
        <v>293.33333333333752</v>
      </c>
      <c r="AN200" s="59">
        <f ca="1">AVERAGE(OFFSET($AM$3,0,0,'Données projet'!$E$10+1,1))-AVERAGE(OFFSET($H$3,0,0,'Données projet'!$E$10+1,1))</f>
        <v>158.58786357608489</v>
      </c>
      <c r="AO200" s="59">
        <f t="shared" si="205"/>
        <v>163.20074068819849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1.1368683772161603E-13</v>
      </c>
      <c r="O201" s="13">
        <f>N201*VLOOKUP('Données projet'!$B$9,Paramètres!$A$1:$I$89,3,0)*VLOOKUP('Données projet'!$B$9,Paramètres!$A$1:$I$89,5,0)</f>
        <v>6.3550942286383367E-14</v>
      </c>
      <c r="P201" s="13">
        <f t="shared" si="203"/>
        <v>1.0064464192543978E-12</v>
      </c>
      <c r="Q201" s="20">
        <f t="shared" si="162"/>
        <v>1.8635787380168604E-12</v>
      </c>
      <c r="R201" s="59">
        <f t="shared" si="191"/>
        <v>293.33333333333519</v>
      </c>
      <c r="S201" s="59">
        <f ca="1">AVERAGE(OFFSET($R$3,0,0,'Données projet'!$E$9+1,1))-AVERAGE(OFFSET($H$3,0,0,'Données projet'!$E$9+1,1))</f>
        <v>224.7049802939942</v>
      </c>
      <c r="T201" s="59">
        <f t="shared" si="204"/>
        <v>203.48513862195352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8.0091575270144946E-2</v>
      </c>
      <c r="AA201" s="21">
        <f>EXP(-LN(2)/25)*AA200+(1-EXP(-LN(2)/25))/(LN(2)/25)*Calculateur!V201*Calculateur!X201*VLOOKUP('Données projet'!$B$9,Paramètres!$A$1:$I$89,3,0)*0.475*44/12</f>
        <v>0.18520766762535087</v>
      </c>
      <c r="AB201" s="21">
        <f>EXP(-LN(2)/2)*AB200+(1-EXP(-LN(2)/2))/(LN(2)/2)*V201*Y201*VLOOKUP('Données projet'!$B$9,Paramètres!$A$1:$I$89,3,0)*0.475*44/12</f>
        <v>4.6325281324665926E-25</v>
      </c>
      <c r="AC201" s="22">
        <f t="shared" si="163"/>
        <v>0.26529924289549583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3.4106051316484809E-13</v>
      </c>
      <c r="AJ201" s="13">
        <f>AI201*VLOOKUP('Données projet'!$B$10,Paramètres!$A$1:$I$89,3,0)*VLOOKUP('Données projet'!$B$10,Paramètres!$A$1:$I$89,5,0)</f>
        <v>1.5961632016114892E-13</v>
      </c>
      <c r="AK201" s="13">
        <f t="shared" si="164"/>
        <v>2.2708641912150958E-12</v>
      </c>
      <c r="AL201" s="20">
        <f t="shared" si="165"/>
        <v>4.2330868906469593E-12</v>
      </c>
      <c r="AM201" s="59">
        <f t="shared" si="193"/>
        <v>293.33333333333752</v>
      </c>
      <c r="AN201" s="59">
        <f ca="1">AVERAGE(OFFSET($AM$3,0,0,'Données projet'!$E$10+1,1))-AVERAGE(OFFSET($H$3,0,0,'Données projet'!$E$10+1,1))</f>
        <v>158.58786357608489</v>
      </c>
      <c r="AO201" s="59">
        <f t="shared" si="205"/>
        <v>163.20074068819849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1.1368683772161603E-13</v>
      </c>
      <c r="O202" s="13">
        <f>N202*VLOOKUP('Données projet'!$B$9,Paramètres!$A$1:$I$89,3,0)*VLOOKUP('Données projet'!$B$9,Paramètres!$A$1:$I$89,5,0)</f>
        <v>6.3550942286383367E-14</v>
      </c>
      <c r="P202" s="13">
        <f t="shared" si="203"/>
        <v>1.0064464192543978E-12</v>
      </c>
      <c r="Q202" s="20">
        <f t="shared" si="162"/>
        <v>1.8635787380168604E-12</v>
      </c>
      <c r="R202" s="59">
        <f t="shared" si="191"/>
        <v>293.33333333333519</v>
      </c>
      <c r="S202" s="59">
        <f ca="1">AVERAGE(OFFSET($R$3,0,0,'Données projet'!$E$9+1,1))-AVERAGE(OFFSET($H$3,0,0,'Données projet'!$E$9+1,1))</f>
        <v>224.7049802939942</v>
      </c>
      <c r="T202" s="59">
        <f t="shared" si="204"/>
        <v>203.48513862195352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7.8521028330134676E-2</v>
      </c>
      <c r="AA202" s="21">
        <f>EXP(-LN(2)/25)*AA201+(1-EXP(-LN(2)/25))/(LN(2)/25)*Calculateur!V202*Calculateur!X202*VLOOKUP('Données projet'!$B$9,Paramètres!$A$1:$I$89,3,0)*0.475*44/12</f>
        <v>0.18014315421448771</v>
      </c>
      <c r="AB202" s="21">
        <f>EXP(-LN(2)/2)*AB201+(1-EXP(-LN(2)/2))/(LN(2)/2)*V202*Y202*VLOOKUP('Données projet'!$B$9,Paramètres!$A$1:$I$89,3,0)*0.475*44/12</f>
        <v>3.2756920565045805E-25</v>
      </c>
      <c r="AC202" s="22">
        <f t="shared" si="163"/>
        <v>0.25866418254462237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3.4106051316484809E-13</v>
      </c>
      <c r="AJ202" s="13">
        <f>AI202*VLOOKUP('Données projet'!$B$10,Paramètres!$A$1:$I$89,3,0)*VLOOKUP('Données projet'!$B$10,Paramètres!$A$1:$I$89,5,0)</f>
        <v>1.5961632016114892E-13</v>
      </c>
      <c r="AK202" s="13">
        <f t="shared" si="164"/>
        <v>2.2708641912150958E-12</v>
      </c>
      <c r="AL202" s="20">
        <f t="shared" si="165"/>
        <v>4.2330868906469593E-12</v>
      </c>
      <c r="AM202" s="59">
        <f t="shared" si="193"/>
        <v>293.33333333333752</v>
      </c>
      <c r="AN202" s="59">
        <f ca="1">AVERAGE(OFFSET($AM$3,0,0,'Données projet'!$E$10+1,1))-AVERAGE(OFFSET($H$3,0,0,'Données projet'!$E$10+1,1))</f>
        <v>158.58786357608489</v>
      </c>
      <c r="AO202" s="59">
        <f t="shared" si="205"/>
        <v>163.20074068819849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1.1368683772161603E-13</v>
      </c>
      <c r="O203" s="13">
        <f>N203*VLOOKUP('Données projet'!$B$9,Paramètres!$A$1:$I$89,3,0)*VLOOKUP('Données projet'!$B$9,Paramètres!$A$1:$I$89,5,0)</f>
        <v>6.3550942286383367E-14</v>
      </c>
      <c r="P203" s="13">
        <f t="shared" si="203"/>
        <v>1.0064464192543978E-12</v>
      </c>
      <c r="Q203" s="20">
        <f t="shared" si="162"/>
        <v>1.8635787380168604E-12</v>
      </c>
      <c r="R203" s="59">
        <f t="shared" si="191"/>
        <v>293.33333333333519</v>
      </c>
      <c r="S203" s="59">
        <f ca="1">AVERAGE(OFFSET($R$3,0,0,'Données projet'!$E$9+1,1))-AVERAGE(OFFSET($H$3,0,0,'Données projet'!$E$9+1,1))</f>
        <v>224.7049802939942</v>
      </c>
      <c r="T203" s="59">
        <f t="shared" si="204"/>
        <v>203.48513862195352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7.698127885767897E-2</v>
      </c>
      <c r="AA203" s="21">
        <f>EXP(-LN(2)/25)*AA202+(1-EXP(-LN(2)/25))/(LN(2)/25)*Calculateur!V203*Calculateur!X203*VLOOKUP('Données projet'!$B$9,Paramètres!$A$1:$I$89,3,0)*0.475*44/12</f>
        <v>0.17521713018917578</v>
      </c>
      <c r="AB203" s="21">
        <f>EXP(-LN(2)/2)*AB202+(1-EXP(-LN(2)/2))/(LN(2)/2)*V203*Y203*VLOOKUP('Données projet'!$B$9,Paramètres!$A$1:$I$89,3,0)*0.475*44/12</f>
        <v>2.3162640662332963E-25</v>
      </c>
      <c r="AC203" s="22">
        <f t="shared" si="163"/>
        <v>0.25219840904685475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3.4106051316484809E-13</v>
      </c>
      <c r="AJ203" s="13">
        <f>AI203*VLOOKUP('Données projet'!$B$10,Paramètres!$A$1:$I$89,3,0)*VLOOKUP('Données projet'!$B$10,Paramètres!$A$1:$I$89,5,0)</f>
        <v>1.5961632016114892E-13</v>
      </c>
      <c r="AK203" s="13">
        <f t="shared" si="164"/>
        <v>2.2708641912150958E-12</v>
      </c>
      <c r="AL203" s="20">
        <f t="shared" si="165"/>
        <v>4.2330868906469593E-12</v>
      </c>
      <c r="AM203" s="59">
        <f t="shared" si="193"/>
        <v>293.33333333333752</v>
      </c>
      <c r="AN203" s="59">
        <f ca="1">AVERAGE(OFFSET($AM$3,0,0,'Données projet'!$E$10+1,1))-AVERAGE(OFFSET($H$3,0,0,'Données projet'!$E$10+1,1))</f>
        <v>158.58786357608489</v>
      </c>
      <c r="AO203" s="59">
        <f t="shared" si="205"/>
        <v>163.20074068819849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1.3009230512021859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1.1963772029987372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zoomScale="90" zoomScaleNormal="90" workbookViewId="0">
      <selection activeCell="A2" sqref="A2:L1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Douglas</v>
      </c>
      <c r="B6" s="146">
        <f>'Données projet'!D9</f>
        <v>3.2478599999999997</v>
      </c>
      <c r="C6" s="147">
        <f ca="1">IF(OR('Données projet'!B9="",'Données projet'!C9="",'Données projet'!C9=0%),0,Calculateur!S3)</f>
        <v>224.7049802939942</v>
      </c>
      <c r="D6" s="147">
        <f>IF(OR('Données projet'!B9="",'Données projet'!C9="",'Données projet'!C9=0%),0,Calculateur!T3)</f>
        <v>203.48513862195352</v>
      </c>
      <c r="E6" s="147">
        <f ca="1">MIN(C6,D6)</f>
        <v>203.48513862195352</v>
      </c>
      <c r="F6" s="147">
        <f ca="1">E6*B6</f>
        <v>660.89124232469794</v>
      </c>
      <c r="G6" s="147">
        <f ca="1">F6*(100%-'Données projet'!$C$24)*(100%-'Données projet'!$C$25)*(100%-'Données projet'!$C$26)*(100%-'Données projet'!$C$27)</f>
        <v>594.80211809222817</v>
      </c>
      <c r="H6" s="148">
        <f>IF(OR('Données projet'!B9="",'Données projet'!C9="",'Données projet'!C9=0%),0,AVERAGE(Calculateur!$AC$3:$AC$33)*B6)</f>
        <v>25.880510740348615</v>
      </c>
      <c r="I6" s="149">
        <f>H6*(100%-'Données projet'!$C$24)*(100%-'Données projet'!$C$25)*(100%-'Données projet'!$C$26)*(100%-'Données projet'!$C$27)</f>
        <v>23.292459666313754</v>
      </c>
      <c r="J6" s="150">
        <f>IF(OR('Données projet'!B9="",'Données projet'!C9="",'Données projet'!C9=0%),0,SUM(Calculateur!$V$3:$V$33)*VLOOKUP('Données projet'!$B$9,Paramètres!$A$1:$I$89,9,0)*B6)</f>
        <v>164.91458853692305</v>
      </c>
      <c r="K6" s="151">
        <f>J6*(100%-'Données projet'!$C$24)*(100%-'Données projet'!$C$25)*(100%-'Données projet'!$C$26)*(100%-'Données projet'!$C$27)</f>
        <v>148.42312968323074</v>
      </c>
      <c r="L6" s="152">
        <f ca="1">G6+I6+K6</f>
        <v>766.5177074417727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Cèdre de l'Atlas</v>
      </c>
      <c r="B7" s="154">
        <f>'Données projet'!D10</f>
        <v>3.3521399999999999</v>
      </c>
      <c r="C7" s="147">
        <f ca="1">IF(OR('Données projet'!B10="",'Données projet'!C10="",'Données projet'!C10=0%),0,Calculateur!AN3)</f>
        <v>158.58786357608489</v>
      </c>
      <c r="D7" s="147">
        <f>IF(OR('Données projet'!B10="",'Données projet'!C10="",'Données projet'!C10=0%),0,Calculateur!AO3)</f>
        <v>163.20074068819849</v>
      </c>
      <c r="E7" s="147">
        <f t="shared" ref="E7:E15" ca="1" si="0">MIN(C7,D7)</f>
        <v>158.58786357608489</v>
      </c>
      <c r="F7" s="147">
        <f t="shared" ref="F7:F15" ca="1" si="1">E7*B7</f>
        <v>531.60872100793722</v>
      </c>
      <c r="G7" s="147">
        <f ca="1">F7*(100%-'Données projet'!$C$24)*(100%-'Données projet'!$C$25)*(100%-'Données projet'!$C$26)*(100%-'Données projet'!$C$27)</f>
        <v>478.44784890714351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478.44784890714351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1192.4999633326352</v>
      </c>
      <c r="G16" s="166">
        <f t="shared" ca="1" si="3"/>
        <v>1073.2499669993717</v>
      </c>
      <c r="H16" s="167">
        <f t="shared" si="3"/>
        <v>25.880510740348615</v>
      </c>
      <c r="I16" s="167">
        <f t="shared" si="3"/>
        <v>23.292459666313754</v>
      </c>
      <c r="J16" s="168">
        <f t="shared" si="3"/>
        <v>164.91458853692305</v>
      </c>
      <c r="K16" s="168">
        <f t="shared" si="3"/>
        <v>148.42312968323074</v>
      </c>
      <c r="L16" s="169">
        <f t="shared" ca="1" si="3"/>
        <v>1244.9655563489162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85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P3" zoomScale="80" zoomScaleNormal="80" workbookViewId="0">
      <selection activeCell="R7" sqref="R7:V2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4203.0140125596417</v>
      </c>
      <c r="U10" s="178">
        <f>'Données projet'!D9</f>
        <v>3.2478599999999997</v>
      </c>
      <c r="V10" s="177">
        <f>U10*T10</f>
        <v>13650.801090831957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Cèdre de l'Atlas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-852.98635612015892</v>
      </c>
      <c r="U11" s="178">
        <f>'Données projet'!D10</f>
        <v>3.3521399999999999</v>
      </c>
      <c r="V11" s="177">
        <f t="shared" ref="V11" si="0">U11*T11</f>
        <v>-2859.3296838046294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50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1600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50.000000000000028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35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1750.0000000000009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v>2500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550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1550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19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v>1650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-41211.591722973615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21</v>
      </c>
      <c r="B24" s="181">
        <f>'Données projet'!D37</f>
        <v>61.169230769230765</v>
      </c>
      <c r="C24" s="193">
        <v>25</v>
      </c>
      <c r="D24" s="182">
        <f t="shared" ref="D24:D42" si="2">B24*C24</f>
        <v>1529.2307692307691</v>
      </c>
      <c r="E24" s="193"/>
      <c r="F24" s="233"/>
      <c r="H24" s="190">
        <v>4</v>
      </c>
      <c r="I24" s="191">
        <v>750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1278.6964571032829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28</v>
      </c>
      <c r="B25" s="181">
        <f>'Données projet'!D38</f>
        <v>56.91538461538461</v>
      </c>
      <c r="C25" s="193">
        <v>35</v>
      </c>
      <c r="D25" s="182">
        <f t="shared" si="2"/>
        <v>1992.0384615384614</v>
      </c>
      <c r="E25" s="193"/>
      <c r="F25" s="233"/>
      <c r="H25" s="190">
        <v>5</v>
      </c>
      <c r="I25" s="191">
        <v>60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-42490.288180076896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35</v>
      </c>
      <c r="B26" s="181">
        <f>'Données projet'!D39</f>
        <v>70.5</v>
      </c>
      <c r="C26" s="193">
        <v>55</v>
      </c>
      <c r="D26" s="182">
        <f t="shared" si="2"/>
        <v>3877.5</v>
      </c>
      <c r="E26" s="193"/>
      <c r="F26" s="233"/>
      <c r="G26" s="229"/>
      <c r="H26" s="190">
        <v>6</v>
      </c>
      <c r="I26" s="191">
        <v>60</v>
      </c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42</v>
      </c>
      <c r="B27" s="181">
        <f>'Données projet'!D40</f>
        <v>80.669230769230765</v>
      </c>
      <c r="C27" s="193">
        <v>55</v>
      </c>
      <c r="D27" s="182">
        <f t="shared" si="2"/>
        <v>4436.8076923076924</v>
      </c>
      <c r="E27" s="193"/>
      <c r="F27" s="233"/>
      <c r="G27" s="229"/>
      <c r="H27" s="190">
        <v>7</v>
      </c>
      <c r="I27" s="191">
        <v>60</v>
      </c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49</v>
      </c>
      <c r="B28" s="181">
        <f>'Données projet'!D41</f>
        <v>90.453846153846158</v>
      </c>
      <c r="C28" s="193">
        <v>60</v>
      </c>
      <c r="D28" s="182">
        <f t="shared" si="2"/>
        <v>5427.2307692307695</v>
      </c>
      <c r="E28" s="193"/>
      <c r="F28" s="233"/>
      <c r="G28" s="205"/>
      <c r="H28" s="190">
        <v>8</v>
      </c>
      <c r="I28" s="191">
        <v>60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56</v>
      </c>
      <c r="B29" s="181">
        <f>'Données projet'!D42</f>
        <v>75.869230769230768</v>
      </c>
      <c r="C29" s="193">
        <v>60</v>
      </c>
      <c r="D29" s="182">
        <f t="shared" si="2"/>
        <v>4552.1538461538457</v>
      </c>
      <c r="E29" s="193"/>
      <c r="F29" s="233"/>
      <c r="G29" s="203"/>
      <c r="H29" s="190">
        <v>9</v>
      </c>
      <c r="I29" s="191">
        <v>60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63</v>
      </c>
      <c r="B30" s="181">
        <f>'Données projet'!D43</f>
        <v>79.723076923076917</v>
      </c>
      <c r="C30" s="193">
        <v>70</v>
      </c>
      <c r="D30" s="182">
        <f t="shared" si="2"/>
        <v>5580.6153846153838</v>
      </c>
      <c r="E30" s="193"/>
      <c r="F30" s="233"/>
      <c r="G30" s="203"/>
      <c r="H30" s="190">
        <v>10</v>
      </c>
      <c r="I30" s="191">
        <v>750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70</v>
      </c>
      <c r="B31" s="181">
        <f>'Données projet'!D44</f>
        <v>469.06923076923073</v>
      </c>
      <c r="C31" s="193">
        <v>80</v>
      </c>
      <c r="D31" s="182">
        <f t="shared" si="2"/>
        <v>37525.538461538461</v>
      </c>
      <c r="E31" s="193"/>
      <c r="F31" s="233"/>
      <c r="G31" s="203"/>
      <c r="H31" s="190">
        <v>11</v>
      </c>
      <c r="I31" s="191">
        <v>60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12</v>
      </c>
      <c r="I32" s="191">
        <v>60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13</v>
      </c>
      <c r="I33" s="191">
        <v>60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14</v>
      </c>
      <c r="I34" s="191">
        <v>60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15</v>
      </c>
      <c r="I35" s="191">
        <v>60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16</v>
      </c>
      <c r="I36" s="191">
        <v>60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17</v>
      </c>
      <c r="I37" s="191">
        <v>60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18</v>
      </c>
      <c r="I38" s="191">
        <v>60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19</v>
      </c>
      <c r="I39" s="191">
        <v>60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v>60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21</v>
      </c>
      <c r="I41" s="191">
        <v>60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22</v>
      </c>
      <c r="I42" s="191">
        <v>60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v>60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24</v>
      </c>
      <c r="I44" s="191">
        <v>60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Cèdre de l'Atlas</v>
      </c>
      <c r="C45" s="4"/>
      <c r="D45" s="4"/>
      <c r="E45" s="4"/>
      <c r="F45" s="230"/>
      <c r="G45" s="203"/>
      <c r="H45" s="190">
        <v>25</v>
      </c>
      <c r="I45" s="191">
        <v>60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26</v>
      </c>
      <c r="I46" s="191">
        <v>60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v>60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2300</v>
      </c>
      <c r="F48" s="231"/>
      <c r="G48" s="203"/>
      <c r="H48" s="190">
        <v>28</v>
      </c>
      <c r="I48" s="191">
        <v>60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29</v>
      </c>
      <c r="I49" s="191">
        <v>60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30</v>
      </c>
      <c r="I50" s="191">
        <v>60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31</v>
      </c>
      <c r="I51" s="191">
        <v>60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32</v>
      </c>
      <c r="I52" s="191">
        <v>60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33</v>
      </c>
      <c r="I53" s="191">
        <v>60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30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>
        <v>34</v>
      </c>
      <c r="I54" s="191">
        <v>60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42</v>
      </c>
      <c r="B55" s="181">
        <f>'Données projet'!D63</f>
        <v>179.84615384615384</v>
      </c>
      <c r="C55" s="191">
        <v>25</v>
      </c>
      <c r="D55" s="179">
        <f t="shared" ref="D55:D73" si="4">B55*C55</f>
        <v>4496.1538461538457</v>
      </c>
      <c r="E55" s="193"/>
      <c r="F55" s="232"/>
      <c r="G55" s="205"/>
      <c r="H55" s="190">
        <v>35</v>
      </c>
      <c r="I55" s="191">
        <v>60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49</v>
      </c>
      <c r="B56" s="181">
        <f>'Données projet'!D64</f>
        <v>94.476923076923072</v>
      </c>
      <c r="C56" s="191">
        <v>25</v>
      </c>
      <c r="D56" s="179">
        <f t="shared" si="4"/>
        <v>2361.9230769230767</v>
      </c>
      <c r="E56" s="193"/>
      <c r="F56" s="232"/>
      <c r="G56" s="205"/>
      <c r="H56" s="190">
        <v>36</v>
      </c>
      <c r="I56" s="191">
        <v>60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56</v>
      </c>
      <c r="B57" s="181">
        <f>'Données projet'!D65</f>
        <v>72.769230769230759</v>
      </c>
      <c r="C57" s="191">
        <v>35</v>
      </c>
      <c r="D57" s="179">
        <f t="shared" si="4"/>
        <v>2546.9230769230767</v>
      </c>
      <c r="E57" s="193"/>
      <c r="F57" s="232"/>
      <c r="G57" s="205"/>
      <c r="H57" s="190">
        <v>37</v>
      </c>
      <c r="I57" s="191">
        <v>60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63</v>
      </c>
      <c r="B58" s="181">
        <f>'Données projet'!D66</f>
        <v>71.123076923076923</v>
      </c>
      <c r="C58" s="191">
        <v>45</v>
      </c>
      <c r="D58" s="179">
        <f t="shared" si="4"/>
        <v>3200.5384615384614</v>
      </c>
      <c r="E58" s="193"/>
      <c r="F58" s="232"/>
      <c r="G58" s="205"/>
      <c r="H58" s="190">
        <v>38</v>
      </c>
      <c r="I58" s="191">
        <v>60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71</v>
      </c>
      <c r="B59" s="181">
        <f>'Données projet'!D67</f>
        <v>80.399999999999991</v>
      </c>
      <c r="C59" s="191">
        <v>45</v>
      </c>
      <c r="D59" s="179">
        <f t="shared" si="4"/>
        <v>3617.9999999999995</v>
      </c>
      <c r="E59" s="193"/>
      <c r="F59" s="232"/>
      <c r="G59" s="205"/>
      <c r="H59" s="190">
        <v>39</v>
      </c>
      <c r="I59" s="191">
        <v>60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79</v>
      </c>
      <c r="B60" s="181">
        <f>'Données projet'!D68</f>
        <v>77.338461538461544</v>
      </c>
      <c r="C60" s="191">
        <v>50</v>
      </c>
      <c r="D60" s="179">
        <f t="shared" si="4"/>
        <v>3866.9230769230771</v>
      </c>
      <c r="E60" s="193"/>
      <c r="F60" s="232"/>
      <c r="G60" s="206"/>
      <c r="H60" s="190">
        <v>40</v>
      </c>
      <c r="I60" s="191">
        <v>60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87</v>
      </c>
      <c r="B61" s="181">
        <f>'Données projet'!D69</f>
        <v>77.330769230769235</v>
      </c>
      <c r="C61" s="191">
        <v>50</v>
      </c>
      <c r="D61" s="179">
        <f t="shared" si="4"/>
        <v>3866.5384615384619</v>
      </c>
      <c r="E61" s="193"/>
      <c r="F61" s="232"/>
      <c r="G61" s="206"/>
      <c r="H61" s="190">
        <v>41</v>
      </c>
      <c r="I61" s="191">
        <v>60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95</v>
      </c>
      <c r="B62" s="181">
        <f>'Données projet'!D70</f>
        <v>234.42307692307691</v>
      </c>
      <c r="C62" s="191">
        <v>55</v>
      </c>
      <c r="D62" s="179">
        <f t="shared" si="4"/>
        <v>12893.26923076923</v>
      </c>
      <c r="E62" s="193"/>
      <c r="F62" s="232"/>
      <c r="G62" s="206"/>
      <c r="H62" s="190">
        <v>42</v>
      </c>
      <c r="I62" s="191">
        <v>60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105</v>
      </c>
      <c r="B63" s="181">
        <f>'Données projet'!D71</f>
        <v>309.71538461538461</v>
      </c>
      <c r="C63" s="191">
        <v>65</v>
      </c>
      <c r="D63" s="179">
        <f t="shared" si="4"/>
        <v>20131.5</v>
      </c>
      <c r="E63" s="193"/>
      <c r="F63" s="232"/>
      <c r="G63" s="206"/>
      <c r="H63" s="190">
        <v>43</v>
      </c>
      <c r="I63" s="191">
        <v>60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44</v>
      </c>
      <c r="I64" s="191">
        <v>60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45</v>
      </c>
      <c r="I65" s="191">
        <v>60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46</v>
      </c>
      <c r="I66" s="191">
        <v>60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47</v>
      </c>
      <c r="I67" s="191">
        <v>60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48</v>
      </c>
      <c r="I68" s="191">
        <v>60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49</v>
      </c>
      <c r="I69" s="191">
        <v>60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50</v>
      </c>
      <c r="I70" s="191">
        <v>60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51.52</v>
      </c>
      <c r="I71" s="191">
        <v>60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60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60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60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60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>
        <v>57</v>
      </c>
      <c r="I76" s="191">
        <v>60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60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60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>
        <v>60</v>
      </c>
      <c r="I79" s="191">
        <v>60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>
        <v>61</v>
      </c>
      <c r="I80" s="191">
        <v>60</v>
      </c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>
        <v>62</v>
      </c>
      <c r="I81" s="191">
        <v>60</v>
      </c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>
        <v>63</v>
      </c>
      <c r="I82" s="191">
        <v>60</v>
      </c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>
        <v>64</v>
      </c>
      <c r="I83" s="191">
        <v>60</v>
      </c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>
        <v>65</v>
      </c>
      <c r="I84" s="191">
        <v>60</v>
      </c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>
        <v>66</v>
      </c>
      <c r="I85" s="191">
        <v>60</v>
      </c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>
        <v>67</v>
      </c>
      <c r="I86" s="191">
        <v>60</v>
      </c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>
        <v>68</v>
      </c>
      <c r="I87" s="191">
        <v>60</v>
      </c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>
        <v>69</v>
      </c>
      <c r="I88" s="191">
        <v>60</v>
      </c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>
        <v>70</v>
      </c>
      <c r="I89" s="191">
        <v>60</v>
      </c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str">
        <f>IF(O103+1&lt;=MIN('Données projet'!$E$9:$E$18),O103+1,"STOP")</f>
        <v>STOP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Laurence DEGOUL SAINT JEAN</cp:lastModifiedBy>
  <cp:lastPrinted>2025-03-18T09:25:24Z</cp:lastPrinted>
  <dcterms:created xsi:type="dcterms:W3CDTF">2021-02-01T08:22:39Z</dcterms:created>
  <dcterms:modified xsi:type="dcterms:W3CDTF">2025-03-18T09:31:41Z</dcterms:modified>
</cp:coreProperties>
</file>