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REIGNAC (33) - M. BROQUAIRE\Dossier déposé 28 03 2025\"/>
    </mc:Choice>
  </mc:AlternateContent>
  <xr:revisionPtr revIDLastSave="0" documentId="13_ncr:1_{72D45532-5FCA-4BB8-9712-BF8754FA5059}" xr6:coauthVersionLast="36" xr6:coauthVersionMax="36" xr10:uidLastSave="{00000000-0000-0000-0000-000000000000}"/>
  <bookViews>
    <workbookView xWindow="0" yWindow="0" windowWidth="28800" windowHeight="1210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G10" i="2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FS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HI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C113" i="2"/>
  <c r="HI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EA145" i="2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HH150" i="2"/>
  <c r="EV150" i="2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H154" i="2"/>
  <c r="HG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D154" i="2"/>
  <c r="EY154" i="2"/>
  <c r="HJ154" i="2"/>
  <c r="HH155" i="2"/>
  <c r="HG155" i="2"/>
  <c r="EA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DH156" i="2" l="1"/>
  <c r="FS156" i="2"/>
  <c r="EY155" i="2"/>
  <c r="HG156" i="2"/>
  <c r="HH156" i="2"/>
  <c r="ED155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Y159" i="2"/>
  <c r="HG160" i="2"/>
  <c r="HI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HG161" i="2"/>
  <c r="HH161" i="2"/>
  <c r="EX161" i="2"/>
  <c r="ED160" i="2"/>
  <c r="EB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Y161" i="2"/>
  <c r="ED161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G163" i="2"/>
  <c r="HH163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DI163" i="2"/>
  <c r="EX164" i="2"/>
  <c r="ED163" i="2"/>
  <c r="EA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G165" i="2"/>
  <c r="HH165" i="2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EC166" i="2"/>
  <c r="ED165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Y166" i="2"/>
  <c r="HJ166" i="2"/>
  <c r="HH167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DG168" i="2"/>
  <c r="DI167" i="2"/>
  <c r="HI168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V172" i="2"/>
  <c r="EY171" i="2"/>
  <c r="EB172" i="2"/>
  <c r="HI172" i="2"/>
  <c r="ED171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HI175" i="2"/>
  <c r="EB175" i="2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FS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FS178" i="2"/>
  <c r="EW178" i="2"/>
  <c r="ED177" i="2"/>
  <c r="HG178" i="2"/>
  <c r="HH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HI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X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D180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Y184" i="2"/>
  <c r="HI185" i="2"/>
  <c r="EW185" i="2"/>
  <c r="ED184" i="2"/>
  <c r="EA185" i="2"/>
  <c r="EB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FS186" i="2"/>
  <c r="EB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B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I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Y189" i="2"/>
  <c r="ED189" i="2"/>
  <c r="HH190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D190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DI192" i="2"/>
  <c r="ED192" i="2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FQ194" i="2"/>
  <c r="ED193" i="2"/>
  <c r="HG194" i="2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HG195" i="2"/>
  <c r="EA195" i="2"/>
  <c r="HI195" i="2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HH197" i="2"/>
  <c r="HG197" i="2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EV199" i="2"/>
  <c r="HH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DI200" i="2"/>
  <c r="ED200" i="2"/>
  <c r="EB201" i="2"/>
  <c r="EA201" i="2"/>
  <c r="HH201" i="2"/>
  <c r="HG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EY201" i="2"/>
  <c r="FS202" i="2"/>
  <c r="ED201" i="2"/>
  <c r="HG202" i="2"/>
  <c r="HI202" i="2"/>
  <c r="FZ6" i="2"/>
  <c r="EW202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AH199" i="2" a="1"/>
  <c r="AH199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8" i="2" a="1"/>
  <c r="FD48" i="2" s="1"/>
  <c r="FD14" i="2" a="1"/>
  <c r="FD14" i="2" s="1"/>
  <c r="FD43" i="2" a="1"/>
  <c r="FD43" i="2" s="1"/>
  <c r="FD19" i="2" a="1"/>
  <c r="FD19" i="2" s="1"/>
  <c r="FD187" i="2" a="1"/>
  <c r="FD187" i="2" s="1"/>
  <c r="BC38" i="2" a="1"/>
  <c r="BC38" i="2" s="1"/>
  <c r="BC18" i="2" a="1"/>
  <c r="BC18" i="2" s="1"/>
  <c r="GT38" i="2" a="1"/>
  <c r="GT38" i="2" s="1"/>
  <c r="GT15" i="2" a="1"/>
  <c r="GT15" i="2" s="1"/>
  <c r="DN6" i="2" a="1"/>
  <c r="DN6" i="2" s="1"/>
  <c r="DO6" i="2" s="1"/>
  <c r="DN45" i="2" a="1"/>
  <c r="DN45" i="2" s="1"/>
  <c r="BX107" i="2" a="1"/>
  <c r="BX107" i="2" s="1"/>
  <c r="FD82" i="2" a="1"/>
  <c r="FD82" i="2" s="1"/>
  <c r="AX200" i="2"/>
  <c r="HJ202" i="2" l="1"/>
  <c r="BC65" i="2" a="1"/>
  <c r="BC65" i="2" s="1"/>
  <c r="BC31" i="2" a="1"/>
  <c r="BC31" i="2" s="1"/>
  <c r="BC84" i="2" a="1"/>
  <c r="BC84" i="2" s="1"/>
  <c r="BC32" i="2" a="1"/>
  <c r="BC32" i="2" s="1"/>
  <c r="BC130" i="2" a="1"/>
  <c r="BC130" i="2" s="1"/>
  <c r="DN150" i="2" a="1"/>
  <c r="DN150" i="2" s="1"/>
  <c r="DN167" i="2" a="1"/>
  <c r="DN167" i="2" s="1"/>
  <c r="DN50" i="2" a="1"/>
  <c r="DN50" i="2" s="1"/>
  <c r="DN46" i="2" a="1"/>
  <c r="DN46" i="2" s="1"/>
  <c r="DN129" i="2" a="1"/>
  <c r="DN129" i="2" s="1"/>
  <c r="DN113" i="2" a="1"/>
  <c r="DN113" i="2" s="1"/>
  <c r="DN25" i="2" a="1"/>
  <c r="DN25" i="2" s="1"/>
  <c r="DN70" i="2" a="1"/>
  <c r="DN70" i="2" s="1"/>
  <c r="DN55" i="2" a="1"/>
  <c r="DN55" i="2" s="1"/>
  <c r="DN155" i="2" a="1"/>
  <c r="DN155" i="2" s="1"/>
  <c r="DN49" i="2" a="1"/>
  <c r="DN49" i="2" s="1"/>
  <c r="DN124" i="2" a="1"/>
  <c r="DN124" i="2" s="1"/>
  <c r="DN16" i="2" a="1"/>
  <c r="DN16" i="2" s="1"/>
  <c r="DN162" i="2" a="1"/>
  <c r="DN162" i="2" s="1"/>
  <c r="DN56" i="2" a="1"/>
  <c r="DN56" i="2" s="1"/>
  <c r="DN132" i="2" a="1"/>
  <c r="DN132" i="2" s="1"/>
  <c r="DN30" i="2" a="1"/>
  <c r="DN30" i="2" s="1"/>
  <c r="DN123" i="2" a="1"/>
  <c r="DN123" i="2" s="1"/>
  <c r="EI37" i="2" a="1"/>
  <c r="EI37" i="2" s="1"/>
  <c r="EI87" i="2" a="1"/>
  <c r="EI87" i="2" s="1"/>
  <c r="EI16" i="2" a="1"/>
  <c r="EI16" i="2" s="1"/>
  <c r="EI35" i="2" a="1"/>
  <c r="EI35" i="2" s="1"/>
  <c r="EI170" i="2" a="1"/>
  <c r="EI170" i="2" s="1"/>
  <c r="EI113" i="2" a="1"/>
  <c r="EI113" i="2" s="1"/>
  <c r="EI162" i="2" a="1"/>
  <c r="EI162" i="2" s="1"/>
  <c r="EI165" i="2" a="1"/>
  <c r="EI165" i="2" s="1"/>
  <c r="EI150" i="2" a="1"/>
  <c r="EI150" i="2" s="1"/>
  <c r="EI57" i="2" a="1"/>
  <c r="EI57" i="2" s="1"/>
  <c r="EI139" i="2" a="1"/>
  <c r="EI139" i="2" s="1"/>
  <c r="EI20" i="2" a="1"/>
  <c r="EI20" i="2" s="1"/>
  <c r="EI29" i="2" a="1"/>
  <c r="EI29" i="2" s="1"/>
  <c r="EI198" i="2" a="1"/>
  <c r="EI198" i="2" s="1"/>
  <c r="EI128" i="2" a="1"/>
  <c r="EI128" i="2" s="1"/>
  <c r="EI34" i="2" a="1"/>
  <c r="EI34" i="2" s="1"/>
  <c r="EI106" i="2" a="1"/>
  <c r="EI106" i="2" s="1"/>
  <c r="EI195" i="2" a="1"/>
  <c r="EI195" i="2" s="1"/>
  <c r="EI71" i="2" a="1"/>
  <c r="EI71" i="2" s="1"/>
  <c r="EI166" i="2" a="1"/>
  <c r="EI166" i="2" s="1"/>
  <c r="EI153" i="2" a="1"/>
  <c r="EI153" i="2" s="1"/>
  <c r="EI67" i="2" a="1"/>
  <c r="EI67" i="2" s="1"/>
  <c r="EI109" i="2" a="1"/>
  <c r="EI109" i="2" s="1"/>
  <c r="EI36" i="2" a="1"/>
  <c r="EI36" i="2" s="1"/>
  <c r="EI38" i="2" a="1"/>
  <c r="EI38" i="2" s="1"/>
  <c r="FD194" i="2" a="1"/>
  <c r="FD194" i="2" s="1"/>
  <c r="FD160" i="2" a="1"/>
  <c r="FD160" i="2" s="1"/>
  <c r="FD137" i="2" a="1"/>
  <c r="FD137" i="2" s="1"/>
  <c r="FD159" i="2" a="1"/>
  <c r="FD159" i="2" s="1"/>
  <c r="FD107" i="2" a="1"/>
  <c r="FD107" i="2" s="1"/>
  <c r="FD167" i="2" a="1"/>
  <c r="FD167" i="2" s="1"/>
  <c r="FD131" i="2" a="1"/>
  <c r="FD131" i="2" s="1"/>
  <c r="FS203" i="2"/>
  <c r="FD64" i="2" a="1"/>
  <c r="FD64" i="2" s="1"/>
  <c r="FD189" i="2" a="1"/>
  <c r="FD189" i="2" s="1"/>
  <c r="FD59" i="2" a="1"/>
  <c r="FD59" i="2" s="1"/>
  <c r="FD144" i="2" a="1"/>
  <c r="FD144" i="2" s="1"/>
  <c r="FD44" i="2" a="1"/>
  <c r="FD44" i="2" s="1"/>
  <c r="FD21" i="2" a="1"/>
  <c r="FD21" i="2" s="1"/>
  <c r="EI142" i="2" a="1"/>
  <c r="EI142" i="2" s="1"/>
  <c r="EI178" i="2" a="1"/>
  <c r="EI178" i="2" s="1"/>
  <c r="EI145" i="2" a="1"/>
  <c r="EI145" i="2" s="1"/>
  <c r="BC181" i="2" a="1"/>
  <c r="BC181" i="2" s="1"/>
  <c r="BC114" i="2" a="1"/>
  <c r="BC114" i="2" s="1"/>
  <c r="BC82" i="2" a="1"/>
  <c r="BC82" i="2" s="1"/>
  <c r="BC185" i="2" a="1"/>
  <c r="BC185" i="2" s="1"/>
  <c r="BC143" i="2" a="1"/>
  <c r="BC143" i="2" s="1"/>
  <c r="BC126" i="2" a="1"/>
  <c r="BC126" i="2" s="1"/>
  <c r="BC47" i="2" a="1"/>
  <c r="BC47" i="2" s="1"/>
  <c r="BC164" i="2" a="1"/>
  <c r="BC164" i="2" s="1"/>
  <c r="BC192" i="2" a="1"/>
  <c r="BC192" i="2" s="1"/>
  <c r="BC55" i="2" a="1"/>
  <c r="BC55" i="2" s="1"/>
  <c r="BC68" i="2" a="1"/>
  <c r="BC68" i="2" s="1"/>
  <c r="BC58" i="2" a="1"/>
  <c r="BC58" i="2" s="1"/>
  <c r="BC34" i="2" a="1"/>
  <c r="BC34" i="2" s="1"/>
  <c r="BC83" i="2" a="1"/>
  <c r="BC83" i="2" s="1"/>
  <c r="BC151" i="2" a="1"/>
  <c r="BC151" i="2" s="1"/>
  <c r="BC7" i="2" a="1"/>
  <c r="BC7" i="2" s="1"/>
  <c r="BD7" i="2" s="1"/>
  <c r="BC117" i="2" a="1"/>
  <c r="BC117" i="2" s="1"/>
  <c r="GT107" i="2" a="1"/>
  <c r="GT107" i="2" s="1"/>
  <c r="GT191" i="2" a="1"/>
  <c r="GT191" i="2" s="1"/>
  <c r="GT126" i="2" a="1"/>
  <c r="GT126" i="2" s="1"/>
  <c r="GT21" i="2" a="1"/>
  <c r="GT21" i="2" s="1"/>
  <c r="GT12" i="2" a="1"/>
  <c r="GT12" i="2" s="1"/>
  <c r="GT11" i="2" a="1"/>
  <c r="GT11" i="2" s="1"/>
  <c r="GT152" i="2" a="1"/>
  <c r="GT152" i="2" s="1"/>
  <c r="GT33" i="2" a="1"/>
  <c r="GT33" i="2" s="1"/>
  <c r="GT174" i="2" a="1"/>
  <c r="GT174" i="2" s="1"/>
  <c r="GT138" i="2" a="1"/>
  <c r="GT138" i="2" s="1"/>
  <c r="GT51" i="2" a="1"/>
  <c r="GT51" i="2" s="1"/>
  <c r="GT74" i="2" a="1"/>
  <c r="GT74" i="2" s="1"/>
  <c r="GT68" i="2" a="1"/>
  <c r="GT68" i="2" s="1"/>
  <c r="GT178" i="2" a="1"/>
  <c r="GT178" i="2" s="1"/>
  <c r="GT198" i="2" a="1"/>
  <c r="GT198" i="2" s="1"/>
  <c r="GT190" i="2" a="1"/>
  <c r="GT190" i="2" s="1"/>
  <c r="GT189" i="2" a="1"/>
  <c r="GT189" i="2" s="1"/>
  <c r="HG203" i="2"/>
  <c r="GT147" i="2" a="1"/>
  <c r="GT147" i="2" s="1"/>
  <c r="GT133" i="2" a="1"/>
  <c r="GT133" i="2" s="1"/>
  <c r="GT121" i="2" a="1"/>
  <c r="GT121" i="2" s="1"/>
  <c r="GT122" i="2" a="1"/>
  <c r="GT122" i="2" s="1"/>
  <c r="GT181" i="2" a="1"/>
  <c r="GT181" i="2" s="1"/>
  <c r="GT184" i="2" a="1"/>
  <c r="GT184" i="2" s="1"/>
  <c r="GT115" i="2" a="1"/>
  <c r="GT115" i="2" s="1"/>
  <c r="GT102" i="2" a="1"/>
  <c r="GT102" i="2" s="1"/>
  <c r="FY109" i="2" a="1"/>
  <c r="FY109" i="2" s="1"/>
  <c r="FY79" i="2" a="1"/>
  <c r="FY79" i="2" s="1"/>
  <c r="CS38" i="2" a="1"/>
  <c r="CS38" i="2" s="1"/>
  <c r="CS129" i="2" a="1"/>
  <c r="CS129" i="2" s="1"/>
  <c r="CS52" i="2" a="1"/>
  <c r="CS52" i="2" s="1"/>
  <c r="CS161" i="2" a="1"/>
  <c r="CS161" i="2" s="1"/>
  <c r="CS77" i="2" a="1"/>
  <c r="CS77" i="2" s="1"/>
  <c r="CS72" i="2" a="1"/>
  <c r="CS72" i="2" s="1"/>
  <c r="CS66" i="2" a="1"/>
  <c r="CS66" i="2" s="1"/>
  <c r="CS134" i="2" a="1"/>
  <c r="CS134" i="2" s="1"/>
  <c r="CS114" i="2" a="1"/>
  <c r="CS114" i="2" s="1"/>
  <c r="CS24" i="2" a="1"/>
  <c r="CS24" i="2" s="1"/>
  <c r="CS56" i="2" a="1"/>
  <c r="CS56" i="2" s="1"/>
  <c r="CS105" i="2" a="1"/>
  <c r="CS105" i="2" s="1"/>
  <c r="CS137" i="2" a="1"/>
  <c r="CS137" i="2" s="1"/>
  <c r="CS116" i="2" a="1"/>
  <c r="CS116" i="2" s="1"/>
  <c r="CS120" i="2" a="1"/>
  <c r="CS120" i="2" s="1"/>
  <c r="CS185" i="2" a="1"/>
  <c r="CS185" i="2" s="1"/>
  <c r="DN65" i="2" a="1"/>
  <c r="DN65" i="2" s="1"/>
  <c r="DN86" i="2" a="1"/>
  <c r="DN86" i="2" s="1"/>
  <c r="DN41" i="2" a="1"/>
  <c r="DN41" i="2" s="1"/>
  <c r="DN63" i="2" a="1"/>
  <c r="DN63" i="2" s="1"/>
  <c r="DN177" i="2" a="1"/>
  <c r="DN177" i="2" s="1"/>
  <c r="DN43" i="2" a="1"/>
  <c r="DN43" i="2" s="1"/>
  <c r="DN80" i="2" a="1"/>
  <c r="DN80" i="2" s="1"/>
  <c r="DN114" i="2" a="1"/>
  <c r="DN114" i="2" s="1"/>
  <c r="DN115" i="2" a="1"/>
  <c r="DN115" i="2" s="1"/>
  <c r="DN186" i="2" a="1"/>
  <c r="DN186" i="2" s="1"/>
  <c r="DN110" i="2" a="1"/>
  <c r="DN110" i="2" s="1"/>
  <c r="DN103" i="2" a="1"/>
  <c r="DN103" i="2" s="1"/>
  <c r="DN153" i="2" a="1"/>
  <c r="DN153" i="2" s="1"/>
  <c r="DN137" i="2" a="1"/>
  <c r="DN137" i="2" s="1"/>
  <c r="DN31" i="2" a="1"/>
  <c r="DN31" i="2" s="1"/>
  <c r="DN168" i="2" a="1"/>
  <c r="DN168" i="2" s="1"/>
  <c r="DN170" i="2" a="1"/>
  <c r="DN170" i="2" s="1"/>
  <c r="DN176" i="2" a="1"/>
  <c r="DN176" i="2" s="1"/>
  <c r="DN164" i="2" a="1"/>
  <c r="DN164" i="2" s="1"/>
  <c r="DN192" i="2" a="1"/>
  <c r="DN192" i="2" s="1"/>
  <c r="DN184" i="2" a="1"/>
  <c r="DN184" i="2" s="1"/>
  <c r="DN190" i="2" a="1"/>
  <c r="DN190" i="2" s="1"/>
  <c r="DN135" i="2" a="1"/>
  <c r="DN135" i="2" s="1"/>
  <c r="DN66" i="2" a="1"/>
  <c r="DN66" i="2" s="1"/>
  <c r="DN152" i="2" a="1"/>
  <c r="DN152" i="2" s="1"/>
  <c r="DN187" i="2" a="1"/>
  <c r="DN187" i="2" s="1"/>
  <c r="DN133" i="2" a="1"/>
  <c r="DN133" i="2" s="1"/>
  <c r="DN38" i="2" a="1"/>
  <c r="DN38" i="2" s="1"/>
  <c r="DN188" i="2" a="1"/>
  <c r="DN188" i="2" s="1"/>
  <c r="DN29" i="2" a="1"/>
  <c r="DN2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CN203" i="2"/>
  <c r="EY203" i="2"/>
  <c r="ED203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GZ150" i="2" l="1"/>
  <c r="GZ52" i="2"/>
  <c r="GZ159" i="2"/>
  <c r="GZ100" i="2"/>
  <c r="GZ157" i="2"/>
  <c r="GZ78" i="2"/>
  <c r="GZ76" i="2"/>
  <c r="GZ74" i="2"/>
  <c r="GZ134" i="2"/>
  <c r="GZ180" i="2"/>
  <c r="GZ84" i="2"/>
  <c r="GZ40" i="2"/>
  <c r="GZ8" i="2"/>
  <c r="GZ151" i="2"/>
  <c r="GZ43" i="2"/>
  <c r="GZ25" i="2"/>
  <c r="GZ193" i="2"/>
  <c r="GZ34" i="2"/>
  <c r="GZ18" i="2"/>
  <c r="GZ53" i="2"/>
  <c r="GZ13" i="2"/>
  <c r="GZ85" i="2"/>
  <c r="GZ121" i="2"/>
  <c r="GZ142" i="2"/>
  <c r="GZ105" i="2"/>
  <c r="GZ51" i="2"/>
  <c r="GZ198" i="2"/>
  <c r="GZ82" i="2"/>
  <c r="GZ56" i="2"/>
  <c r="GZ177" i="2"/>
  <c r="GZ98" i="2"/>
  <c r="GZ90" i="2"/>
  <c r="GZ183" i="2"/>
  <c r="GZ68" i="2"/>
  <c r="GZ28" i="2"/>
  <c r="GZ55" i="2"/>
  <c r="GZ160" i="2"/>
  <c r="GZ9" i="2"/>
  <c r="GZ182" i="2"/>
  <c r="GZ202" i="2"/>
  <c r="GZ102" i="2"/>
  <c r="GZ203" i="2"/>
  <c r="GZ173" i="2"/>
  <c r="GZ91" i="2"/>
  <c r="GZ70" i="2"/>
  <c r="GZ59" i="2"/>
  <c r="GZ66" i="2"/>
  <c r="GZ94" i="2"/>
  <c r="GZ119" i="2"/>
  <c r="GZ92" i="2"/>
  <c r="GZ23" i="2"/>
  <c r="GZ191" i="2"/>
  <c r="GZ139" i="2"/>
  <c r="GZ132" i="2"/>
  <c r="GZ143" i="2"/>
  <c r="GZ61" i="2"/>
  <c r="GZ201" i="2"/>
  <c r="GZ130" i="2"/>
  <c r="GZ83" i="2"/>
  <c r="GZ117" i="2"/>
  <c r="GZ126" i="2"/>
  <c r="GZ26" i="2"/>
  <c r="GZ192" i="2"/>
  <c r="GZ12" i="2"/>
  <c r="GZ178" i="2"/>
  <c r="GZ195" i="2"/>
  <c r="GZ79" i="2"/>
  <c r="GZ29" i="2"/>
  <c r="GZ24" i="2"/>
  <c r="GZ179" i="2"/>
  <c r="GZ65" i="2"/>
  <c r="GZ129" i="2"/>
  <c r="GZ17" i="2"/>
  <c r="GZ149" i="2"/>
  <c r="GZ116" i="2"/>
  <c r="GZ10" i="2"/>
  <c r="GZ104" i="2"/>
  <c r="GZ162" i="2"/>
  <c r="GZ86" i="2"/>
  <c r="GZ88" i="2"/>
  <c r="GZ45" i="2"/>
  <c r="GZ5" i="2"/>
  <c r="GZ71" i="2"/>
  <c r="GZ184" i="2"/>
  <c r="GZ110" i="2"/>
  <c r="GZ146" i="2"/>
  <c r="GZ158" i="2"/>
  <c r="GZ21" i="2"/>
  <c r="GZ128" i="2"/>
  <c r="GZ73" i="2"/>
  <c r="GZ176" i="2"/>
  <c r="GZ186" i="2"/>
  <c r="GZ11" i="2"/>
  <c r="GZ75" i="2"/>
  <c r="GZ163" i="2"/>
  <c r="GZ19" i="2"/>
  <c r="GZ200" i="2"/>
  <c r="GZ103" i="2"/>
  <c r="GZ167" i="2"/>
  <c r="GZ187" i="2"/>
  <c r="GZ7" i="2"/>
  <c r="GZ39" i="2"/>
  <c r="GZ80" i="2"/>
  <c r="GZ133" i="2"/>
  <c r="GZ148" i="2"/>
  <c r="GZ125" i="2"/>
  <c r="GZ62" i="2"/>
  <c r="GZ127" i="2"/>
  <c r="GZ122" i="2"/>
  <c r="GZ136" i="2"/>
  <c r="GZ147" i="2"/>
  <c r="GZ196" i="2"/>
  <c r="GZ154" i="2"/>
  <c r="GZ197" i="2"/>
  <c r="GZ114" i="2"/>
  <c r="GZ138" i="2"/>
  <c r="GZ140" i="2"/>
  <c r="GZ194" i="2"/>
  <c r="GZ124" i="2"/>
  <c r="GZ168" i="2"/>
  <c r="GZ72" i="2"/>
  <c r="GZ120" i="2"/>
  <c r="GZ175" i="2"/>
  <c r="GZ27" i="2"/>
  <c r="GZ6" i="2"/>
  <c r="GZ89" i="2"/>
  <c r="GZ22" i="2"/>
  <c r="GZ101" i="2"/>
  <c r="GZ87" i="2"/>
  <c r="GZ47" i="2"/>
  <c r="GZ67" i="2"/>
  <c r="GZ145" i="2"/>
  <c r="GZ161" i="2"/>
  <c r="GZ131" i="2"/>
  <c r="GZ37" i="2"/>
  <c r="GZ174" i="2"/>
  <c r="GZ137" i="2"/>
  <c r="GZ35" i="2"/>
  <c r="GZ108" i="2"/>
  <c r="GZ69" i="2"/>
  <c r="GZ64" i="2"/>
  <c r="GZ156" i="2"/>
  <c r="GZ57" i="2"/>
  <c r="GZ106" i="2"/>
  <c r="GZ46" i="2"/>
  <c r="GZ36" i="2"/>
  <c r="GZ185" i="2"/>
  <c r="GZ33" i="2"/>
  <c r="GZ113" i="2"/>
  <c r="GZ95" i="2"/>
  <c r="GZ15" i="2"/>
  <c r="GZ42" i="2"/>
  <c r="GZ115" i="2"/>
  <c r="GZ38" i="2"/>
  <c r="GZ4" i="2"/>
  <c r="GZ152" i="2"/>
  <c r="GZ141" i="2"/>
  <c r="GZ144" i="2"/>
  <c r="GZ169" i="2"/>
  <c r="GZ16" i="2"/>
  <c r="GZ107" i="2"/>
  <c r="GZ164" i="2"/>
  <c r="GZ60" i="2"/>
  <c r="GZ41" i="2"/>
  <c r="GZ190" i="2"/>
  <c r="GZ58" i="2"/>
  <c r="GZ20" i="2"/>
  <c r="GZ170" i="2"/>
  <c r="GZ199" i="2"/>
  <c r="GZ189" i="2"/>
  <c r="GZ81" i="2"/>
  <c r="GZ49" i="2"/>
  <c r="GZ172" i="2"/>
  <c r="GZ99" i="2"/>
  <c r="GZ188" i="2"/>
  <c r="GZ166" i="2"/>
  <c r="GZ96" i="2"/>
  <c r="GZ109" i="2"/>
  <c r="GZ118" i="2"/>
  <c r="GZ77" i="2"/>
  <c r="GZ153" i="2"/>
  <c r="GZ54" i="2"/>
  <c r="GZ31" i="2"/>
  <c r="GZ112" i="2"/>
  <c r="GZ63" i="2"/>
  <c r="GZ50" i="2"/>
  <c r="GZ44" i="2"/>
  <c r="GZ135" i="2"/>
  <c r="GZ155" i="2"/>
  <c r="GZ48" i="2"/>
  <c r="GZ30" i="2"/>
  <c r="GZ32" i="2"/>
  <c r="GZ93" i="2"/>
  <c r="GZ97" i="2"/>
  <c r="GZ171" i="2"/>
  <c r="GZ165" i="2"/>
  <c r="GZ123" i="2"/>
  <c r="GZ14" i="2"/>
  <c r="GZ111" i="2"/>
  <c r="GZ181" i="2"/>
  <c r="FE25" i="2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M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3" i="2" l="1"/>
  <c r="BI58" i="2"/>
  <c r="BI56" i="2"/>
  <c r="BI203" i="2"/>
  <c r="BI155" i="2"/>
  <c r="BI79" i="2"/>
  <c r="BI137" i="2"/>
  <c r="BI142" i="2"/>
  <c r="BI35" i="2"/>
  <c r="BI53" i="2"/>
  <c r="BI10" i="2"/>
  <c r="BI23" i="2"/>
  <c r="BI108" i="2"/>
  <c r="BI44" i="2"/>
  <c r="BI36" i="2"/>
  <c r="BI49" i="2"/>
  <c r="BI47" i="2"/>
  <c r="BI129" i="2"/>
  <c r="BI17" i="2"/>
  <c r="BI72" i="2"/>
  <c r="BI138" i="2"/>
  <c r="BI125" i="2"/>
  <c r="BI21" i="2"/>
  <c r="BI14" i="2"/>
  <c r="BI109" i="2"/>
  <c r="BI76" i="2"/>
  <c r="BI22" i="2"/>
  <c r="BI201" i="2"/>
  <c r="BI165" i="2"/>
  <c r="BI3" i="2"/>
  <c r="C8" i="4" s="1"/>
  <c r="E8" i="4" s="1"/>
  <c r="F8" i="4" s="1"/>
  <c r="G8" i="4" s="1"/>
  <c r="L8" i="4" s="1"/>
  <c r="BI150" i="2"/>
  <c r="BI123" i="2"/>
  <c r="BI113" i="2"/>
  <c r="BI90" i="2"/>
  <c r="BI84" i="2"/>
  <c r="BI13" i="2"/>
  <c r="BI156" i="2"/>
  <c r="BI7" i="2"/>
  <c r="BI116" i="2"/>
  <c r="BI39" i="2"/>
  <c r="BI42" i="2"/>
  <c r="BI8" i="2"/>
  <c r="BI61" i="2"/>
  <c r="BI112" i="2"/>
  <c r="BI34" i="2"/>
  <c r="BI26" i="2"/>
  <c r="BI63" i="2"/>
  <c r="BI89" i="2"/>
  <c r="BI33" i="2"/>
  <c r="BI32" i="2"/>
  <c r="BI64" i="2"/>
  <c r="BI136" i="2"/>
  <c r="BI172" i="2"/>
  <c r="BI15" i="2"/>
  <c r="BI41" i="2"/>
  <c r="BI135" i="2"/>
  <c r="BI178" i="2"/>
  <c r="BI96" i="2"/>
  <c r="BI52" i="2"/>
  <c r="BI45" i="2"/>
  <c r="BI200" i="2"/>
  <c r="BI85" i="2"/>
  <c r="BI173" i="2"/>
  <c r="BI192" i="2"/>
  <c r="BI193" i="2"/>
  <c r="BI186" i="2"/>
  <c r="BI164" i="2"/>
  <c r="BI102" i="2"/>
  <c r="BI68" i="2"/>
  <c r="BI62" i="2"/>
  <c r="BI145" i="2"/>
  <c r="BI132" i="2"/>
  <c r="BI82" i="2"/>
  <c r="BI121" i="2"/>
  <c r="BI9" i="2"/>
  <c r="BI160" i="2"/>
  <c r="BI176" i="2"/>
  <c r="BI6" i="2"/>
  <c r="BI170" i="2"/>
  <c r="BI168" i="2"/>
  <c r="BI115" i="2"/>
  <c r="BI159" i="2"/>
  <c r="BI59" i="2"/>
  <c r="BI95" i="2"/>
  <c r="BI11" i="2"/>
  <c r="BI119" i="2"/>
  <c r="BI133" i="2"/>
  <c r="BI187" i="2"/>
  <c r="BI183" i="2"/>
  <c r="BI118" i="2"/>
  <c r="BI157" i="2"/>
  <c r="BI146" i="2"/>
  <c r="BI196" i="2"/>
  <c r="BI177" i="2"/>
  <c r="BI12" i="2"/>
  <c r="BI101" i="2"/>
  <c r="BI139" i="2"/>
  <c r="BI147" i="2"/>
  <c r="BI161" i="2"/>
  <c r="BI111" i="2"/>
  <c r="BI130" i="2"/>
  <c r="BI143" i="2"/>
  <c r="BI158" i="2"/>
  <c r="BI104" i="2"/>
  <c r="BI166" i="2"/>
  <c r="BI167" i="2"/>
  <c r="BI169" i="2"/>
  <c r="BI30" i="2"/>
  <c r="BI188" i="2"/>
  <c r="BI198" i="2"/>
  <c r="BI60" i="2"/>
  <c r="BI4" i="2"/>
  <c r="BI38" i="2"/>
  <c r="BI140" i="2"/>
  <c r="BI152" i="2"/>
  <c r="BI91" i="2"/>
  <c r="BI88" i="2"/>
  <c r="BI87" i="2"/>
  <c r="BI50" i="2"/>
  <c r="BI75" i="2"/>
  <c r="BI54" i="2"/>
  <c r="BI99" i="2"/>
  <c r="BI191" i="2"/>
  <c r="BI74" i="2"/>
  <c r="BI134" i="2"/>
  <c r="BI141" i="2"/>
  <c r="BI197" i="2"/>
  <c r="BI124" i="2"/>
  <c r="BI55" i="2"/>
  <c r="BI195" i="2"/>
  <c r="BI190" i="2"/>
  <c r="BI179" i="2"/>
  <c r="BI93" i="2"/>
  <c r="BI97" i="2"/>
  <c r="BI25" i="2"/>
  <c r="BI117" i="2"/>
  <c r="BI46" i="2"/>
  <c r="BI185" i="2"/>
  <c r="BI57" i="2"/>
  <c r="BI107" i="2"/>
  <c r="BI81" i="2"/>
  <c r="BI151" i="2"/>
  <c r="BI171" i="2"/>
  <c r="BI154" i="2"/>
  <c r="BI126" i="2"/>
  <c r="BI98" i="2"/>
  <c r="BI202" i="2"/>
  <c r="BI24" i="2"/>
  <c r="BI105" i="2"/>
  <c r="BI184" i="2"/>
  <c r="BI122" i="2"/>
  <c r="BI51" i="2"/>
  <c r="BI163" i="2"/>
  <c r="BI80" i="2"/>
  <c r="BI19" i="2"/>
  <c r="BI106" i="2"/>
  <c r="BI103" i="2"/>
  <c r="BI40" i="2"/>
  <c r="BI77" i="2"/>
  <c r="BI16" i="2"/>
  <c r="BI83" i="2"/>
  <c r="BI31" i="2"/>
  <c r="BI48" i="2"/>
  <c r="BI114" i="2"/>
  <c r="BI174" i="2"/>
  <c r="BI175" i="2"/>
  <c r="BI149" i="2"/>
  <c r="BI92" i="2"/>
  <c r="BI18" i="2"/>
  <c r="BI27" i="2"/>
  <c r="BI199" i="2"/>
  <c r="BI110" i="2"/>
  <c r="BI127" i="2"/>
  <c r="BI180" i="2"/>
  <c r="BI70" i="2"/>
  <c r="BI73" i="2"/>
  <c r="BI162" i="2"/>
  <c r="BI37" i="2"/>
  <c r="BI128" i="2"/>
  <c r="BI144" i="2"/>
  <c r="BI29" i="2"/>
  <c r="BI182" i="2"/>
  <c r="BI65" i="2"/>
  <c r="BI69" i="2"/>
  <c r="BI194" i="2"/>
  <c r="BI181" i="2"/>
  <c r="BI153" i="2"/>
  <c r="BI5" i="2"/>
  <c r="BI148" i="2"/>
  <c r="BI100" i="2"/>
  <c r="BI94" i="2"/>
  <c r="BI20" i="2"/>
  <c r="BI189" i="2"/>
  <c r="BI67" i="2"/>
  <c r="BI78" i="2"/>
  <c r="BI120" i="2"/>
  <c r="BI71" i="2"/>
  <c r="BI86" i="2"/>
  <c r="BI66" i="2"/>
  <c r="BI131" i="2"/>
  <c r="BI28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<sst xmlns="http://schemas.openxmlformats.org/spreadsheetml/2006/main" count="1179" uniqueCount="330">
  <si>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</si>
  <si>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</si>
  <si>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</si>
  <si>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</si>
  <si>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</si>
  <si>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</si>
  <si>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</si>
  <si>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</si>
  <si>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</si>
  <si>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</si>
  <si>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</si>
  <si>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</si>
  <si>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</si>
  <si>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</si>
  <si>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</si>
  <si>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</si>
  <si>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</si>
  <si>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</si>
  <si>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</si>
  <si>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</si>
  <si>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</si>
  <si>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</si>
  <si>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</si>
  <si>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</si>
  <si>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</si>
  <si>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</si>
  <si>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</si>
  <si>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</si>
  <si>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</si>
  <si>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</si>
  <si>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</si>
  <si>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</si>
  <si>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</si>
  <si>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</si>
  <si>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</si>
  <si>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</si>
  <si>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</si>
  <si>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</si>
  <si>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</si>
  <si>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</si>
  <si>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</si>
  <si>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</si>
  <si>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</si>
  <si>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</si>
  <si>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</si>
  <si>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</si>
  <si>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</si>
  <si>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</si>
  <si>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</si>
  <si>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</si>
  <si>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</si>
  <si>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</si>
  <si>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</si>
  <si>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</si>
  <si>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</si>
  <si>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</si>
  <si>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</si>
  <si>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</si>
  <si>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</si>
  <si>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</si>
  <si>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</si>
  <si>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</si>
  <si>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</si>
  <si>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</si>
  <si>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</si>
  <si>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</si>
  <si>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</si>
  <si>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</si>
  <si>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</si>
  <si>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</si>
  <si>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</si>
  <si>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</si>
  <si>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</si>
  <si>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</si>
  <si>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</si>
  <si>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</si>
  <si>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</si>
  <si>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</si>
  <si>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</si>
  <si>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</si>
  <si>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</si>
  <si>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</si>
  <si>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</si>
  <si>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</si>
  <si>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</si>
  <si>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</si>
  <si>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</si>
  <si>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</si>
  <si>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</si>
  <si>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</si>
  <si>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</si>
  <si>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</si>
  <si>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</si>
  <si>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</si>
  <si>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</si>
  <si>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</si>
  <si>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</si>
  <si>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</si>
  <si>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</si>
  <si>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</si>
  <si>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</si>
  <si>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</si>
  <si>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</si>
  <si>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</si>
  <si>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</si>
  <si>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</si>
  <si>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</si>
  <si>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</si>
  <si>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</si>
  <si>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</si>
  <si>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</si>
  <si>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</si>
  <si>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</si>
  <si>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</si>
  <si>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</si>
  <si>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</si>
  <si>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</si>
  <si>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</si>
  <si>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</si>
  <si>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</si>
  <si>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</si>
  <si>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</si>
  <si>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</si>
  <si>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</si>
  <si>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</si>
  <si>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</si>
  <si>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</si>
  <si>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</si>
  <si>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</si>
  <si>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</si>
  <si>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</si>
  <si>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</si>
  <si>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</si>
  <si>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</si>
  <si>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</si>
  <si>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</si>
  <si>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</si>
  <si>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</si>
  <si>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</si>
  <si>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</si>
  <si>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</si>
  <si>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</si>
  <si>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</si>
  <si>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</si>
  <si>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</si>
  <si>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</si>
  <si>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</si>
  <si>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</si>
  <si>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</si>
  <si>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</si>
  <si>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</si>
  <si>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</si>
  <si>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</si>
  <si>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</si>
  <si>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</si>
  <si>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</si>
  <si>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</si>
  <si>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</si>
  <si>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</si>
  <si>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</si>
  <si>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</si>
  <si>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</si>
  <si>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</si>
  <si>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</si>
  <si>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</si>
  <si>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</si>
  <si>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</si>
  <si>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</si>
  <si>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</si>
  <si>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</si>
  <si>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</si>
  <si>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</si>
  <si>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</si>
  <si>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</si>
  <si>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</si>
  <si>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</si>
  <si>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</si>
  <si>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</si>
  <si>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</si>
  <si>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</si>
  <si>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</si>
  <si>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</si>
  <si>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</si>
  <si>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</si>
  <si>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</si>
  <si>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</si>
  <si>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</si>
  <si>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</si>
  <si>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</si>
  <si>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</si>
  <si>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</si>
  <si>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</si>
  <si>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</si>
  <si>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</si>
  <si>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</si>
  <si>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</si>
  <si>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</si>
  <si>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</si>
  <si>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</si>
  <si>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</si>
  <si>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</si>
  <si>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</si>
  <si>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</si>
  <si>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</si>
  <si>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</si>
  <si>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</si>
  <si>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</si>
  <si>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</si>
  <si>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</si>
  <si>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</si>
  <si>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</si>
  <si>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</si>
  <si>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</si>
  <si>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</si>
  <si>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</si>
  <si>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</si>
  <si>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</si>
  <si>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</si>
  <si>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</si>
  <si>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</si>
  <si>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</si>
  <si>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</si>
  <si>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</si>
  <si>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</si>
  <si>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</si>
  <si>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</si>
  <si>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</si>
  <si>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</si>
  <si>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</si>
  <si>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</si>
  <si>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</si>
  <si>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</si>
  <si>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</si>
  <si>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</si>
  <si>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</si>
  <si>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</si>
  <si>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</si>
  <si>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</si>
  <si>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</si>
  <si>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</si>
  <si>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</si>
  <si>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</si>
  <si>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</si>
  <si>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</si>
  <si>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</si>
  <si>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</si>
  <si>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</si>
  <si>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</si>
  <si>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</si>
  <si>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</si>
  <si>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</si>
  <si>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</si>
  <si>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</si>
  <si>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</si>
  <si>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</si>
  <si>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</si>
  <si>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</si>
  <si>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</si>
  <si>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</si>
  <si>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</si>
  <si>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</si>
  <si>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</si>
  <si>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</si>
  <si>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</si>
  <si>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</si>
  <si>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</si>
  <si>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</si>
  <si>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</si>
  <si>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</si>
  <si>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</si>
  <si>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</si>
  <si>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</si>
  <si>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</si>
  <si>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</si>
  <si>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</si>
  <si>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</si>
  <si>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</si>
  <si>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</si>
  <si>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</si>
  <si>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</si>
  <si>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</si>
  <si>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</si>
  <si>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</si>
  <si>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</si>
  <si>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</si>
  <si>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</si>
  <si>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</si>
  <si>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</si>
  <si>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</si>
  <si>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</si>
  <si>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</si>
  <si>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</si>
  <si>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</si>
  <si>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</si>
  <si>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</si>
  <si>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</si>
  <si>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</si>
  <si>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</si>
  <si>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</si>
  <si>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</si>
  <si>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</si>
  <si>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</si>
  <si>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</si>
  <si>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</si>
  <si>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</si>
  <si>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</si>
  <si>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</si>
  <si>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</si>
  <si>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</si>
  <si>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</si>
  <si>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</si>
  <si>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</si>
  <si>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</si>
  <si>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</si>
  <si>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</si>
  <si>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</si>
  <si>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</si>
  <si>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</si>
  <si>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</si>
  <si>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</si>
  <si>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</si>
  <si>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</si>
  <si>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</si>
  <si>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</si>
  <si>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maritime</t>
  </si>
  <si>
    <t>charme</t>
  </si>
  <si>
    <t>pin taeda</t>
  </si>
  <si>
    <t>chêne sessile</t>
  </si>
  <si>
    <t>alisier torminal</t>
  </si>
  <si>
    <t>Diva Tucano Koster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</si>
</sst>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9" fontId="32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1.9639962268739144</c:v>
                </c:pt>
                <c:pt idx="2">
                  <c:v>2.7684362016840773</c:v>
                </c:pt>
                <c:pt idx="3">
                  <c:v>3.9038152321418065</c:v>
                </c:pt>
                <c:pt idx="4">
                  <c:v>5.5068382622634209</c:v>
                </c:pt>
                <c:pt idx="5">
                  <c:v>7.7708963332077765</c:v>
                </c:pt>
                <c:pt idx="6">
                  <c:v>10.969654876752529</c:v>
                </c:pt>
                <c:pt idx="7">
                  <c:v>15.490489275573703</c:v>
                </c:pt>
                <c:pt idx="8">
                  <c:v>21.881890642051491</c:v>
                </c:pt>
                <c:pt idx="9">
                  <c:v>30.920695591052986</c:v>
                </c:pt>
                <c:pt idx="10">
                  <c:v>43.707452945929582</c:v>
                </c:pt>
                <c:pt idx="11">
                  <c:v>61.801734966289636</c:v>
                </c:pt>
                <c:pt idx="12">
                  <c:v>87.414167738788095</c:v>
                </c:pt>
                <c:pt idx="13">
                  <c:v>123.67901644159345</c:v>
                </c:pt>
                <c:pt idx="14">
                  <c:v>175.04120079137996</c:v>
                </c:pt>
                <c:pt idx="15">
                  <c:v>247.80589288288971</c:v>
                </c:pt>
                <c:pt idx="16">
                  <c:v>350.91915547472757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2.8586063665938393</c:v>
                </c:pt>
                <c:pt idx="2">
                  <c:v>3.3692250562130952</c:v>
                </c:pt>
                <c:pt idx="3">
                  <c:v>3.9713865449024204</c:v>
                </c:pt>
                <c:pt idx="4">
                  <c:v>4.6815589010240446</c:v>
                </c:pt>
                <c:pt idx="5">
                  <c:v>5.5191822284241638</c:v>
                </c:pt>
                <c:pt idx="6">
                  <c:v>6.5072066365845567</c:v>
                </c:pt>
                <c:pt idx="7">
                  <c:v>7.6727278569617399</c:v>
                </c:pt>
                <c:pt idx="8">
                  <c:v>9.0477382738626684</c:v>
                </c:pt>
                <c:pt idx="9">
                  <c:v>10.670014378902303</c:v>
                </c:pt>
                <c:pt idx="10">
                  <c:v>12.584165491079425</c:v>
                </c:pt>
                <c:pt idx="11">
                  <c:v>14.842873118250367</c:v>
                </c:pt>
                <c:pt idx="12">
                  <c:v>17.508355698627614</c:v>
                </c:pt>
                <c:pt idx="13">
                  <c:v>20.654099804781278</c:v>
                </c:pt>
                <c:pt idx="14">
                  <c:v>24.366906397252794</c:v>
                </c:pt>
                <c:pt idx="15">
                  <c:v>28.749309593076038</c:v>
                </c:pt>
                <c:pt idx="16">
                  <c:v>33.922435918081874</c:v>
                </c:pt>
                <c:pt idx="17">
                  <c:v>40.029384438924232</c:v>
                </c:pt>
                <c:pt idx="18">
                  <c:v>47.239222874149483</c:v>
                </c:pt>
                <c:pt idx="19">
                  <c:v>55.7517121809976</c:v>
                </c:pt>
                <c:pt idx="20">
                  <c:v>65.802892700384845</c:v>
                </c:pt>
                <c:pt idx="21">
                  <c:v>77.671689301955368</c:v>
                </c:pt>
                <c:pt idx="22">
                  <c:v>91.68772179707679</c:v>
                </c:pt>
                <c:pt idx="23">
                  <c:v>108.24054100047216</c:v>
                </c:pt>
                <c:pt idx="24">
                  <c:v>127.79055119195162</c:v>
                </c:pt>
                <c:pt idx="25">
                  <c:v>150.88192750819914</c:v>
                </c:pt>
                <c:pt idx="26">
                  <c:v>148.81093286135922</c:v>
                </c:pt>
                <c:pt idx="27">
                  <c:v>163.29402328311821</c:v>
                </c:pt>
                <c:pt idx="28">
                  <c:v>177.74673882318049</c:v>
                </c:pt>
                <c:pt idx="29">
                  <c:v>192.17189850121227</c:v>
                </c:pt>
                <c:pt idx="30">
                  <c:v>206.57186300486069</c:v>
                </c:pt>
                <c:pt idx="31">
                  <c:v>179.3966751689608</c:v>
                </c:pt>
                <c:pt idx="32">
                  <c:v>195.46546278658749</c:v>
                </c:pt>
                <c:pt idx="33">
                  <c:v>211.50356294225205</c:v>
                </c:pt>
                <c:pt idx="34">
                  <c:v>227.51363078342158</c:v>
                </c:pt>
                <c:pt idx="35">
                  <c:v>243.49791694752571</c:v>
                </c:pt>
                <c:pt idx="36">
                  <c:v>217.66446793584763</c:v>
                </c:pt>
                <c:pt idx="37">
                  <c:v>234.89407374203213</c:v>
                </c:pt>
                <c:pt idx="38">
                  <c:v>252.09484919970498</c:v>
                </c:pt>
                <c:pt idx="39">
                  <c:v>269.26903825113021</c:v>
                </c:pt>
                <c:pt idx="40">
                  <c:v>286.41857511667479</c:v>
                </c:pt>
                <c:pt idx="41">
                  <c:v>260.68513965168</c:v>
                </c:pt>
                <c:pt idx="42">
                  <c:v>277.84677769273577</c:v>
                </c:pt>
                <c:pt idx="43">
                  <c:v>294.98463359298847</c:v>
                </c:pt>
                <c:pt idx="44">
                  <c:v>312.10028329420305</c:v>
                </c:pt>
                <c:pt idx="45">
                  <c:v>329.1951157650264</c:v>
                </c:pt>
                <c:pt idx="46">
                  <c:v>303.54514342437113</c:v>
                </c:pt>
                <c:pt idx="47">
                  <c:v>320.65022128203435</c:v>
                </c:pt>
                <c:pt idx="48">
                  <c:v>337.73511622084794</c:v>
                </c:pt>
                <c:pt idx="49">
                  <c:v>354.80099269409396</c:v>
                </c:pt>
                <c:pt idx="50">
                  <c:v>371.84889400619704</c:v>
                </c:pt>
                <c:pt idx="51">
                  <c:v>345.45768426289419</c:v>
                </c:pt>
                <c:pt idx="52">
                  <c:v>361.70344390352284</c:v>
                </c:pt>
                <c:pt idx="53">
                  <c:v>377.93325577983654</c:v>
                </c:pt>
                <c:pt idx="54">
                  <c:v>394.14790100388433</c:v>
                </c:pt>
                <c:pt idx="55">
                  <c:v>410.34809118885141</c:v>
                </c:pt>
                <c:pt idx="56">
                  <c:v>382.79920820719053</c:v>
                </c:pt>
                <c:pt idx="57">
                  <c:v>397.79418001862905</c:v>
                </c:pt>
                <c:pt idx="58">
                  <c:v>412.77691393459969</c:v>
                </c:pt>
                <c:pt idx="59">
                  <c:v>427.74791663496512</c:v>
                </c:pt>
                <c:pt idx="60">
                  <c:v>442.70765644555962</c:v>
                </c:pt>
                <c:pt idx="61">
                  <c:v>414.80069721135357</c:v>
                </c:pt>
                <c:pt idx="62">
                  <c:v>429.36572078685407</c:v>
                </c:pt>
                <c:pt idx="63">
                  <c:v>443.92012811747753</c:v>
                </c:pt>
                <c:pt idx="64">
                  <c:v>458.46431622225526</c:v>
                </c:pt>
                <c:pt idx="65">
                  <c:v>472.99865488119281</c:v>
                </c:pt>
                <c:pt idx="66">
                  <c:v>444.3242695635808</c:v>
                </c:pt>
                <c:pt idx="67">
                  <c:v>458.06044564731354</c:v>
                </c:pt>
                <c:pt idx="68">
                  <c:v>471.78782761031516</c:v>
                </c:pt>
                <c:pt idx="69">
                  <c:v>485.50670733159899</c:v>
                </c:pt>
                <c:pt idx="70">
                  <c:v>499.21735885305549</c:v>
                </c:pt>
                <c:pt idx="71">
                  <c:v>469.76963499064965</c:v>
                </c:pt>
                <c:pt idx="72">
                  <c:v>482.6829134841858</c:v>
                </c:pt>
                <c:pt idx="73">
                  <c:v>495.58885471345201</c:v>
                </c:pt>
                <c:pt idx="74">
                  <c:v>508.48767664593657</c:v>
                </c:pt>
                <c:pt idx="75">
                  <c:v>521.37958529087587</c:v>
                </c:pt>
                <c:pt idx="76">
                  <c:v>491.15325117467404</c:v>
                </c:pt>
                <c:pt idx="77">
                  <c:v>503.24837540475659</c:v>
                </c:pt>
                <c:pt idx="78">
                  <c:v>515.33735125988164</c:v>
                </c:pt>
                <c:pt idx="79">
                  <c:v>527.42034327919737</c:v>
                </c:pt>
                <c:pt idx="80">
                  <c:v>539.49750784907337</c:v>
                </c:pt>
                <c:pt idx="81">
                  <c:v>508.48767664593657</c:v>
                </c:pt>
                <c:pt idx="82">
                  <c:v>519.76846801482952</c:v>
                </c:pt>
                <c:pt idx="83">
                  <c:v>531.04409761975785</c:v>
                </c:pt>
                <c:pt idx="84">
                  <c:v>542.3146904990449</c:v>
                </c:pt>
                <c:pt idx="85">
                  <c:v>553.58036607052395</c:v>
                </c:pt>
                <c:pt idx="86">
                  <c:v>522.18510454563523</c:v>
                </c:pt>
                <c:pt idx="87">
                  <c:v>533.05706938142703</c:v>
                </c:pt>
                <c:pt idx="88">
                  <c:v>543.92437106523619</c:v>
                </c:pt>
                <c:pt idx="89">
                  <c:v>554.78711589011391</c:v>
                </c:pt>
                <c:pt idx="90">
                  <c:v>565.64540564761012</c:v>
                </c:pt>
                <c:pt idx="91">
                  <c:v>533.45964452335954</c:v>
                </c:pt>
                <c:pt idx="92">
                  <c:v>543.52196031239771</c:v>
                </c:pt>
                <c:pt idx="93">
                  <c:v>553.58036607052384</c:v>
                </c:pt>
                <c:pt idx="94">
                  <c:v>563.634942856218</c:v>
                </c:pt>
                <c:pt idx="95">
                  <c:v>573.68576860024859</c:v>
                </c:pt>
                <c:pt idx="96">
                  <c:v>541.10736424197205</c:v>
                </c:pt>
                <c:pt idx="97">
                  <c:v>550.76440184545709</c:v>
                </c:pt>
                <c:pt idx="98">
                  <c:v>560.41789006787997</c:v>
                </c:pt>
                <c:pt idx="99">
                  <c:v>570.06789866925931</c:v>
                </c:pt>
                <c:pt idx="100">
                  <c:v>579.71449485526762</c:v>
                </c:pt>
                <c:pt idx="101">
                  <c:v>546.33870450994402</c:v>
                </c:pt>
                <c:pt idx="102">
                  <c:v>555.18935360177841</c:v>
                </c:pt>
                <c:pt idx="103">
                  <c:v>564.03704739752004</c:v>
                </c:pt>
                <c:pt idx="104">
                  <c:v>572.88183879502435</c:v>
                </c:pt>
                <c:pt idx="105">
                  <c:v>581.72377892545023</c:v>
                </c:pt>
                <c:pt idx="106">
                  <c:v>549.95978525961073</c:v>
                </c:pt>
                <c:pt idx="107">
                  <c:v>558.40703591428917</c:v>
                </c:pt>
                <c:pt idx="108">
                  <c:v>566.85161156049674</c:v>
                </c:pt>
                <c:pt idx="109">
                  <c:v>575.29355767229868</c:v>
                </c:pt>
                <c:pt idx="110">
                  <c:v>583.73291828020911</c:v>
                </c:pt>
                <c:pt idx="111">
                  <c:v>553.17810388555245</c:v>
                </c:pt>
                <c:pt idx="112">
                  <c:v>560.82004275683369</c:v>
                </c:pt>
                <c:pt idx="113">
                  <c:v>568.45980265997707</c:v>
                </c:pt>
                <c:pt idx="114">
                  <c:v>576.09741701420523</c:v>
                </c:pt>
                <c:pt idx="115">
                  <c:v>583.73291828020922</c:v>
                </c:pt>
                <c:pt idx="116">
                  <c:v>554.7871158901138</c:v>
                </c:pt>
                <c:pt idx="117">
                  <c:v>562.02646462929238</c:v>
                </c:pt>
                <c:pt idx="118">
                  <c:v>569.26386253170404</c:v>
                </c:pt>
                <c:pt idx="119">
                  <c:v>576.4993379029969</c:v>
                </c:pt>
                <c:pt idx="120">
                  <c:v>583.73291828020945</c:v>
                </c:pt>
                <c:pt idx="121">
                  <c:v>2.9932409441277661E-12</c:v>
                </c:pt>
                <c:pt idx="122">
                  <c:v>2.9932409441277661E-12</c:v>
                </c:pt>
                <c:pt idx="123">
                  <c:v>2.9932409441277661E-12</c:v>
                </c:pt>
                <c:pt idx="124">
                  <c:v>2.9932409441277661E-12</c:v>
                </c:pt>
                <c:pt idx="125">
                  <c:v>2.9932409441277661E-12</c:v>
                </c:pt>
                <c:pt idx="126">
                  <c:v>2.9932409441277661E-12</c:v>
                </c:pt>
                <c:pt idx="127">
                  <c:v>2.9932409441277661E-12</c:v>
                </c:pt>
                <c:pt idx="128">
                  <c:v>2.9932409441277661E-12</c:v>
                </c:pt>
                <c:pt idx="129">
                  <c:v>2.9932409441277661E-12</c:v>
                </c:pt>
                <c:pt idx="130">
                  <c:v>2.9932409441277661E-12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528.10685054075066</c:v>
                </c:pt>
                <c:pt idx="117">
                  <c:v>534.99729079736949</c:v>
                </c:pt>
                <c:pt idx="118">
                  <c:v>541.88586523948368</c:v>
                </c:pt>
                <c:pt idx="119">
                  <c:v>548.77260093911138</c:v>
                </c:pt>
                <c:pt idx="120">
                  <c:v>555.65752423315973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2.9037522468277555</c:v>
                </c:pt>
                <c:pt idx="2">
                  <c:v>3.4224626260555984</c:v>
                </c:pt>
                <c:pt idx="3">
                  <c:v>4.0341711225064261</c:v>
                </c:pt>
                <c:pt idx="4">
                  <c:v>4.7556083934562574</c:v>
                </c:pt>
                <c:pt idx="5">
                  <c:v>5.6065246536535662</c:v>
                </c:pt>
                <c:pt idx="6">
                  <c:v>6.6102362695474293</c:v>
                </c:pt>
                <c:pt idx="7">
                  <c:v>7.7942715687358017</c:v>
                </c:pt>
                <c:pt idx="8">
                  <c:v>9.191133919108875</c:v>
                </c:pt>
                <c:pt idx="9">
                  <c:v>10.839203425146229</c:v>
                </c:pt>
                <c:pt idx="10">
                  <c:v>12.783802483678164</c:v>
                </c:pt>
                <c:pt idx="11">
                  <c:v>15.078455048355044</c:v>
                </c:pt>
                <c:pt idx="12">
                  <c:v>17.786374901512989</c:v>
                </c:pt>
                <c:pt idx="13">
                  <c:v>20.98222467844068</c:v>
                </c:pt>
                <c:pt idx="14">
                  <c:v>24.754195014928442</c:v>
                </c:pt>
                <c:pt idx="15">
                  <c:v>29.206462210639497</c:v>
                </c:pt>
                <c:pt idx="16">
                  <c:v>34.462093474205787</c:v>
                </c:pt>
                <c:pt idx="17">
                  <c:v>40.666481443935886</c:v>
                </c:pt>
                <c:pt idx="18">
                  <c:v>47.991404619190043</c:v>
                </c:pt>
                <c:pt idx="19">
                  <c:v>56.639828016263273</c:v>
                </c:pt>
                <c:pt idx="20">
                  <c:v>66.851579281450668</c:v>
                </c:pt>
                <c:pt idx="21">
                  <c:v>78.910060247626788</c:v>
                </c:pt>
                <c:pt idx="22">
                  <c:v>93.150183213270694</c:v>
                </c:pt>
                <c:pt idx="23">
                  <c:v>109.96775588799703</c:v>
                </c:pt>
                <c:pt idx="24">
                  <c:v>129.83057997320486</c:v>
                </c:pt>
                <c:pt idx="25">
                  <c:v>153.29157689885758</c:v>
                </c:pt>
                <c:pt idx="26">
                  <c:v>151.18742647916039</c:v>
                </c:pt>
                <c:pt idx="27">
                  <c:v>165.90240656060988</c:v>
                </c:pt>
                <c:pt idx="28">
                  <c:v>180.58657218998462</c:v>
                </c:pt>
                <c:pt idx="29">
                  <c:v>195.24278318241954</c:v>
                </c:pt>
                <c:pt idx="30">
                  <c:v>209.87343438827483</c:v>
                </c:pt>
                <c:pt idx="31">
                  <c:v>182.26293388859065</c:v>
                </c:pt>
                <c:pt idx="32">
                  <c:v>198.58910688128836</c:v>
                </c:pt>
                <c:pt idx="33">
                  <c:v>214.88414831813785</c:v>
                </c:pt>
                <c:pt idx="34">
                  <c:v>231.15075177059677</c:v>
                </c:pt>
                <c:pt idx="35">
                  <c:v>247.39120044621504</c:v>
                </c:pt>
                <c:pt idx="36">
                  <c:v>221.14376696934883</c:v>
                </c:pt>
                <c:pt idx="37">
                  <c:v>238.64946815456815</c:v>
                </c:pt>
                <c:pt idx="38">
                  <c:v>256.1259217726236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264.85390518195555</c:v>
                </c:pt>
                <c:pt idx="42">
                  <c:v>282.29065500591173</c:v>
                </c:pt>
                <c:pt idx="43">
                  <c:v>299.70327852559689</c:v>
                </c:pt>
                <c:pt idx="44">
                  <c:v>317.09337448903148</c:v>
                </c:pt>
                <c:pt idx="45">
                  <c:v>334.46235196533502</c:v>
                </c:pt>
                <c:pt idx="46">
                  <c:v>308.40105034381344</c:v>
                </c:pt>
                <c:pt idx="47">
                  <c:v>325.78042147316609</c:v>
                </c:pt>
                <c:pt idx="48">
                  <c:v>343.13931760637462</c:v>
                </c:pt>
                <c:pt idx="49">
                  <c:v>360.47892004811712</c:v>
                </c:pt>
                <c:pt idx="50">
                  <c:v>377.80028720100813</c:v>
                </c:pt>
                <c:pt idx="51">
                  <c:v>350.98574721103279</c:v>
                </c:pt>
                <c:pt idx="52">
                  <c:v>367.49209034996039</c:v>
                </c:pt>
                <c:pt idx="53">
                  <c:v>383.98225493635573</c:v>
                </c:pt>
                <c:pt idx="54">
                  <c:v>400.45703338613862</c:v>
                </c:pt>
                <c:pt idx="55">
                  <c:v>416.9171476106103</c:v>
                </c:pt>
                <c:pt idx="56">
                  <c:v>388.92626989048904</c:v>
                </c:pt>
                <c:pt idx="57">
                  <c:v>404.16181319978608</c:v>
                </c:pt>
                <c:pt idx="58">
                  <c:v>419.38494151279912</c:v>
                </c:pt>
                <c:pt idx="59">
                  <c:v>434.59616884181315</c:v>
                </c:pt>
                <c:pt idx="60">
                  <c:v>449.7959702900439</c:v>
                </c:pt>
                <c:pt idx="61">
                  <c:v>421.4411973426366</c:v>
                </c:pt>
                <c:pt idx="62">
                  <c:v>436.23993334519031</c:v>
                </c:pt>
                <c:pt idx="63">
                  <c:v>451.02789946978191</c:v>
                </c:pt>
                <c:pt idx="64">
                  <c:v>465.80549848090777</c:v>
                </c:pt>
                <c:pt idx="65">
                  <c:v>480.57310550984772</c:v>
                </c:pt>
                <c:pt idx="66">
                  <c:v>451.43852652349568</c:v>
                </c:pt>
                <c:pt idx="67">
                  <c:v>465.39514621826999</c:v>
                </c:pt>
                <c:pt idx="68">
                  <c:v>479.34284452811465</c:v>
                </c:pt>
                <c:pt idx="69">
                  <c:v>493.281917555973</c:v>
                </c:pt>
                <c:pt idx="70">
                  <c:v>507.21264330953483</c:v>
                </c:pt>
                <c:pt idx="71">
                  <c:v>477.29226026061082</c:v>
                </c:pt>
                <c:pt idx="72">
                  <c:v>490.41279965323224</c:v>
                </c:pt>
                <c:pt idx="73">
                  <c:v>503.52589560029656</c:v>
                </c:pt>
                <c:pt idx="74">
                  <c:v>516.63176922361095</c:v>
                </c:pt>
                <c:pt idx="75">
                  <c:v>529.73062951367604</c:v>
                </c:pt>
                <c:pt idx="76">
                  <c:v>499.01909440359304</c:v>
                </c:pt>
                <c:pt idx="77">
                  <c:v>511.30836546390066</c:v>
                </c:pt>
                <c:pt idx="78">
                  <c:v>523.59139917298626</c:v>
                </c:pt>
                <c:pt idx="79">
                  <c:v>535.86836245112806</c:v>
                </c:pt>
                <c:pt idx="80">
                  <c:v>548.13941394784217</c:v>
                </c:pt>
                <c:pt idx="81">
                  <c:v>516.63176922361095</c:v>
                </c:pt>
                <c:pt idx="82">
                  <c:v>528.09364865532655</c:v>
                </c:pt>
                <c:pt idx="83">
                  <c:v>539.5502916245631</c:v>
                </c:pt>
                <c:pt idx="84">
                  <c:v>551.00182497913715</c:v>
                </c:pt>
                <c:pt idx="85">
                  <c:v>562.44836986503856</c:v>
                </c:pt>
                <c:pt idx="86">
                  <c:v>530.54907998965166</c:v>
                </c:pt>
                <c:pt idx="87">
                  <c:v>541.59557948037639</c:v>
                </c:pt>
                <c:pt idx="88">
                  <c:v>552.63734833627166</c:v>
                </c:pt>
                <c:pt idx="89">
                  <c:v>563.67449438861013</c:v>
                </c:pt>
                <c:pt idx="90">
                  <c:v>574.7071209020188</c:v>
                </c:pt>
                <c:pt idx="91">
                  <c:v>542.00461756313427</c:v>
                </c:pt>
                <c:pt idx="92">
                  <c:v>552.22847702156628</c:v>
                </c:pt>
                <c:pt idx="93">
                  <c:v>562.44836986503822</c:v>
                </c:pt>
                <c:pt idx="94">
                  <c:v>572.66437832506858</c:v>
                </c:pt>
                <c:pt idx="95">
                  <c:v>582.87658146020192</c:v>
                </c:pt>
                <c:pt idx="96">
                  <c:v>549.77511567616205</c:v>
                </c:pt>
                <c:pt idx="97">
                  <c:v>559.58719489109524</c:v>
                </c:pt>
                <c:pt idx="98">
                  <c:v>569.39567336006587</c:v>
                </c:pt>
                <c:pt idx="99">
                  <c:v>579.20062185262486</c:v>
                </c:pt>
                <c:pt idx="100">
                  <c:v>589.00210854701288</c:v>
                </c:pt>
                <c:pt idx="101">
                  <c:v>555.09044325536786</c:v>
                </c:pt>
                <c:pt idx="102">
                  <c:v>564.08319015797485</c:v>
                </c:pt>
                <c:pt idx="103">
                  <c:v>573.07293899689466</c:v>
                </c:pt>
                <c:pt idx="104">
                  <c:v>582.05974343549485</c:v>
                </c:pt>
                <c:pt idx="105">
                  <c:v>591.04365534487874</c:v>
                </c:pt>
                <c:pt idx="106">
                  <c:v>558.76966014701395</c:v>
                </c:pt>
                <c:pt idx="107">
                  <c:v>567.35253375731543</c:v>
                </c:pt>
                <c:pt idx="108">
                  <c:v>575.9326936477363</c:v>
                </c:pt>
                <c:pt idx="109">
                  <c:v>584.51018595042069</c:v>
                </c:pt>
                <c:pt idx="110">
                  <c:v>593.08505533307027</c:v>
                </c:pt>
                <c:pt idx="111">
                  <c:v>562.03964926820106</c:v>
                </c:pt>
                <c:pt idx="112">
                  <c:v>569.80428287631264</c:v>
                </c:pt>
                <c:pt idx="113">
                  <c:v>577.56670598332937</c:v>
                </c:pt>
                <c:pt idx="114">
                  <c:v>585.32695249209939</c:v>
                </c:pt>
                <c:pt idx="115">
                  <c:v>593.0850553330705</c:v>
                </c:pt>
                <c:pt idx="116">
                  <c:v>563.67449438861001</c:v>
                </c:pt>
                <c:pt idx="117">
                  <c:v>571.03007470686327</c:v>
                </c:pt>
                <c:pt idx="118">
                  <c:v>578.38367595679733</c:v>
                </c:pt>
                <c:pt idx="119">
                  <c:v>585.73532685368616</c:v>
                </c:pt>
                <c:pt idx="120">
                  <c:v>593.0850553330705</c:v>
                </c:pt>
                <c:pt idx="121">
                  <c:v>3.036919790734272E-12</c:v>
                </c:pt>
                <c:pt idx="122">
                  <c:v>3.036919790734272E-12</c:v>
                </c:pt>
                <c:pt idx="123">
                  <c:v>3.036919790734272E-12</c:v>
                </c:pt>
                <c:pt idx="124">
                  <c:v>3.036919790734272E-12</c:v>
                </c:pt>
                <c:pt idx="125">
                  <c:v>3.036919790734272E-12</c:v>
                </c:pt>
                <c:pt idx="126">
                  <c:v>3.036919790734272E-12</c:v>
                </c:pt>
                <c:pt idx="127">
                  <c:v>3.036919790734272E-12</c:v>
                </c:pt>
                <c:pt idx="128">
                  <c:v>3.036919790734272E-12</c:v>
                </c:pt>
                <c:pt idx="129">
                  <c:v>3.036919790734272E-12</c:v>
                </c:pt>
                <c:pt idx="130">
                  <c:v>3.036919790734272E-12</c:v>
                </c:pt>
                <c:pt idx="131">
                  <c:v>3.036919790734272E-12</c:v>
                </c:pt>
                <c:pt idx="132">
                  <c:v>3.036919790734272E-12</c:v>
                </c:pt>
                <c:pt idx="133">
                  <c:v>3.036919790734272E-12</c:v>
                </c:pt>
                <c:pt idx="134">
                  <c:v>3.036919790734272E-12</c:v>
                </c:pt>
                <c:pt idx="135">
                  <c:v>3.036919790734272E-12</c:v>
                </c:pt>
                <c:pt idx="136">
                  <c:v>3.036919790734272E-12</c:v>
                </c:pt>
                <c:pt idx="137">
                  <c:v>3.036919790734272E-12</c:v>
                </c:pt>
                <c:pt idx="138">
                  <c:v>3.036919790734272E-12</c:v>
                </c:pt>
                <c:pt idx="139">
                  <c:v>3.036919790734272E-12</c:v>
                </c:pt>
                <c:pt idx="140">
                  <c:v>3.036919790734272E-12</c:v>
                </c:pt>
                <c:pt idx="141">
                  <c:v>3.036919790734272E-12</c:v>
                </c:pt>
                <c:pt idx="142">
                  <c:v>3.036919790734272E-12</c:v>
                </c:pt>
                <c:pt idx="143">
                  <c:v>3.036919790734272E-12</c:v>
                </c:pt>
                <c:pt idx="144">
                  <c:v>3.036919790734272E-12</c:v>
                </c:pt>
                <c:pt idx="145">
                  <c:v>3.036919790734272E-12</c:v>
                </c:pt>
                <c:pt idx="146">
                  <c:v>3.036919790734272E-12</c:v>
                </c:pt>
                <c:pt idx="147">
                  <c:v>3.036919790734272E-12</c:v>
                </c:pt>
                <c:pt idx="148">
                  <c:v>3.036919790734272E-12</c:v>
                </c:pt>
                <c:pt idx="149">
                  <c:v>3.036919790734272E-12</c:v>
                </c:pt>
                <c:pt idx="150">
                  <c:v>3.036919790734272E-12</c:v>
                </c:pt>
                <c:pt idx="151">
                  <c:v>3.036919790734272E-12</c:v>
                </c:pt>
                <c:pt idx="152">
                  <c:v>3.036919790734272E-12</c:v>
                </c:pt>
                <c:pt idx="153">
                  <c:v>3.036919790734272E-12</c:v>
                </c:pt>
                <c:pt idx="154">
                  <c:v>3.036919790734272E-12</c:v>
                </c:pt>
                <c:pt idx="155">
                  <c:v>3.036919790734272E-12</c:v>
                </c:pt>
                <c:pt idx="156">
                  <c:v>3.036919790734272E-12</c:v>
                </c:pt>
                <c:pt idx="157">
                  <c:v>3.036919790734272E-12</c:v>
                </c:pt>
                <c:pt idx="158">
                  <c:v>3.036919790734272E-12</c:v>
                </c:pt>
                <c:pt idx="159">
                  <c:v>3.036919790734272E-12</c:v>
                </c:pt>
                <c:pt idx="160">
                  <c:v>3.036919790734272E-12</c:v>
                </c:pt>
                <c:pt idx="161">
                  <c:v>3.036919790734272E-12</c:v>
                </c:pt>
                <c:pt idx="162">
                  <c:v>3.036919790734272E-12</c:v>
                </c:pt>
                <c:pt idx="163">
                  <c:v>3.036919790734272E-12</c:v>
                </c:pt>
                <c:pt idx="164">
                  <c:v>3.036919790734272E-12</c:v>
                </c:pt>
                <c:pt idx="165">
                  <c:v>3.036919790734272E-12</c:v>
                </c:pt>
                <c:pt idx="166">
                  <c:v>3.036919790734272E-12</c:v>
                </c:pt>
                <c:pt idx="167">
                  <c:v>3.036919790734272E-12</c:v>
                </c:pt>
                <c:pt idx="168">
                  <c:v>3.036919790734272E-12</c:v>
                </c:pt>
                <c:pt idx="169">
                  <c:v>3.036919790734272E-12</c:v>
                </c:pt>
                <c:pt idx="170">
                  <c:v>3.036919790734272E-12</c:v>
                </c:pt>
                <c:pt idx="171">
                  <c:v>3.036919790734272E-12</c:v>
                </c:pt>
                <c:pt idx="172">
                  <c:v>3.036919790734272E-12</c:v>
                </c:pt>
                <c:pt idx="173">
                  <c:v>3.036919790734272E-12</c:v>
                </c:pt>
                <c:pt idx="174">
                  <c:v>3.036919790734272E-12</c:v>
                </c:pt>
                <c:pt idx="175">
                  <c:v>3.036919790734272E-12</c:v>
                </c:pt>
                <c:pt idx="176">
                  <c:v>3.036919790734272E-12</c:v>
                </c:pt>
                <c:pt idx="177">
                  <c:v>3.036919790734272E-12</c:v>
                </c:pt>
                <c:pt idx="178">
                  <c:v>3.036919790734272E-12</c:v>
                </c:pt>
                <c:pt idx="179">
                  <c:v>3.036919790734272E-12</c:v>
                </c:pt>
                <c:pt idx="180">
                  <c:v>3.036919790734272E-12</c:v>
                </c:pt>
                <c:pt idx="181">
                  <c:v>3.036919790734272E-12</c:v>
                </c:pt>
                <c:pt idx="182">
                  <c:v>3.036919790734272E-12</c:v>
                </c:pt>
                <c:pt idx="183">
                  <c:v>3.036919790734272E-12</c:v>
                </c:pt>
                <c:pt idx="184">
                  <c:v>3.036919790734272E-12</c:v>
                </c:pt>
                <c:pt idx="185">
                  <c:v>3.036919790734272E-12</c:v>
                </c:pt>
                <c:pt idx="186">
                  <c:v>3.036919790734272E-12</c:v>
                </c:pt>
                <c:pt idx="187">
                  <c:v>3.036919790734272E-12</c:v>
                </c:pt>
                <c:pt idx="188">
                  <c:v>3.036919790734272E-12</c:v>
                </c:pt>
                <c:pt idx="189">
                  <c:v>3.036919790734272E-12</c:v>
                </c:pt>
                <c:pt idx="190">
                  <c:v>3.036919790734272E-12</c:v>
                </c:pt>
                <c:pt idx="191">
                  <c:v>3.036919790734272E-12</c:v>
                </c:pt>
                <c:pt idx="192">
                  <c:v>3.036919790734272E-12</c:v>
                </c:pt>
                <c:pt idx="193">
                  <c:v>3.036919790734272E-12</c:v>
                </c:pt>
                <c:pt idx="194">
                  <c:v>3.036919790734272E-12</c:v>
                </c:pt>
                <c:pt idx="195">
                  <c:v>3.036919790734272E-12</c:v>
                </c:pt>
                <c:pt idx="196">
                  <c:v>3.036919790734272E-12</c:v>
                </c:pt>
                <c:pt idx="197">
                  <c:v>3.036919790734272E-12</c:v>
                </c:pt>
                <c:pt idx="198">
                  <c:v>3.036919790734272E-12</c:v>
                </c:pt>
                <c:pt idx="199">
                  <c:v>3.036919790734272E-12</c:v>
                </c:pt>
                <c:pt idx="200">
                  <c:v>3.036919790734272E-12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2.7570055325004148</c:v>
                </c:pt>
                <c:pt idx="2">
                  <c:v>3.4032054649166987</c:v>
                </c:pt>
                <c:pt idx="3">
                  <c:v>4.2014437547216685</c:v>
                </c:pt>
                <c:pt idx="4">
                  <c:v>5.1876205225847505</c:v>
                </c:pt>
                <c:pt idx="5">
                  <c:v>6.4061412017222628</c:v>
                </c:pt>
                <c:pt idx="6">
                  <c:v>7.9119378318298503</c:v>
                </c:pt>
                <c:pt idx="7">
                  <c:v>9.772972086522616</c:v>
                </c:pt>
                <c:pt idx="8">
                  <c:v>12.073335145530288</c:v>
                </c:pt>
                <c:pt idx="9">
                  <c:v>14.917087094430778</c:v>
                </c:pt>
                <c:pt idx="10">
                  <c:v>18.433012724440111</c:v>
                </c:pt>
                <c:pt idx="11">
                  <c:v>22.780513004417188</c:v>
                </c:pt>
                <c:pt idx="12">
                  <c:v>28.156904081976307</c:v>
                </c:pt>
                <c:pt idx="13">
                  <c:v>34.806460891636839</c:v>
                </c:pt>
                <c:pt idx="14">
                  <c:v>43.031623347396639</c:v>
                </c:pt>
                <c:pt idx="15">
                  <c:v>53.206883450694164</c:v>
                </c:pt>
                <c:pt idx="16">
                  <c:v>65.795996138857035</c:v>
                </c:pt>
                <c:pt idx="17">
                  <c:v>81.373311150987774</c:v>
                </c:pt>
                <c:pt idx="18">
                  <c:v>100.65021481890842</c:v>
                </c:pt>
                <c:pt idx="19">
                  <c:v>124.50790846460593</c:v>
                </c:pt>
                <c:pt idx="20">
                  <c:v>154.03804513155393</c:v>
                </c:pt>
                <c:pt idx="21">
                  <c:v>138.8195597916295</c:v>
                </c:pt>
                <c:pt idx="22">
                  <c:v>155.93775882820458</c:v>
                </c:pt>
                <c:pt idx="23">
                  <c:v>173.01130680524864</c:v>
                </c:pt>
                <c:pt idx="24">
                  <c:v>190.04523308883151</c:v>
                </c:pt>
                <c:pt idx="25">
                  <c:v>207.04359025710687</c:v>
                </c:pt>
                <c:pt idx="26">
                  <c:v>174.14808519452978</c:v>
                </c:pt>
                <c:pt idx="27">
                  <c:v>190.42334728862139</c:v>
                </c:pt>
                <c:pt idx="28">
                  <c:v>206.66621044559773</c:v>
                </c:pt>
                <c:pt idx="29">
                  <c:v>222.87958017562786</c:v>
                </c:pt>
                <c:pt idx="30">
                  <c:v>239.06590436046736</c:v>
                </c:pt>
                <c:pt idx="31">
                  <c:v>204.77907175916721</c:v>
                </c:pt>
                <c:pt idx="32">
                  <c:v>219.48839787126693</c:v>
                </c:pt>
                <c:pt idx="33">
                  <c:v>234.17508597432473</c:v>
                </c:pt>
                <c:pt idx="34">
                  <c:v>248.84075611692757</c:v>
                </c:pt>
                <c:pt idx="35">
                  <c:v>263.48682168593842</c:v>
                </c:pt>
                <c:pt idx="36">
                  <c:v>230.0348807182537</c:v>
                </c:pt>
                <c:pt idx="37">
                  <c:v>243.57848190120242</c:v>
                </c:pt>
                <c:pt idx="38">
                  <c:v>257.10496630927094</c:v>
                </c:pt>
                <c:pt idx="39">
                  <c:v>270.61536157536995</c:v>
                </c:pt>
                <c:pt idx="40">
                  <c:v>284.1105842971628</c:v>
                </c:pt>
                <c:pt idx="41">
                  <c:v>252.97362594481319</c:v>
                </c:pt>
                <c:pt idx="42">
                  <c:v>264.98792439409277</c:v>
                </c:pt>
                <c:pt idx="43">
                  <c:v>276.98994403187243</c:v>
                </c:pt>
                <c:pt idx="44">
                  <c:v>288.98029209880161</c:v>
                </c:pt>
                <c:pt idx="45">
                  <c:v>300.95952130477974</c:v>
                </c:pt>
                <c:pt idx="46">
                  <c:v>272.49058577637885</c:v>
                </c:pt>
                <c:pt idx="47">
                  <c:v>283.36123337871362</c:v>
                </c:pt>
                <c:pt idx="48">
                  <c:v>294.22254221033847</c:v>
                </c:pt>
                <c:pt idx="49">
                  <c:v>305.07490579191546</c:v>
                </c:pt>
                <c:pt idx="50">
                  <c:v>315.91868734548376</c:v>
                </c:pt>
                <c:pt idx="51">
                  <c:v>290.10380901652724</c:v>
                </c:pt>
                <c:pt idx="52">
                  <c:v>299.83692694209105</c:v>
                </c:pt>
                <c:pt idx="53">
                  <c:v>309.56300888159757</c:v>
                </c:pt>
                <c:pt idx="54">
                  <c:v>319.28230720978155</c:v>
                </c:pt>
                <c:pt idx="55">
                  <c:v>328.99505767197445</c:v>
                </c:pt>
                <c:pt idx="56">
                  <c:v>303.57854617810909</c:v>
                </c:pt>
                <c:pt idx="57">
                  <c:v>311.80651713592096</c:v>
                </c:pt>
                <c:pt idx="58">
                  <c:v>320.02967142825008</c:v>
                </c:pt>
                <c:pt idx="59">
                  <c:v>328.24815038016749</c:v>
                </c:pt>
                <c:pt idx="60">
                  <c:v>336.462087656405</c:v>
                </c:pt>
                <c:pt idx="61">
                  <c:v>314.04966717357337</c:v>
                </c:pt>
                <c:pt idx="62">
                  <c:v>321.52428406625791</c:v>
                </c:pt>
                <c:pt idx="63">
                  <c:v>328.99505767197456</c:v>
                </c:pt>
                <c:pt idx="64">
                  <c:v>336.462087656405</c:v>
                </c:pt>
                <c:pt idx="65">
                  <c:v>343.92546889640727</c:v>
                </c:pt>
                <c:pt idx="66">
                  <c:v>324.13948679547354</c:v>
                </c:pt>
                <c:pt idx="67">
                  <c:v>330.48876005573737</c:v>
                </c:pt>
                <c:pt idx="68">
                  <c:v>336.83534260693528</c:v>
                </c:pt>
                <c:pt idx="69">
                  <c:v>343.1792923554346</c:v>
                </c:pt>
                <c:pt idx="70">
                  <c:v>349.52066488969609</c:v>
                </c:pt>
                <c:pt idx="71">
                  <c:v>332.72903457884468</c:v>
                </c:pt>
                <c:pt idx="72">
                  <c:v>338.32827143043062</c:v>
                </c:pt>
                <c:pt idx="73">
                  <c:v>343.92546889640738</c:v>
                </c:pt>
                <c:pt idx="74">
                  <c:v>349.52066488969609</c:v>
                </c:pt>
                <c:pt idx="75">
                  <c:v>355.11389600890448</c:v>
                </c:pt>
                <c:pt idx="76">
                  <c:v>339.44787284177949</c:v>
                </c:pt>
                <c:pt idx="77">
                  <c:v>344.29854381894557</c:v>
                </c:pt>
                <c:pt idx="78">
                  <c:v>349.14771335092138</c:v>
                </c:pt>
                <c:pt idx="79">
                  <c:v>353.99540526070876</c:v>
                </c:pt>
                <c:pt idx="80">
                  <c:v>358.8416426647546</c:v>
                </c:pt>
                <c:pt idx="81">
                  <c:v>346.53680717558672</c:v>
                </c:pt>
                <c:pt idx="82">
                  <c:v>351.0123838279564</c:v>
                </c:pt>
                <c:pt idx="83">
                  <c:v>355.48670909410652</c:v>
                </c:pt>
                <c:pt idx="84">
                  <c:v>359.95980096859574</c:v>
                </c:pt>
                <c:pt idx="85">
                  <c:v>364.43167696167438</c:v>
                </c:pt>
                <c:pt idx="86">
                  <c:v>353.24970174806907</c:v>
                </c:pt>
                <c:pt idx="87">
                  <c:v>356.97787588797149</c:v>
                </c:pt>
                <c:pt idx="88">
                  <c:v>360.70519760433928</c:v>
                </c:pt>
                <c:pt idx="89">
                  <c:v>364.43167696167438</c:v>
                </c:pt>
                <c:pt idx="90">
                  <c:v>368.15732380156101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3.3988447655877327</c:v>
                </c:pt>
                <c:pt idx="2">
                  <c:v>4.0063178504214578</c:v>
                </c:pt>
                <c:pt idx="3">
                  <c:v>4.7227575716915684</c:v>
                </c:pt>
                <c:pt idx="4">
                  <c:v>5.5677765638419956</c:v>
                </c:pt>
                <c:pt idx="5">
                  <c:v>6.5645287036091462</c:v>
                </c:pt>
                <c:pt idx="6">
                  <c:v>7.74035039721337</c:v>
                </c:pt>
                <c:pt idx="7">
                  <c:v>9.1275183141814384</c:v>
                </c:pt>
                <c:pt idx="8">
                  <c:v>10.7641447651161</c:v>
                </c:pt>
                <c:pt idx="9">
                  <c:v>12.695235788134896</c:v>
                </c:pt>
                <c:pt idx="10">
                  <c:v>14.973941583161505</c:v>
                </c:pt>
                <c:pt idx="11">
                  <c:v>17.663034344276738</c:v>
                </c:pt>
                <c:pt idx="12">
                  <c:v>20.83665494119186</c:v>
                </c:pt>
                <c:pt idx="13">
                  <c:v>24.582377472990316</c:v>
                </c:pt>
                <c:pt idx="14">
                  <c:v>29.003649675287779</c:v>
                </c:pt>
                <c:pt idx="15">
                  <c:v>34.222677759995427</c:v>
                </c:pt>
                <c:pt idx="16">
                  <c:v>40.383836805712463</c:v>
                </c:pt>
                <c:pt idx="17">
                  <c:v>47.657702652443085</c:v>
                </c:pt>
                <c:pt idx="18">
                  <c:v>56.245818808260594</c:v>
                </c:pt>
                <c:pt idx="19">
                  <c:v>66.386332646599115</c:v>
                </c:pt>
                <c:pt idx="20">
                  <c:v>78.360659751606121</c:v>
                </c:pt>
                <c:pt idx="21">
                  <c:v>92.501364354563762</c:v>
                </c:pt>
                <c:pt idx="22">
                  <c:v>109.20147822446989</c:v>
                </c:pt>
                <c:pt idx="23">
                  <c:v>128.9255211103534</c:v>
                </c:pt>
                <c:pt idx="24">
                  <c:v>152.22253404193577</c:v>
                </c:pt>
                <c:pt idx="25">
                  <c:v>179.7414938524295</c:v>
                </c:pt>
                <c:pt idx="26">
                  <c:v>177.27333024872806</c:v>
                </c:pt>
                <c:pt idx="27">
                  <c:v>194.53421785197463</c:v>
                </c:pt>
                <c:pt idx="28">
                  <c:v>211.75950715739978</c:v>
                </c:pt>
                <c:pt idx="29">
                  <c:v>228.952501957349</c:v>
                </c:pt>
                <c:pt idx="30">
                  <c:v>246.11596889508897</c:v>
                </c:pt>
                <c:pt idx="31">
                  <c:v>213.72599909690823</c:v>
                </c:pt>
                <c:pt idx="32">
                  <c:v>232.87809260519506</c:v>
                </c:pt>
                <c:pt idx="33">
                  <c:v>251.99422148253385</c:v>
                </c:pt>
                <c:pt idx="34">
                  <c:v>271.07749746879057</c:v>
                </c:pt>
                <c:pt idx="35">
                  <c:v>290.13055823222999</c:v>
                </c:pt>
                <c:pt idx="36">
                  <c:v>259.33767759130296</c:v>
                </c:pt>
                <c:pt idx="37">
                  <c:v>279.87482760648737</c:v>
                </c:pt>
                <c:pt idx="38">
                  <c:v>300.37818946266395</c:v>
                </c:pt>
                <c:pt idx="39">
                  <c:v>320.8503929815983</c:v>
                </c:pt>
                <c:pt idx="40">
                  <c:v>341.29370500183649</c:v>
                </c:pt>
                <c:pt idx="41">
                  <c:v>310.61803673581045</c:v>
                </c:pt>
                <c:pt idx="42">
                  <c:v>331.07553091004479</c:v>
                </c:pt>
                <c:pt idx="43">
                  <c:v>351.50515324795106</c:v>
                </c:pt>
                <c:pt idx="44">
                  <c:v>371.90875069809857</c:v>
                </c:pt>
                <c:pt idx="45">
                  <c:v>392.28795108310914</c:v>
                </c:pt>
                <c:pt idx="46">
                  <c:v>361.71009867648337</c:v>
                </c:pt>
                <c:pt idx="47">
                  <c:v>382.10130629614451</c:v>
                </c:pt>
                <c:pt idx="48">
                  <c:v>402.46886024158624</c:v>
                </c:pt>
                <c:pt idx="49">
                  <c:v>422.81412521128323</c:v>
                </c:pt>
                <c:pt idx="50">
                  <c:v>443.1383239214918</c:v>
                </c:pt>
                <c:pt idx="51">
                  <c:v>411.67535507613934</c:v>
                </c:pt>
                <c:pt idx="52">
                  <c:v>431.04305967702021</c:v>
                </c:pt>
                <c:pt idx="53">
                  <c:v>450.39207405650882</c:v>
                </c:pt>
                <c:pt idx="54">
                  <c:v>469.72331365057767</c:v>
                </c:pt>
                <c:pt idx="55">
                  <c:v>489.03761244496371</c:v>
                </c:pt>
                <c:pt idx="56">
                  <c:v>456.19327286423237</c:v>
                </c:pt>
                <c:pt idx="57">
                  <c:v>474.07047968953492</c:v>
                </c:pt>
                <c:pt idx="58">
                  <c:v>491.93334412983972</c:v>
                </c:pt>
                <c:pt idx="59">
                  <c:v>509.78245999620441</c:v>
                </c:pt>
                <c:pt idx="60">
                  <c:v>527.61837615010927</c:v>
                </c:pt>
                <c:pt idx="61">
                  <c:v>494.34617766082982</c:v>
                </c:pt>
                <c:pt idx="62">
                  <c:v>511.71129412952865</c:v>
                </c:pt>
                <c:pt idx="63">
                  <c:v>529.06396873094207</c:v>
                </c:pt>
                <c:pt idx="64">
                  <c:v>546.40466675747416</c:v>
                </c:pt>
                <c:pt idx="65">
                  <c:v>563.73382157834374</c:v>
                </c:pt>
                <c:pt idx="66">
                  <c:v>529.54581443344262</c:v>
                </c:pt>
                <c:pt idx="67">
                  <c:v>545.92313850649077</c:v>
                </c:pt>
                <c:pt idx="68">
                  <c:v>562.29015617795403</c:v>
                </c:pt>
                <c:pt idx="69">
                  <c:v>578.64720951981633</c:v>
                </c:pt>
                <c:pt idx="70">
                  <c:v>594.99461969957758</c:v>
                </c:pt>
                <c:pt idx="71">
                  <c:v>559.88387470132386</c:v>
                </c:pt>
                <c:pt idx="72">
                  <c:v>575.28037945503661</c:v>
                </c:pt>
                <c:pt idx="73">
                  <c:v>590.66828519192734</c:v>
                </c:pt>
                <c:pt idx="74">
                  <c:v>606.04784736226065</c:v>
                </c:pt>
                <c:pt idx="75">
                  <c:v>621.41930740164844</c:v>
                </c:pt>
                <c:pt idx="76">
                  <c:v>585.37964629167152</c:v>
                </c:pt>
                <c:pt idx="77">
                  <c:v>599.80089073891179</c:v>
                </c:pt>
                <c:pt idx="78">
                  <c:v>614.21492950597724</c:v>
                </c:pt>
                <c:pt idx="79">
                  <c:v>628.62195542698873</c:v>
                </c:pt>
                <c:pt idx="80">
                  <c:v>643.02215178129484</c:v>
                </c:pt>
                <c:pt idx="81">
                  <c:v>606.04784736226065</c:v>
                </c:pt>
                <c:pt idx="82">
                  <c:v>619.49831005268175</c:v>
                </c:pt>
                <c:pt idx="83">
                  <c:v>632.94272333646688</c:v>
                </c:pt>
                <c:pt idx="84">
                  <c:v>646.3812337541533</c:v>
                </c:pt>
                <c:pt idx="85">
                  <c:v>659.81398125926046</c:v>
                </c:pt>
                <c:pt idx="86">
                  <c:v>622.37975992032568</c:v>
                </c:pt>
                <c:pt idx="87">
                  <c:v>635.3428861503254</c:v>
                </c:pt>
                <c:pt idx="88">
                  <c:v>648.30054732947394</c:v>
                </c:pt>
                <c:pt idx="89">
                  <c:v>661.25286802950598</c:v>
                </c:pt>
                <c:pt idx="90">
                  <c:v>674.19996754655403</c:v>
                </c:pt>
                <c:pt idx="91">
                  <c:v>635.82289619917935</c:v>
                </c:pt>
                <c:pt idx="92">
                  <c:v>647.82072993888221</c:v>
                </c:pt>
                <c:pt idx="93">
                  <c:v>659.81398125926</c:v>
                </c:pt>
                <c:pt idx="94">
                  <c:v>671.80274515801261</c:v>
                </c:pt>
                <c:pt idx="95">
                  <c:v>683.78711296727249</c:v>
                </c:pt>
                <c:pt idx="96">
                  <c:v>644.94167141936043</c:v>
                </c:pt>
                <c:pt idx="97">
                  <c:v>656.45632723772906</c:v>
                </c:pt>
                <c:pt idx="98">
                  <c:v>667.96682330576868</c:v>
                </c:pt>
                <c:pt idx="99">
                  <c:v>679.4732413797783</c:v>
                </c:pt>
                <c:pt idx="100">
                  <c:v>690.97566022245337</c:v>
                </c:pt>
                <c:pt idx="101">
                  <c:v>651.17929806084999</c:v>
                </c:pt>
                <c:pt idx="102">
                  <c:v>661.73248262190066</c:v>
                </c:pt>
                <c:pt idx="103">
                  <c:v>672.28220367940514</c:v>
                </c:pt>
                <c:pt idx="104">
                  <c:v>682.82852322779843</c:v>
                </c:pt>
                <c:pt idx="105">
                  <c:v>693.37150119100806</c:v>
                </c:pt>
                <c:pt idx="106">
                  <c:v>655.49693261541245</c:v>
                </c:pt>
                <c:pt idx="107">
                  <c:v>665.56914225443347</c:v>
                </c:pt>
                <c:pt idx="108">
                  <c:v>675.63821687718735</c:v>
                </c:pt>
                <c:pt idx="109">
                  <c:v>685.70420977768742</c:v>
                </c:pt>
                <c:pt idx="110">
                  <c:v>695.76717255815322</c:v>
                </c:pt>
                <c:pt idx="111">
                  <c:v>659.33433798500698</c:v>
                </c:pt>
                <c:pt idx="112">
                  <c:v>668.44633825452308</c:v>
                </c:pt>
                <c:pt idx="113">
                  <c:v>677.5557848496743</c:v>
                </c:pt>
                <c:pt idx="114">
                  <c:v>686.66271693662009</c:v>
                </c:pt>
                <c:pt idx="115">
                  <c:v>695.76717255815345</c:v>
                </c:pt>
                <c:pt idx="116">
                  <c:v>661.25286802950575</c:v>
                </c:pt>
                <c:pt idx="117">
                  <c:v>669.88484068221362</c:v>
                </c:pt>
                <c:pt idx="118">
                  <c:v>678.51452702253539</c:v>
                </c:pt>
                <c:pt idx="119">
                  <c:v>687.14196022370061</c:v>
                </c:pt>
                <c:pt idx="120">
                  <c:v>695.76717255815367</c:v>
                </c:pt>
                <c:pt idx="121">
                  <c:v>3.5126381983529106E-12</c:v>
                </c:pt>
                <c:pt idx="122">
                  <c:v>3.5126381983529106E-12</c:v>
                </c:pt>
                <c:pt idx="123">
                  <c:v>3.5126381983529106E-12</c:v>
                </c:pt>
                <c:pt idx="124">
                  <c:v>3.5126381983529106E-12</c:v>
                </c:pt>
                <c:pt idx="125">
                  <c:v>3.5126381983529106E-12</c:v>
                </c:pt>
                <c:pt idx="126">
                  <c:v>3.5126381983529106E-12</c:v>
                </c:pt>
                <c:pt idx="127">
                  <c:v>3.5126381983529106E-12</c:v>
                </c:pt>
                <c:pt idx="128">
                  <c:v>3.5126381983529106E-12</c:v>
                </c:pt>
                <c:pt idx="129">
                  <c:v>3.5126381983529106E-12</c:v>
                </c:pt>
                <c:pt idx="130">
                  <c:v>3.5126381983529106E-12</c:v>
                </c:pt>
                <c:pt idx="131">
                  <c:v>3.5126381983529106E-12</c:v>
                </c:pt>
                <c:pt idx="132">
                  <c:v>3.5126381983529106E-12</c:v>
                </c:pt>
                <c:pt idx="133">
                  <c:v>3.5126381983529106E-12</c:v>
                </c:pt>
                <c:pt idx="134">
                  <c:v>3.5126381983529106E-12</c:v>
                </c:pt>
                <c:pt idx="135">
                  <c:v>3.5126381983529106E-12</c:v>
                </c:pt>
                <c:pt idx="136">
                  <c:v>3.5126381983529106E-12</c:v>
                </c:pt>
                <c:pt idx="137">
                  <c:v>3.5126381983529106E-12</c:v>
                </c:pt>
                <c:pt idx="138">
                  <c:v>3.5126381983529106E-12</c:v>
                </c:pt>
                <c:pt idx="139">
                  <c:v>3.5126381983529106E-12</c:v>
                </c:pt>
                <c:pt idx="140">
                  <c:v>3.5126381983529106E-12</c:v>
                </c:pt>
                <c:pt idx="141">
                  <c:v>3.5126381983529106E-12</c:v>
                </c:pt>
                <c:pt idx="142">
                  <c:v>3.5126381983529106E-12</c:v>
                </c:pt>
                <c:pt idx="143">
                  <c:v>3.5126381983529106E-12</c:v>
                </c:pt>
                <c:pt idx="144">
                  <c:v>3.5126381983529106E-12</c:v>
                </c:pt>
                <c:pt idx="145">
                  <c:v>3.5126381983529106E-12</c:v>
                </c:pt>
                <c:pt idx="146">
                  <c:v>3.5126381983529106E-12</c:v>
                </c:pt>
                <c:pt idx="147">
                  <c:v>3.5126381983529106E-12</c:v>
                </c:pt>
                <c:pt idx="148">
                  <c:v>3.5126381983529106E-12</c:v>
                </c:pt>
                <c:pt idx="149">
                  <c:v>3.5126381983529106E-12</c:v>
                </c:pt>
                <c:pt idx="150">
                  <c:v>3.5126381983529106E-12</c:v>
                </c:pt>
                <c:pt idx="151">
                  <c:v>3.5126381983529106E-12</c:v>
                </c:pt>
                <c:pt idx="152">
                  <c:v>3.5126381983529106E-12</c:v>
                </c:pt>
                <c:pt idx="153">
                  <c:v>3.5126381983529106E-12</c:v>
                </c:pt>
                <c:pt idx="154">
                  <c:v>3.5126381983529106E-12</c:v>
                </c:pt>
                <c:pt idx="155">
                  <c:v>3.5126381983529106E-12</c:v>
                </c:pt>
                <c:pt idx="156">
                  <c:v>3.5126381983529106E-12</c:v>
                </c:pt>
                <c:pt idx="157">
                  <c:v>3.5126381983529106E-12</c:v>
                </c:pt>
                <c:pt idx="158">
                  <c:v>3.5126381983529106E-12</c:v>
                </c:pt>
                <c:pt idx="159">
                  <c:v>3.5126381983529106E-12</c:v>
                </c:pt>
                <c:pt idx="160">
                  <c:v>3.5126381983529106E-12</c:v>
                </c:pt>
                <c:pt idx="161">
                  <c:v>3.5126381983529106E-12</c:v>
                </c:pt>
                <c:pt idx="162">
                  <c:v>3.5126381983529106E-12</c:v>
                </c:pt>
                <c:pt idx="163">
                  <c:v>3.5126381983529106E-12</c:v>
                </c:pt>
                <c:pt idx="164">
                  <c:v>3.5126381983529106E-12</c:v>
                </c:pt>
                <c:pt idx="165">
                  <c:v>3.5126381983529106E-12</c:v>
                </c:pt>
                <c:pt idx="166">
                  <c:v>3.5126381983529106E-12</c:v>
                </c:pt>
                <c:pt idx="167">
                  <c:v>3.5126381983529106E-12</c:v>
                </c:pt>
                <c:pt idx="168">
                  <c:v>3.5126381983529106E-12</c:v>
                </c:pt>
                <c:pt idx="169">
                  <c:v>3.5126381983529106E-12</c:v>
                </c:pt>
                <c:pt idx="170">
                  <c:v>3.5126381983529106E-12</c:v>
                </c:pt>
                <c:pt idx="171">
                  <c:v>3.5126381983529106E-12</c:v>
                </c:pt>
                <c:pt idx="172">
                  <c:v>3.5126381983529106E-12</c:v>
                </c:pt>
                <c:pt idx="173">
                  <c:v>3.5126381983529106E-12</c:v>
                </c:pt>
                <c:pt idx="174">
                  <c:v>3.5126381983529106E-12</c:v>
                </c:pt>
                <c:pt idx="175">
                  <c:v>3.5126381983529106E-12</c:v>
                </c:pt>
                <c:pt idx="176">
                  <c:v>3.5126381983529106E-12</c:v>
                </c:pt>
                <c:pt idx="177">
                  <c:v>3.5126381983529106E-12</c:v>
                </c:pt>
                <c:pt idx="178">
                  <c:v>3.5126381983529106E-12</c:v>
                </c:pt>
                <c:pt idx="179">
                  <c:v>3.5126381983529106E-12</c:v>
                </c:pt>
                <c:pt idx="180">
                  <c:v>3.5126381983529106E-12</c:v>
                </c:pt>
                <c:pt idx="181">
                  <c:v>3.5126381983529106E-12</c:v>
                </c:pt>
                <c:pt idx="182">
                  <c:v>3.5126381983529106E-12</c:v>
                </c:pt>
                <c:pt idx="183">
                  <c:v>3.5126381983529106E-12</c:v>
                </c:pt>
                <c:pt idx="184">
                  <c:v>3.5126381983529106E-12</c:v>
                </c:pt>
                <c:pt idx="185">
                  <c:v>3.5126381983529106E-12</c:v>
                </c:pt>
                <c:pt idx="186">
                  <c:v>3.5126381983529106E-12</c:v>
                </c:pt>
                <c:pt idx="187">
                  <c:v>3.5126381983529106E-12</c:v>
                </c:pt>
                <c:pt idx="188">
                  <c:v>3.5126381983529106E-12</c:v>
                </c:pt>
                <c:pt idx="189">
                  <c:v>3.5126381983529106E-12</c:v>
                </c:pt>
                <c:pt idx="190">
                  <c:v>3.5126381983529106E-12</c:v>
                </c:pt>
                <c:pt idx="191">
                  <c:v>3.5126381983529106E-12</c:v>
                </c:pt>
                <c:pt idx="192">
                  <c:v>3.5126381983529106E-12</c:v>
                </c:pt>
                <c:pt idx="193">
                  <c:v>3.5126381983529106E-12</c:v>
                </c:pt>
                <c:pt idx="194">
                  <c:v>3.5126381983529106E-12</c:v>
                </c:pt>
                <c:pt idx="195">
                  <c:v>3.5126381983529106E-12</c:v>
                </c:pt>
                <c:pt idx="196">
                  <c:v>3.5126381983529106E-12</c:v>
                </c:pt>
                <c:pt idx="197">
                  <c:v>3.5126381983529106E-12</c:v>
                </c:pt>
                <c:pt idx="198">
                  <c:v>3.5126381983529106E-12</c:v>
                </c:pt>
                <c:pt idx="199">
                  <c:v>3.5126381983529106E-12</c:v>
                </c:pt>
                <c:pt idx="200">
                  <c:v>3.5126381983529106E-12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3.2640808700839465</c:v>
                </c:pt>
                <c:pt idx="2">
                  <c:v>3.8473884380647303</c:v>
                </c:pt>
                <c:pt idx="3">
                  <c:v>4.5353145013371234</c:v>
                </c:pt>
                <c:pt idx="4">
                  <c:v>5.3466868240750793</c:v>
                </c:pt>
                <c:pt idx="5">
                  <c:v>6.3037323177501152</c:v>
                </c:pt>
                <c:pt idx="6">
                  <c:v>7.4326925326737205</c:v>
                </c:pt>
                <c:pt idx="7">
                  <c:v>8.764550901525082</c:v>
                </c:pt>
                <c:pt idx="8">
                  <c:v>10.335892075827095</c:v>
                </c:pt>
                <c:pt idx="9">
                  <c:v>12.189917407206755</c:v>
                </c:pt>
                <c:pt idx="10">
                  <c:v>14.377645014537597</c:v>
                </c:pt>
                <c:pt idx="11">
                  <c:v>16.959328069960929</c:v>
                </c:pt>
                <c:pt idx="12">
                  <c:v>20.006131078363016</c:v>
                </c:pt>
                <c:pt idx="13">
                  <c:v>23.60211119017487</c:v>
                </c:pt>
                <c:pt idx="14">
                  <c:v>27.846560182328759</c:v>
                </c:pt>
                <c:pt idx="15">
                  <c:v>32.856772910635023</c:v>
                </c:pt>
                <c:pt idx="16">
                  <c:v>38.771320067284059</c:v>
                </c:pt>
                <c:pt idx="17">
                  <c:v>45.753917311177169</c:v>
                </c:pt>
                <c:pt idx="18">
                  <c:v>53.997999680643453</c:v>
                </c:pt>
                <c:pt idx="19">
                  <c:v>63.732130126385506</c:v>
                </c:pt>
                <c:pt idx="20">
                  <c:v>75.226394583760239</c:v>
                </c:pt>
                <c:pt idx="21">
                  <c:v>88.799963908422725</c:v>
                </c:pt>
                <c:pt idx="22">
                  <c:v>104.83003602194374</c:v>
                </c:pt>
                <c:pt idx="23">
                  <c:v>123.76241069427073</c:v>
                </c:pt>
                <c:pt idx="24">
                  <c:v>146.12399564075659</c:v>
                </c:pt>
                <c:pt idx="25">
                  <c:v>172.53759735059677</c:v>
                </c:pt>
                <c:pt idx="26">
                  <c:v>170.16858903875504</c:v>
                </c:pt>
                <c:pt idx="27">
                  <c:v>186.73598138519097</c:v>
                </c:pt>
                <c:pt idx="28">
                  <c:v>203.26907123098991</c:v>
                </c:pt>
                <c:pt idx="29">
                  <c:v>219.7710421086791</c:v>
                </c:pt>
                <c:pt idx="30">
                  <c:v>236.24455995422258</c:v>
                </c:pt>
                <c:pt idx="31">
                  <c:v>205.15653155887526</c:v>
                </c:pt>
                <c:pt idx="32">
                  <c:v>223.53883865086948</c:v>
                </c:pt>
                <c:pt idx="33">
                  <c:v>241.88649024382281</c:v>
                </c:pt>
                <c:pt idx="34">
                  <c:v>260.20248480859658</c:v>
                </c:pt>
                <c:pt idx="35">
                  <c:v>278.48936400091264</c:v>
                </c:pt>
                <c:pt idx="36">
                  <c:v>248.93470217300015</c:v>
                </c:pt>
                <c:pt idx="37">
                  <c:v>268.64606128457052</c:v>
                </c:pt>
                <c:pt idx="38">
                  <c:v>288.32486214429105</c:v>
                </c:pt>
                <c:pt idx="39">
                  <c:v>307.97363884700081</c:v>
                </c:pt>
                <c:pt idx="40">
                  <c:v>327.59457571710396</c:v>
                </c:pt>
                <c:pt idx="41">
                  <c:v>298.15285967061311</c:v>
                </c:pt>
                <c:pt idx="42">
                  <c:v>317.78746245668026</c:v>
                </c:pt>
                <c:pt idx="43">
                  <c:v>337.39520795625032</c:v>
                </c:pt>
                <c:pt idx="44">
                  <c:v>356.97787588797138</c:v>
                </c:pt>
                <c:pt idx="45">
                  <c:v>376.53703482084643</c:v>
                </c:pt>
                <c:pt idx="46">
                  <c:v>347.18957408387132</c:v>
                </c:pt>
                <c:pt idx="47">
                  <c:v>366.7603031815986</c:v>
                </c:pt>
                <c:pt idx="48">
                  <c:v>386.30823961156813</c:v>
                </c:pt>
                <c:pt idx="49">
                  <c:v>405.83469839649644</c:v>
                </c:pt>
                <c:pt idx="50">
                  <c:v>425.34085774511055</c:v>
                </c:pt>
                <c:pt idx="51">
                  <c:v>395.14422440751974</c:v>
                </c:pt>
                <c:pt idx="52">
                  <c:v>413.73243167051174</c:v>
                </c:pt>
                <c:pt idx="53">
                  <c:v>432.30262904622128</c:v>
                </c:pt>
                <c:pt idx="54">
                  <c:v>450.85569864825902</c:v>
                </c:pt>
                <c:pt idx="55">
                  <c:v>469.39244410483224</c:v>
                </c:pt>
                <c:pt idx="56">
                  <c:v>437.87031035511905</c:v>
                </c:pt>
                <c:pt idx="57">
                  <c:v>455.02786244873755</c:v>
                </c:pt>
                <c:pt idx="58">
                  <c:v>472.17159422788433</c:v>
                </c:pt>
                <c:pt idx="59">
                  <c:v>489.30207788857643</c:v>
                </c:pt>
                <c:pt idx="60">
                  <c:v>506.41984231344054</c:v>
                </c:pt>
                <c:pt idx="61">
                  <c:v>474.48728651141619</c:v>
                </c:pt>
                <c:pt idx="62">
                  <c:v>491.15325117467387</c:v>
                </c:pt>
                <c:pt idx="63">
                  <c:v>507.80722686130639</c:v>
                </c:pt>
                <c:pt idx="64">
                  <c:v>524.44966192682341</c:v>
                </c:pt>
                <c:pt idx="65">
                  <c:v>541.08097396557207</c:v>
                </c:pt>
                <c:pt idx="66">
                  <c:v>508.26967055923751</c:v>
                </c:pt>
                <c:pt idx="67">
                  <c:v>523.98752412500369</c:v>
                </c:pt>
                <c:pt idx="68">
                  <c:v>539.69544644774476</c:v>
                </c:pt>
                <c:pt idx="69">
                  <c:v>555.39376714784134</c:v>
                </c:pt>
                <c:pt idx="70">
                  <c:v>571.08279570212301</c:v>
                </c:pt>
                <c:pt idx="71">
                  <c:v>537.38606772027094</c:v>
                </c:pt>
                <c:pt idx="72">
                  <c:v>552.16252944113296</c:v>
                </c:pt>
                <c:pt idx="73">
                  <c:v>566.93070515400962</c:v>
                </c:pt>
                <c:pt idx="74">
                  <c:v>581.69084101063834</c:v>
                </c:pt>
                <c:pt idx="75">
                  <c:v>596.44316965824521</c:v>
                </c:pt>
                <c:pt idx="76">
                  <c:v>561.85506373443229</c:v>
                </c:pt>
                <c:pt idx="77">
                  <c:v>575.69549027219546</c:v>
                </c:pt>
                <c:pt idx="78">
                  <c:v>589.52897342041706</c:v>
                </c:pt>
                <c:pt idx="79">
                  <c:v>603.3556989939525</c:v>
                </c:pt>
                <c:pt idx="80">
                  <c:v>617.17584360068338</c:v>
                </c:pt>
                <c:pt idx="81">
                  <c:v>581.69084101063834</c:v>
                </c:pt>
                <c:pt idx="82">
                  <c:v>594.59954789334006</c:v>
                </c:pt>
                <c:pt idx="83">
                  <c:v>607.50242557106083</c:v>
                </c:pt>
                <c:pt idx="84">
                  <c:v>620.39961525018305</c:v>
                </c:pt>
                <c:pt idx="85">
                  <c:v>633.29125178984293</c:v>
                </c:pt>
                <c:pt idx="86">
                  <c:v>597.36493606498743</c:v>
                </c:pt>
                <c:pt idx="87">
                  <c:v>609.80590835837836</c:v>
                </c:pt>
                <c:pt idx="88">
                  <c:v>622.24161453170791</c:v>
                </c:pt>
                <c:pt idx="89">
                  <c:v>634.672174622233</c:v>
                </c:pt>
                <c:pt idx="90">
                  <c:v>647.0977035836421</c:v>
                </c:pt>
                <c:pt idx="91">
                  <c:v>610.26658322144294</c:v>
                </c:pt>
                <c:pt idx="92">
                  <c:v>621.78112531404167</c:v>
                </c:pt>
                <c:pt idx="93">
                  <c:v>633.2912517898427</c:v>
                </c:pt>
                <c:pt idx="94">
                  <c:v>644.79705418857907</c:v>
                </c:pt>
                <c:pt idx="95">
                  <c:v>656.29862051784391</c:v>
                </c:pt>
                <c:pt idx="96">
                  <c:v>619.01804144415848</c:v>
                </c:pt>
                <c:pt idx="97">
                  <c:v>630.06885611347434</c:v>
                </c:pt>
                <c:pt idx="98">
                  <c:v>641.11566244960977</c:v>
                </c:pt>
                <c:pt idx="99">
                  <c:v>652.15853923289092</c:v>
                </c:pt>
                <c:pt idx="100">
                  <c:v>663.19756235900888</c:v>
                </c:pt>
                <c:pt idx="101">
                  <c:v>625.00440181709939</c:v>
                </c:pt>
                <c:pt idx="102">
                  <c:v>635.13246842366596</c:v>
                </c:pt>
                <c:pt idx="103">
                  <c:v>645.25719760007814</c:v>
                </c:pt>
                <c:pt idx="104">
                  <c:v>655.37864908413997</c:v>
                </c:pt>
                <c:pt idx="105">
                  <c:v>665.496880618516</c:v>
                </c:pt>
                <c:pt idx="106">
                  <c:v>629.14810909509595</c:v>
                </c:pt>
                <c:pt idx="107">
                  <c:v>638.81457108732468</c:v>
                </c:pt>
                <c:pt idx="108">
                  <c:v>648.47801217956487</c:v>
                </c:pt>
                <c:pt idx="109">
                  <c:v>658.13848372589803</c:v>
                </c:pt>
                <c:pt idx="110">
                  <c:v>667.79603545019597</c:v>
                </c:pt>
                <c:pt idx="111">
                  <c:v>632.8309303505863</c:v>
                </c:pt>
                <c:pt idx="112">
                  <c:v>641.57586023448448</c:v>
                </c:pt>
                <c:pt idx="113">
                  <c:v>650.31832939913795</c:v>
                </c:pt>
                <c:pt idx="114">
                  <c:v>659.05837558503674</c:v>
                </c:pt>
                <c:pt idx="115">
                  <c:v>667.7960354501962</c:v>
                </c:pt>
                <c:pt idx="116">
                  <c:v>634.67217462223289</c:v>
                </c:pt>
                <c:pt idx="117">
                  <c:v>642.95641271459499</c:v>
                </c:pt>
                <c:pt idx="118">
                  <c:v>651.2384477175716</c:v>
                </c:pt>
                <c:pt idx="119">
                  <c:v>659.51831159686878</c:v>
                </c:pt>
                <c:pt idx="120">
                  <c:v>667.79603545019643</c:v>
                </c:pt>
                <c:pt idx="121">
                  <c:v>3.3837175350986671E-12</c:v>
                </c:pt>
                <c:pt idx="122">
                  <c:v>3.3837175350986671E-12</c:v>
                </c:pt>
                <c:pt idx="123">
                  <c:v>3.3837175350986671E-12</c:v>
                </c:pt>
                <c:pt idx="124">
                  <c:v>3.3837175350986671E-12</c:v>
                </c:pt>
                <c:pt idx="125">
                  <c:v>3.3837175350986671E-12</c:v>
                </c:pt>
                <c:pt idx="126">
                  <c:v>3.3837175350986671E-12</c:v>
                </c:pt>
                <c:pt idx="127">
                  <c:v>3.3837175350986671E-12</c:v>
                </c:pt>
                <c:pt idx="128">
                  <c:v>3.3837175350986671E-12</c:v>
                </c:pt>
                <c:pt idx="129">
                  <c:v>3.3837175350986671E-12</c:v>
                </c:pt>
                <c:pt idx="130">
                  <c:v>3.3837175350986671E-12</c:v>
                </c:pt>
                <c:pt idx="131">
                  <c:v>3.3837175350986671E-12</c:v>
                </c:pt>
                <c:pt idx="132">
                  <c:v>3.3837175350986671E-12</c:v>
                </c:pt>
                <c:pt idx="133">
                  <c:v>3.3837175350986671E-12</c:v>
                </c:pt>
                <c:pt idx="134">
                  <c:v>3.3837175350986671E-12</c:v>
                </c:pt>
                <c:pt idx="135">
                  <c:v>3.3837175350986671E-12</c:v>
                </c:pt>
                <c:pt idx="136">
                  <c:v>3.3837175350986671E-12</c:v>
                </c:pt>
                <c:pt idx="137">
                  <c:v>3.3837175350986671E-12</c:v>
                </c:pt>
                <c:pt idx="138">
                  <c:v>3.3837175350986671E-12</c:v>
                </c:pt>
                <c:pt idx="139">
                  <c:v>3.3837175350986671E-12</c:v>
                </c:pt>
                <c:pt idx="140">
                  <c:v>3.3837175350986671E-12</c:v>
                </c:pt>
                <c:pt idx="141">
                  <c:v>3.3837175350986671E-12</c:v>
                </c:pt>
                <c:pt idx="142">
                  <c:v>3.3837175350986671E-12</c:v>
                </c:pt>
                <c:pt idx="143">
                  <c:v>3.3837175350986671E-12</c:v>
                </c:pt>
                <c:pt idx="144">
                  <c:v>3.3837175350986671E-12</c:v>
                </c:pt>
                <c:pt idx="145">
                  <c:v>3.3837175350986671E-12</c:v>
                </c:pt>
                <c:pt idx="146">
                  <c:v>3.3837175350986671E-12</c:v>
                </c:pt>
                <c:pt idx="147">
                  <c:v>3.3837175350986671E-12</c:v>
                </c:pt>
                <c:pt idx="148">
                  <c:v>3.3837175350986671E-12</c:v>
                </c:pt>
                <c:pt idx="149">
                  <c:v>3.3837175350986671E-12</c:v>
                </c:pt>
                <c:pt idx="150">
                  <c:v>3.3837175350986671E-12</c:v>
                </c:pt>
                <c:pt idx="151">
                  <c:v>3.3837175350986671E-12</c:v>
                </c:pt>
                <c:pt idx="152">
                  <c:v>3.3837175350986671E-12</c:v>
                </c:pt>
                <c:pt idx="153">
                  <c:v>3.3837175350986671E-12</c:v>
                </c:pt>
                <c:pt idx="154">
                  <c:v>3.3837175350986671E-12</c:v>
                </c:pt>
                <c:pt idx="155">
                  <c:v>3.3837175350986671E-12</c:v>
                </c:pt>
                <c:pt idx="156">
                  <c:v>3.3837175350986671E-12</c:v>
                </c:pt>
                <c:pt idx="157">
                  <c:v>3.3837175350986671E-12</c:v>
                </c:pt>
                <c:pt idx="158">
                  <c:v>3.3837175350986671E-12</c:v>
                </c:pt>
                <c:pt idx="159">
                  <c:v>3.3837175350986671E-12</c:v>
                </c:pt>
                <c:pt idx="160">
                  <c:v>3.3837175350986671E-12</c:v>
                </c:pt>
                <c:pt idx="161">
                  <c:v>3.3837175350986671E-12</c:v>
                </c:pt>
                <c:pt idx="162">
                  <c:v>3.3837175350986671E-12</c:v>
                </c:pt>
                <c:pt idx="163">
                  <c:v>3.3837175350986671E-12</c:v>
                </c:pt>
                <c:pt idx="164">
                  <c:v>3.3837175350986671E-12</c:v>
                </c:pt>
                <c:pt idx="165">
                  <c:v>3.3837175350986671E-12</c:v>
                </c:pt>
                <c:pt idx="166">
                  <c:v>3.3837175350986671E-12</c:v>
                </c:pt>
                <c:pt idx="167">
                  <c:v>3.3837175350986671E-12</c:v>
                </c:pt>
                <c:pt idx="168">
                  <c:v>3.3837175350986671E-12</c:v>
                </c:pt>
                <c:pt idx="169">
                  <c:v>3.3837175350986671E-12</c:v>
                </c:pt>
                <c:pt idx="170">
                  <c:v>3.3837175350986671E-12</c:v>
                </c:pt>
                <c:pt idx="171">
                  <c:v>3.3837175350986671E-12</c:v>
                </c:pt>
                <c:pt idx="172">
                  <c:v>3.3837175350986671E-12</c:v>
                </c:pt>
                <c:pt idx="173">
                  <c:v>3.3837175350986671E-12</c:v>
                </c:pt>
                <c:pt idx="174">
                  <c:v>3.3837175350986671E-12</c:v>
                </c:pt>
                <c:pt idx="175">
                  <c:v>3.3837175350986671E-12</c:v>
                </c:pt>
                <c:pt idx="176">
                  <c:v>3.3837175350986671E-12</c:v>
                </c:pt>
                <c:pt idx="177">
                  <c:v>3.3837175350986671E-12</c:v>
                </c:pt>
                <c:pt idx="178">
                  <c:v>3.3837175350986671E-12</c:v>
                </c:pt>
                <c:pt idx="179">
                  <c:v>3.3837175350986671E-12</c:v>
                </c:pt>
                <c:pt idx="180">
                  <c:v>3.3837175350986671E-12</c:v>
                </c:pt>
                <c:pt idx="181">
                  <c:v>3.3837175350986671E-12</c:v>
                </c:pt>
                <c:pt idx="182">
                  <c:v>3.3837175350986671E-12</c:v>
                </c:pt>
                <c:pt idx="183">
                  <c:v>3.3837175350986671E-12</c:v>
                </c:pt>
                <c:pt idx="184">
                  <c:v>3.3837175350986671E-12</c:v>
                </c:pt>
                <c:pt idx="185">
                  <c:v>3.3837175350986671E-12</c:v>
                </c:pt>
                <c:pt idx="186">
                  <c:v>3.3837175350986671E-12</c:v>
                </c:pt>
                <c:pt idx="187">
                  <c:v>3.3837175350986671E-12</c:v>
                </c:pt>
                <c:pt idx="188">
                  <c:v>3.3837175350986671E-12</c:v>
                </c:pt>
                <c:pt idx="189">
                  <c:v>3.3837175350986671E-12</c:v>
                </c:pt>
                <c:pt idx="190">
                  <c:v>3.3837175350986671E-12</c:v>
                </c:pt>
                <c:pt idx="191">
                  <c:v>3.3837175350986671E-12</c:v>
                </c:pt>
                <c:pt idx="192">
                  <c:v>3.3837175350986671E-12</c:v>
                </c:pt>
                <c:pt idx="193">
                  <c:v>3.3837175350986671E-12</c:v>
                </c:pt>
                <c:pt idx="194">
                  <c:v>3.3837175350986671E-12</c:v>
                </c:pt>
                <c:pt idx="195">
                  <c:v>3.3837175350986671E-12</c:v>
                </c:pt>
                <c:pt idx="196">
                  <c:v>3.3837175350986671E-12</c:v>
                </c:pt>
                <c:pt idx="197">
                  <c:v>3.3837175350986671E-12</c:v>
                </c:pt>
                <c:pt idx="198">
                  <c:v>3.3837175350986671E-12</c:v>
                </c:pt>
                <c:pt idx="199">
                  <c:v>3.3837175350986671E-12</c:v>
                </c:pt>
                <c:pt idx="200">
                  <c:v>3.3837175350986671E-12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1.4510163117544339</c:v>
                </c:pt>
                <c:pt idx="2">
                  <c:v>1.7182720127011295</c:v>
                </c:pt>
                <c:pt idx="3">
                  <c:v>2.0349393412568815</c:v>
                </c:pt>
                <c:pt idx="4">
                  <c:v>2.4101865717740352</c:v>
                </c:pt>
                <c:pt idx="5">
                  <c:v>2.8548888689670626</c:v>
                </c:pt>
                <c:pt idx="6">
                  <c:v>3.3819470622862799</c:v>
                </c:pt>
                <c:pt idx="7">
                  <c:v>4.0066661265715924</c:v>
                </c:pt>
                <c:pt idx="8">
                  <c:v>4.7472045818179396</c:v>
                </c:pt>
                <c:pt idx="9">
                  <c:v>5.6251081358022832</c:v>
                </c:pt>
                <c:pt idx="10">
                  <c:v>6.66594340252517</c:v>
                </c:pt>
                <c:pt idx="11">
                  <c:v>7.9000505122077564</c:v>
                </c:pt>
                <c:pt idx="12">
                  <c:v>9.3634369745195816</c:v>
                </c:pt>
                <c:pt idx="13">
                  <c:v>11.098839372322871</c:v>
                </c:pt>
                <c:pt idx="14">
                  <c:v>13.156984475223274</c:v>
                </c:pt>
                <c:pt idx="15">
                  <c:v>15.598087321351393</c:v>
                </c:pt>
                <c:pt idx="16">
                  <c:v>18.493630901380524</c:v>
                </c:pt>
                <c:pt idx="17">
                  <c:v>21.928480504136356</c:v>
                </c:pt>
                <c:pt idx="18">
                  <c:v>26.003395802062048</c:v>
                </c:pt>
                <c:pt idx="19">
                  <c:v>30.838015669207337</c:v>
                </c:pt>
                <c:pt idx="20">
                  <c:v>36.574404893556029</c:v>
                </c:pt>
                <c:pt idx="21">
                  <c:v>43.381268796828387</c:v>
                </c:pt>
                <c:pt idx="22">
                  <c:v>51.458961816982743</c:v>
                </c:pt>
                <c:pt idx="23">
                  <c:v>61.045439946672957</c:v>
                </c:pt>
                <c:pt idx="24">
                  <c:v>72.423335275022851</c:v>
                </c:pt>
                <c:pt idx="25">
                  <c:v>85.928364607203278</c:v>
                </c:pt>
                <c:pt idx="26">
                  <c:v>101.95932425623626</c:v>
                </c:pt>
                <c:pt idx="27">
                  <c:v>120.98997082782786</c:v>
                </c:pt>
                <c:pt idx="28">
                  <c:v>143.58314459619342</c:v>
                </c:pt>
                <c:pt idx="29">
                  <c:v>170.40755961577079</c:v>
                </c:pt>
                <c:pt idx="30">
                  <c:v>202.25776507632233</c:v>
                </c:pt>
                <c:pt idx="31">
                  <c:v>219.43455992571219</c:v>
                </c:pt>
                <c:pt idx="32">
                  <c:v>236.58047440215805</c:v>
                </c:pt>
                <c:pt idx="33">
                  <c:v>253.69806161385125</c:v>
                </c:pt>
                <c:pt idx="34">
                  <c:v>270.78950182200458</c:v>
                </c:pt>
                <c:pt idx="35">
                  <c:v>287.85667749117107</c:v>
                </c:pt>
                <c:pt idx="36">
                  <c:v>307.47751968587681</c:v>
                </c:pt>
                <c:pt idx="37">
                  <c:v>327.07055190951706</c:v>
                </c:pt>
                <c:pt idx="38">
                  <c:v>346.63767379575575</c:v>
                </c:pt>
                <c:pt idx="39">
                  <c:v>366.18055305066923</c:v>
                </c:pt>
                <c:pt idx="40">
                  <c:v>385.70066489261848</c:v>
                </c:pt>
                <c:pt idx="41">
                  <c:v>405.19932308802726</c:v>
                </c:pt>
                <c:pt idx="42">
                  <c:v>424.67770470015256</c:v>
                </c:pt>
                <c:pt idx="43">
                  <c:v>263.75488986167073</c:v>
                </c:pt>
                <c:pt idx="44">
                  <c:v>281.33374857482306</c:v>
                </c:pt>
                <c:pt idx="45">
                  <c:v>298.88799440275955</c:v>
                </c:pt>
                <c:pt idx="46">
                  <c:v>316.41927606814937</c:v>
                </c:pt>
                <c:pt idx="47">
                  <c:v>333.92904467751265</c:v>
                </c:pt>
                <c:pt idx="48">
                  <c:v>351.41858674477544</c:v>
                </c:pt>
                <c:pt idx="49">
                  <c:v>368.88905029363542</c:v>
                </c:pt>
                <c:pt idx="50">
                  <c:v>285.84997848413349</c:v>
                </c:pt>
                <c:pt idx="51">
                  <c:v>302.89711380319778</c:v>
                </c:pt>
                <c:pt idx="52">
                  <c:v>319.92290747907685</c:v>
                </c:pt>
                <c:pt idx="53">
                  <c:v>336.92865492077641</c:v>
                </c:pt>
                <c:pt idx="54">
                  <c:v>353.91551010384433</c:v>
                </c:pt>
                <c:pt idx="55">
                  <c:v>370.8845072011041</c:v>
                </c:pt>
                <c:pt idx="56">
                  <c:v>387.83657804664409</c:v>
                </c:pt>
                <c:pt idx="57">
                  <c:v>323.92601839985667</c:v>
                </c:pt>
                <c:pt idx="58">
                  <c:v>340.5940472434072</c:v>
                </c:pt>
                <c:pt idx="59">
                  <c:v>357.24414130207191</c:v>
                </c:pt>
                <c:pt idx="60">
                  <c:v>373.87725393504792</c:v>
                </c:pt>
                <c:pt idx="61">
                  <c:v>390.49424676672476</c:v>
                </c:pt>
                <c:pt idx="62">
                  <c:v>407.09590212284866</c:v>
                </c:pt>
                <c:pt idx="63">
                  <c:v>423.68293333202695</c:v>
                </c:pt>
                <c:pt idx="64">
                  <c:v>360.90485169292782</c:v>
                </c:pt>
                <c:pt idx="65">
                  <c:v>377.01195254107012</c:v>
                </c:pt>
                <c:pt idx="66">
                  <c:v>393.10407505348206</c:v>
                </c:pt>
                <c:pt idx="67">
                  <c:v>409.18191855919605</c:v>
                </c:pt>
                <c:pt idx="68">
                  <c:v>425.24612295883844</c:v>
                </c:pt>
                <c:pt idx="69">
                  <c:v>441.29727587562394</c:v>
                </c:pt>
                <c:pt idx="70">
                  <c:v>457.33591871178055</c:v>
                </c:pt>
                <c:pt idx="71">
                  <c:v>473.36255181121805</c:v>
                </c:pt>
                <c:pt idx="72">
                  <c:v>397.80082102983096</c:v>
                </c:pt>
                <c:pt idx="73">
                  <c:v>412.87929311615432</c:v>
                </c:pt>
                <c:pt idx="74">
                  <c:v>427.9458868443873</c:v>
                </c:pt>
                <c:pt idx="75">
                  <c:v>443.00107921654762</c:v>
                </c:pt>
                <c:pt idx="76">
                  <c:v>458.04531217587032</c:v>
                </c:pt>
                <c:pt idx="77">
                  <c:v>473.07899627438695</c:v>
                </c:pt>
                <c:pt idx="78">
                  <c:v>488.10251385009468</c:v>
                </c:pt>
                <c:pt idx="79">
                  <c:v>503.11622179266891</c:v>
                </c:pt>
                <c:pt idx="80">
                  <c:v>430.64528450788265</c:v>
                </c:pt>
                <c:pt idx="81">
                  <c:v>444.70474213522584</c:v>
                </c:pt>
                <c:pt idx="82">
                  <c:v>458.75468217404813</c:v>
                </c:pt>
                <c:pt idx="83">
                  <c:v>472.79543711904148</c:v>
                </c:pt>
                <c:pt idx="84">
                  <c:v>486.82731810980704</c:v>
                </c:pt>
                <c:pt idx="85">
                  <c:v>500.85061689127627</c:v>
                </c:pt>
                <c:pt idx="86">
                  <c:v>514.86560754318418</c:v>
                </c:pt>
                <c:pt idx="87">
                  <c:v>528.87254801147901</c:v>
                </c:pt>
                <c:pt idx="88">
                  <c:v>454.4981093621966</c:v>
                </c:pt>
                <c:pt idx="89">
                  <c:v>467.40712233198633</c:v>
                </c:pt>
                <c:pt idx="90">
                  <c:v>480.30853891265838</c:v>
                </c:pt>
                <c:pt idx="91">
                  <c:v>493.20259187340326</c:v>
                </c:pt>
                <c:pt idx="92">
                  <c:v>506.08950082174624</c:v>
                </c:pt>
                <c:pt idx="93">
                  <c:v>518.96947327099576</c:v>
                </c:pt>
                <c:pt idx="94">
                  <c:v>531.84270559622928</c:v>
                </c:pt>
                <c:pt idx="95">
                  <c:v>544.70938389292303</c:v>
                </c:pt>
                <c:pt idx="96">
                  <c:v>287.85667749117147</c:v>
                </c:pt>
                <c:pt idx="97">
                  <c:v>296.43738794697089</c:v>
                </c:pt>
                <c:pt idx="98">
                  <c:v>305.01256073997416</c:v>
                </c:pt>
                <c:pt idx="99">
                  <c:v>313.58237364476804</c:v>
                </c:pt>
                <c:pt idx="100">
                  <c:v>322.14699391797217</c:v>
                </c:pt>
                <c:pt idx="101">
                  <c:v>330.70657918974769</c:v>
                </c:pt>
                <c:pt idx="102">
                  <c:v>339.2612782581262</c:v>
                </c:pt>
                <c:pt idx="103">
                  <c:v>347.81123179898628</c:v>
                </c:pt>
                <c:pt idx="104">
                  <c:v>356.35657300253342</c:v>
                </c:pt>
                <c:pt idx="105">
                  <c:v>364.89742814550806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I272" sqref="I27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38.4</v>
      </c>
      <c r="D5" s="305" t="s">
        <v>229</v>
      </c>
      <c r="E5" s="306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2" t="s">
        <v>226</v>
      </c>
      <c r="B7" s="302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324</v>
      </c>
      <c r="C9" s="35">
        <v>0.496</v>
      </c>
      <c r="D9" s="36">
        <f t="shared" ref="D9:D18" si="0">C9*$C$5</f>
        <v>19.046399999999998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326</v>
      </c>
      <c r="C10" s="35">
        <v>9.6000000000000002E-2</v>
      </c>
      <c r="D10" s="36">
        <f t="shared" si="0"/>
        <v>3.6863999999999999</v>
      </c>
      <c r="E10" s="37">
        <v>38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325</v>
      </c>
      <c r="C11" s="35">
        <v>2.5000000000000001E-2</v>
      </c>
      <c r="D11" s="36">
        <f t="shared" si="0"/>
        <v>0.96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327</v>
      </c>
      <c r="C12" s="35">
        <v>4.2000000000000003E-2</v>
      </c>
      <c r="D12" s="36">
        <f t="shared" si="0"/>
        <v>1.6128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328</v>
      </c>
      <c r="C13" s="35">
        <v>8.0000000000000002E-3</v>
      </c>
      <c r="D13" s="36">
        <f t="shared" si="0"/>
        <v>0.30719999999999997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13</v>
      </c>
      <c r="C14" s="35">
        <v>2.4E-2</v>
      </c>
      <c r="D14" s="36">
        <f t="shared" si="0"/>
        <v>0.92159999999999997</v>
      </c>
      <c r="E14" s="37">
        <v>90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16</v>
      </c>
      <c r="C15" s="35">
        <v>1.6E-2</v>
      </c>
      <c r="D15" s="36">
        <f t="shared" si="0"/>
        <v>0.61439999999999995</v>
      </c>
      <c r="E15" s="37">
        <v>120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10</v>
      </c>
      <c r="C16" s="35">
        <v>1.6E-2</v>
      </c>
      <c r="D16" s="36">
        <f t="shared" si="0"/>
        <v>0.61439999999999995</v>
      </c>
      <c r="E16" s="37">
        <v>120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164</v>
      </c>
      <c r="C17" s="35">
        <v>4.99E-2</v>
      </c>
      <c r="D17" s="36">
        <f t="shared" si="0"/>
        <v>1.9161599999999999</v>
      </c>
      <c r="E17" s="37">
        <v>105</v>
      </c>
      <c r="F17" s="38" t="str">
        <f t="array" ref="F17">IF(E17="","",IF(INDEX(A:A,MAX(IF(ISNUMBER($A$244:$A$263),ROW($A$244:$A$263),"")))&lt;&gt;E17,"Corrigez : révolution incorrecte","OK"))</f>
        <v>OK</v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 t="s">
        <v>124</v>
      </c>
      <c r="C18" s="35">
        <v>0.22459999999999999</v>
      </c>
      <c r="D18" s="36">
        <f t="shared" si="0"/>
        <v>8.6246399999999994</v>
      </c>
      <c r="E18" s="37">
        <v>16</v>
      </c>
      <c r="F18" s="38" t="str">
        <f t="array" ref="F18">IF(E18="","",IF(INDEX(A:A,MAX(IF(ISNUMBER($A$270:$A$289),ROW($A$270:$A$289),"")))&lt;&gt;E18,"Corrigez : révolution incorrecte","OK"))</f>
        <v>OK</v>
      </c>
      <c r="G18" s="25" t="s">
        <v>329</v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0.99750000000000016</v>
      </c>
      <c r="D19" s="41">
        <f>SUM(D9:D18)</f>
        <v>38.304000000000002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1">
        <v>75</v>
      </c>
      <c r="C36" s="61">
        <v>1</v>
      </c>
      <c r="D36" s="61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1">
        <v>163</v>
      </c>
      <c r="C37" s="61">
        <v>2</v>
      </c>
      <c r="D37" s="61">
        <v>40</v>
      </c>
      <c r="E37" s="54">
        <v>0.3</v>
      </c>
      <c r="F37" s="291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1">
        <v>222</v>
      </c>
      <c r="C38" s="61">
        <v>3</v>
      </c>
      <c r="D38" s="61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1">
        <v>237</v>
      </c>
      <c r="C39" s="61">
        <v>4</v>
      </c>
      <c r="D39" s="61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1">
        <v>338</v>
      </c>
      <c r="C40" s="61">
        <v>5</v>
      </c>
      <c r="D40" s="61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1"/>
      <c r="C41" s="61"/>
      <c r="D41" s="61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1"/>
      <c r="C42" s="61"/>
      <c r="D42" s="61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1"/>
      <c r="B43" s="61"/>
      <c r="C43" s="61"/>
      <c r="D43" s="61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1"/>
      <c r="B44" s="61"/>
      <c r="C44" s="61"/>
      <c r="D44" s="61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1"/>
      <c r="B45" s="61"/>
      <c r="C45" s="61"/>
      <c r="D45" s="61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1"/>
      <c r="B46" s="61"/>
      <c r="C46" s="61"/>
      <c r="D46" s="61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1"/>
      <c r="B47" s="61"/>
      <c r="C47" s="61"/>
      <c r="D47" s="61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1"/>
      <c r="B48" s="61"/>
      <c r="C48" s="61"/>
      <c r="D48" s="61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1"/>
      <c r="B49" s="61"/>
      <c r="C49" s="61"/>
      <c r="D49" s="61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taeda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1">
        <v>75</v>
      </c>
      <c r="C62" s="61">
        <v>1</v>
      </c>
      <c r="D62" s="61">
        <v>15</v>
      </c>
      <c r="E62" s="54"/>
      <c r="F62" s="54"/>
      <c r="G62" s="54">
        <v>1</v>
      </c>
      <c r="H62" s="54"/>
      <c r="I62" s="56">
        <f>IFERROR(B62/A62,"")</f>
        <v>5.7692307692307692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19</v>
      </c>
      <c r="B63" s="61">
        <v>163</v>
      </c>
      <c r="C63" s="61">
        <v>2</v>
      </c>
      <c r="D63" s="61">
        <v>40</v>
      </c>
      <c r="E63" s="54">
        <v>0.3</v>
      </c>
      <c r="F63" s="291"/>
      <c r="G63" s="54">
        <v>0.7</v>
      </c>
      <c r="H63" s="54"/>
      <c r="I63" s="52">
        <f>IF(A63&lt;&gt;0,(B63-(B62-D62))/(A63-A62),"")</f>
        <v>17.166666666666668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1">
        <v>222</v>
      </c>
      <c r="C64" s="61">
        <v>3</v>
      </c>
      <c r="D64" s="61">
        <v>54</v>
      </c>
      <c r="E64" s="54">
        <v>0.4</v>
      </c>
      <c r="F64" s="54">
        <v>0.2</v>
      </c>
      <c r="G64" s="54">
        <v>0.4</v>
      </c>
      <c r="H64" s="54"/>
      <c r="I64" s="52">
        <f>IF(A64&lt;&gt;0,(B64-(B63-D63))/(A64-A63),"")</f>
        <v>16.5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1">
        <v>237</v>
      </c>
      <c r="C65" s="61">
        <v>4</v>
      </c>
      <c r="D65" s="61">
        <v>0</v>
      </c>
      <c r="E65" s="54"/>
      <c r="F65" s="54"/>
      <c r="G65" s="54"/>
      <c r="H65" s="54"/>
      <c r="I65" s="52">
        <f>IF(A65&lt;&gt;0,(B65-(B64-D64))/(A65-A64),"")</f>
        <v>13.8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38</v>
      </c>
      <c r="B66" s="61">
        <v>338</v>
      </c>
      <c r="C66" s="61">
        <v>5</v>
      </c>
      <c r="D66" s="61">
        <v>338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12.625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1"/>
      <c r="C67" s="61"/>
      <c r="D67" s="61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1"/>
      <c r="C68" s="61"/>
      <c r="D68" s="61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charme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1">
        <v>71</v>
      </c>
      <c r="C88" s="61">
        <v>1</v>
      </c>
      <c r="D88" s="61">
        <v>8</v>
      </c>
      <c r="E88" s="54"/>
      <c r="F88" s="54"/>
      <c r="G88" s="54"/>
      <c r="H88" s="91">
        <v>1</v>
      </c>
      <c r="I88" s="56">
        <f>IFERROR(B88/A88,"")</f>
        <v>2.84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1">
        <v>98</v>
      </c>
      <c r="C89" s="61">
        <v>2</v>
      </c>
      <c r="D89" s="61">
        <v>21</v>
      </c>
      <c r="E89" s="54"/>
      <c r="F89" s="54"/>
      <c r="G89" s="54"/>
      <c r="H89" s="91">
        <v>1</v>
      </c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1">
        <v>116</v>
      </c>
      <c r="C90" s="61">
        <v>3</v>
      </c>
      <c r="D90" s="61">
        <v>21</v>
      </c>
      <c r="E90" s="91"/>
      <c r="F90" s="91"/>
      <c r="G90" s="91"/>
      <c r="H90" s="91"/>
      <c r="I90" s="56">
        <f t="shared" si="3"/>
        <v>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1">
        <v>137</v>
      </c>
      <c r="C91" s="61">
        <v>4</v>
      </c>
      <c r="D91" s="61">
        <v>21</v>
      </c>
      <c r="E91" s="91"/>
      <c r="F91" s="91"/>
      <c r="G91" s="91"/>
      <c r="H91" s="91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1">
        <v>158</v>
      </c>
      <c r="C92" s="61">
        <v>5</v>
      </c>
      <c r="D92" s="61">
        <v>21</v>
      </c>
      <c r="E92" s="91"/>
      <c r="F92" s="91"/>
      <c r="G92" s="91"/>
      <c r="H92" s="91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1">
        <v>179</v>
      </c>
      <c r="C93" s="61">
        <v>6</v>
      </c>
      <c r="D93" s="61">
        <v>21</v>
      </c>
      <c r="E93" s="91"/>
      <c r="F93" s="91"/>
      <c r="G93" s="91"/>
      <c r="H93" s="91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1">
        <v>198</v>
      </c>
      <c r="C94" s="61">
        <v>7</v>
      </c>
      <c r="D94" s="61">
        <v>21</v>
      </c>
      <c r="E94" s="91"/>
      <c r="F94" s="91"/>
      <c r="G94" s="91"/>
      <c r="H94" s="91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1">
        <v>60</v>
      </c>
      <c r="B95" s="61">
        <v>214</v>
      </c>
      <c r="C95" s="61">
        <v>8</v>
      </c>
      <c r="D95" s="61">
        <v>21</v>
      </c>
      <c r="E95" s="91"/>
      <c r="F95" s="91"/>
      <c r="G95" s="91"/>
      <c r="H95" s="91"/>
      <c r="I95" s="56">
        <f t="shared" si="3"/>
        <v>7.4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1">
        <v>65</v>
      </c>
      <c r="B96" s="61">
        <v>229</v>
      </c>
      <c r="C96" s="61">
        <v>9</v>
      </c>
      <c r="D96" s="61">
        <v>21</v>
      </c>
      <c r="E96" s="91"/>
      <c r="F96" s="91"/>
      <c r="G96" s="91"/>
      <c r="H96" s="91"/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1">
        <v>70</v>
      </c>
      <c r="B97" s="61">
        <v>242</v>
      </c>
      <c r="C97" s="61">
        <v>10</v>
      </c>
      <c r="D97" s="61">
        <v>21</v>
      </c>
      <c r="E97" s="91"/>
      <c r="F97" s="91"/>
      <c r="G97" s="91"/>
      <c r="H97" s="91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1">
        <v>75</v>
      </c>
      <c r="B98" s="61">
        <v>253</v>
      </c>
      <c r="C98" s="61">
        <v>11</v>
      </c>
      <c r="D98" s="61">
        <v>21</v>
      </c>
      <c r="E98" s="91"/>
      <c r="F98" s="91"/>
      <c r="G98" s="91"/>
      <c r="H98" s="91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1">
        <v>80</v>
      </c>
      <c r="B99" s="61">
        <v>262</v>
      </c>
      <c r="C99" s="61">
        <v>12</v>
      </c>
      <c r="D99" s="61">
        <v>21</v>
      </c>
      <c r="E99" s="91"/>
      <c r="F99" s="91"/>
      <c r="G99" s="91"/>
      <c r="H99" s="91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1">
        <v>85</v>
      </c>
      <c r="B100" s="61">
        <v>269</v>
      </c>
      <c r="C100" s="61">
        <v>13</v>
      </c>
      <c r="D100" s="61">
        <v>21</v>
      </c>
      <c r="E100" s="66"/>
      <c r="F100" s="66"/>
      <c r="G100" s="66"/>
      <c r="H100" s="66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1">
        <v>90</v>
      </c>
      <c r="B101" s="61">
        <v>275</v>
      </c>
      <c r="C101" s="61">
        <v>14</v>
      </c>
      <c r="D101" s="61">
        <v>21</v>
      </c>
      <c r="E101" s="66"/>
      <c r="F101" s="66"/>
      <c r="G101" s="66"/>
      <c r="H101" s="66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1">
        <v>95</v>
      </c>
      <c r="B102" s="53">
        <v>279</v>
      </c>
      <c r="C102" s="61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1">
        <v>100</v>
      </c>
      <c r="B103" s="53">
        <v>282</v>
      </c>
      <c r="C103" s="61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1">
        <v>105</v>
      </c>
      <c r="B104" s="53">
        <v>283</v>
      </c>
      <c r="C104" s="61">
        <v>17</v>
      </c>
      <c r="D104" s="53">
        <v>20</v>
      </c>
      <c r="E104" s="57"/>
      <c r="F104" s="57"/>
      <c r="G104" s="57"/>
      <c r="H104" s="57"/>
      <c r="I104" s="56">
        <f t="shared" si="3"/>
        <v>4.4000000000000004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284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284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284</v>
      </c>
      <c r="C107" s="53">
        <v>20</v>
      </c>
      <c r="D107" s="53">
        <v>284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sessile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25</v>
      </c>
      <c r="B114" s="61">
        <v>71</v>
      </c>
      <c r="C114" s="53">
        <v>1</v>
      </c>
      <c r="D114" s="61">
        <v>8</v>
      </c>
      <c r="E114" s="54"/>
      <c r="F114" s="54"/>
      <c r="G114" s="54">
        <v>1</v>
      </c>
      <c r="H114" s="54"/>
      <c r="I114" s="56">
        <f>IFERROR(B114/A114,"")</f>
        <v>2.84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1">
        <v>98</v>
      </c>
      <c r="C115" s="53">
        <v>2</v>
      </c>
      <c r="D115" s="61">
        <v>21</v>
      </c>
      <c r="E115" s="54"/>
      <c r="F115" s="54"/>
      <c r="G115" s="54">
        <v>1</v>
      </c>
      <c r="H115" s="54"/>
      <c r="I115" s="56">
        <f t="shared" ref="I115:I133" si="4">IF(A115&lt;&gt;0,(B115-(B114-D114))/(A115-A114),"")</f>
        <v>7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35</v>
      </c>
      <c r="B116" s="61">
        <v>116</v>
      </c>
      <c r="C116" s="53">
        <v>3</v>
      </c>
      <c r="D116" s="61">
        <v>21</v>
      </c>
      <c r="E116" s="54"/>
      <c r="F116" s="54"/>
      <c r="G116" s="54"/>
      <c r="H116" s="54"/>
      <c r="I116" s="56">
        <f t="shared" si="4"/>
        <v>7.8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40</v>
      </c>
      <c r="B117" s="61">
        <v>137</v>
      </c>
      <c r="C117" s="53">
        <v>4</v>
      </c>
      <c r="D117" s="61">
        <v>21</v>
      </c>
      <c r="E117" s="54"/>
      <c r="F117" s="54"/>
      <c r="G117" s="54"/>
      <c r="H117" s="54"/>
      <c r="I117" s="56">
        <f t="shared" si="4"/>
        <v>8.4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45</v>
      </c>
      <c r="B118" s="61">
        <v>158</v>
      </c>
      <c r="C118" s="53">
        <v>5</v>
      </c>
      <c r="D118" s="61">
        <v>21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50</v>
      </c>
      <c r="B119" s="61">
        <v>179</v>
      </c>
      <c r="C119" s="53">
        <v>6</v>
      </c>
      <c r="D119" s="61">
        <v>21</v>
      </c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1">
        <v>55</v>
      </c>
      <c r="B120" s="61">
        <v>198</v>
      </c>
      <c r="C120" s="61">
        <v>7</v>
      </c>
      <c r="D120" s="61">
        <v>21</v>
      </c>
      <c r="E120" s="91"/>
      <c r="F120" s="91"/>
      <c r="G120" s="91"/>
      <c r="H120" s="91"/>
      <c r="I120" s="56">
        <f t="shared" si="4"/>
        <v>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1">
        <v>60</v>
      </c>
      <c r="B121" s="61">
        <v>214</v>
      </c>
      <c r="C121" s="61">
        <v>8</v>
      </c>
      <c r="D121" s="61">
        <v>21</v>
      </c>
      <c r="E121" s="91"/>
      <c r="F121" s="91"/>
      <c r="G121" s="91"/>
      <c r="H121" s="91"/>
      <c r="I121" s="56">
        <f t="shared" si="4"/>
        <v>7.4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1">
        <v>65</v>
      </c>
      <c r="B122" s="61">
        <v>229</v>
      </c>
      <c r="C122" s="61">
        <v>9</v>
      </c>
      <c r="D122" s="61">
        <v>21</v>
      </c>
      <c r="E122" s="91"/>
      <c r="F122" s="91"/>
      <c r="G122" s="91"/>
      <c r="H122" s="91"/>
      <c r="I122" s="56">
        <f t="shared" si="4"/>
        <v>7.2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1">
        <v>70</v>
      </c>
      <c r="B123" s="61">
        <v>242</v>
      </c>
      <c r="C123" s="61">
        <v>10</v>
      </c>
      <c r="D123" s="61">
        <v>21</v>
      </c>
      <c r="E123" s="91"/>
      <c r="F123" s="91"/>
      <c r="G123" s="91"/>
      <c r="H123" s="91"/>
      <c r="I123" s="56">
        <f t="shared" si="4"/>
        <v>6.8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1">
        <v>75</v>
      </c>
      <c r="B124" s="61">
        <v>253</v>
      </c>
      <c r="C124" s="61">
        <v>11</v>
      </c>
      <c r="D124" s="61">
        <v>21</v>
      </c>
      <c r="E124" s="91"/>
      <c r="F124" s="91"/>
      <c r="G124" s="91"/>
      <c r="H124" s="91"/>
      <c r="I124" s="56">
        <f t="shared" si="4"/>
        <v>6.4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1">
        <v>80</v>
      </c>
      <c r="B125" s="61">
        <v>262</v>
      </c>
      <c r="C125" s="61">
        <v>12</v>
      </c>
      <c r="D125" s="61">
        <v>21</v>
      </c>
      <c r="E125" s="91"/>
      <c r="F125" s="91"/>
      <c r="G125" s="91"/>
      <c r="H125" s="91"/>
      <c r="I125" s="56">
        <f t="shared" si="4"/>
        <v>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1">
        <v>85</v>
      </c>
      <c r="B126" s="61">
        <v>269</v>
      </c>
      <c r="C126" s="61">
        <v>13</v>
      </c>
      <c r="D126" s="61">
        <v>21</v>
      </c>
      <c r="E126" s="66"/>
      <c r="F126" s="66"/>
      <c r="G126" s="66"/>
      <c r="H126" s="66"/>
      <c r="I126" s="56">
        <f t="shared" si="4"/>
        <v>5.6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1">
        <v>90</v>
      </c>
      <c r="B127" s="61">
        <v>275</v>
      </c>
      <c r="C127" s="61">
        <v>14</v>
      </c>
      <c r="D127" s="61">
        <v>21</v>
      </c>
      <c r="E127" s="66"/>
      <c r="F127" s="66"/>
      <c r="G127" s="66"/>
      <c r="H127" s="66"/>
      <c r="I127" s="56">
        <f t="shared" si="4"/>
        <v>5.4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95</v>
      </c>
      <c r="B128" s="53">
        <v>279</v>
      </c>
      <c r="C128" s="53">
        <v>15</v>
      </c>
      <c r="D128" s="53">
        <v>21</v>
      </c>
      <c r="E128" s="57"/>
      <c r="F128" s="57"/>
      <c r="G128" s="57"/>
      <c r="H128" s="57"/>
      <c r="I128" s="56">
        <f t="shared" si="4"/>
        <v>5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100</v>
      </c>
      <c r="B129" s="53">
        <v>282</v>
      </c>
      <c r="C129" s="53">
        <v>16</v>
      </c>
      <c r="D129" s="53">
        <v>21</v>
      </c>
      <c r="E129" s="57"/>
      <c r="F129" s="57"/>
      <c r="G129" s="57"/>
      <c r="H129" s="57"/>
      <c r="I129" s="56">
        <f t="shared" si="4"/>
        <v>4.8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105</v>
      </c>
      <c r="B130" s="53">
        <v>283</v>
      </c>
      <c r="C130" s="53">
        <v>17</v>
      </c>
      <c r="D130" s="53">
        <v>20</v>
      </c>
      <c r="E130" s="57"/>
      <c r="F130" s="57"/>
      <c r="G130" s="57"/>
      <c r="H130" s="57"/>
      <c r="I130" s="56">
        <f t="shared" si="4"/>
        <v>4.4000000000000004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110</v>
      </c>
      <c r="B131" s="53">
        <v>284</v>
      </c>
      <c r="C131" s="53">
        <v>18</v>
      </c>
      <c r="D131" s="53">
        <v>19</v>
      </c>
      <c r="E131" s="57"/>
      <c r="F131" s="57"/>
      <c r="G131" s="57"/>
      <c r="H131" s="57"/>
      <c r="I131" s="56">
        <f t="shared" si="4"/>
        <v>4.2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115</v>
      </c>
      <c r="B132" s="53">
        <v>284</v>
      </c>
      <c r="C132" s="53">
        <v>19</v>
      </c>
      <c r="D132" s="53">
        <v>18</v>
      </c>
      <c r="E132" s="57"/>
      <c r="F132" s="57"/>
      <c r="G132" s="57"/>
      <c r="H132" s="57"/>
      <c r="I132" s="56">
        <f t="shared" si="4"/>
        <v>3.8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120</v>
      </c>
      <c r="B133" s="53">
        <v>284</v>
      </c>
      <c r="C133" s="53">
        <v>20</v>
      </c>
      <c r="D133" s="53">
        <v>284</v>
      </c>
      <c r="E133" s="57"/>
      <c r="F133" s="57"/>
      <c r="G133" s="57"/>
      <c r="H133" s="57"/>
      <c r="I133" s="56">
        <f t="shared" si="4"/>
        <v>3.6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alisier torminal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25</v>
      </c>
      <c r="B140" s="61">
        <v>71</v>
      </c>
      <c r="C140" s="61">
        <v>1</v>
      </c>
      <c r="D140" s="61">
        <v>8</v>
      </c>
      <c r="E140" s="54"/>
      <c r="F140" s="54"/>
      <c r="G140" s="54">
        <v>1</v>
      </c>
      <c r="H140" s="54"/>
      <c r="I140" s="59">
        <f>IFERROR(B140/A140,"")</f>
        <v>2.84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1">
        <v>98</v>
      </c>
      <c r="C141" s="61">
        <v>2</v>
      </c>
      <c r="D141" s="61">
        <v>21</v>
      </c>
      <c r="E141" s="54"/>
      <c r="F141" s="54"/>
      <c r="G141" s="54">
        <v>1</v>
      </c>
      <c r="H141" s="54"/>
      <c r="I141" s="59">
        <f t="shared" ref="I141:I159" si="5">IF(A141&lt;&gt;0,(B141-(B140-D140))/(A141-A140),"")</f>
        <v>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35</v>
      </c>
      <c r="B142" s="61">
        <v>116</v>
      </c>
      <c r="C142" s="61">
        <v>3</v>
      </c>
      <c r="D142" s="61">
        <v>21</v>
      </c>
      <c r="E142" s="54"/>
      <c r="F142" s="54"/>
      <c r="G142" s="54"/>
      <c r="H142" s="54"/>
      <c r="I142" s="59">
        <f t="shared" si="5"/>
        <v>7.8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40</v>
      </c>
      <c r="B143" s="61">
        <v>137</v>
      </c>
      <c r="C143" s="61">
        <v>4</v>
      </c>
      <c r="D143" s="61">
        <v>21</v>
      </c>
      <c r="E143" s="54"/>
      <c r="F143" s="54"/>
      <c r="G143" s="54"/>
      <c r="H143" s="54"/>
      <c r="I143" s="59">
        <f t="shared" si="5"/>
        <v>8.4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45</v>
      </c>
      <c r="B144" s="61">
        <v>158</v>
      </c>
      <c r="C144" s="61">
        <v>5</v>
      </c>
      <c r="D144" s="61">
        <v>21</v>
      </c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50</v>
      </c>
      <c r="B145" s="61">
        <v>179</v>
      </c>
      <c r="C145" s="61">
        <v>6</v>
      </c>
      <c r="D145" s="61">
        <v>21</v>
      </c>
      <c r="E145" s="54"/>
      <c r="F145" s="54"/>
      <c r="G145" s="54"/>
      <c r="H145" s="54"/>
      <c r="I145" s="59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55</v>
      </c>
      <c r="B146" s="61">
        <v>198</v>
      </c>
      <c r="C146" s="61">
        <v>7</v>
      </c>
      <c r="D146" s="61">
        <v>21</v>
      </c>
      <c r="E146" s="54"/>
      <c r="F146" s="54"/>
      <c r="G146" s="54"/>
      <c r="H146" s="54"/>
      <c r="I146" s="59">
        <f t="shared" si="5"/>
        <v>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61">
        <v>60</v>
      </c>
      <c r="B147" s="61">
        <v>214</v>
      </c>
      <c r="C147" s="61">
        <v>8</v>
      </c>
      <c r="D147" s="61">
        <v>21</v>
      </c>
      <c r="E147" s="54"/>
      <c r="F147" s="54"/>
      <c r="G147" s="54"/>
      <c r="H147" s="54"/>
      <c r="I147" s="59">
        <f>IF(A147&lt;&gt;0,(B147-(B146-D146))/(A147-A146),"")</f>
        <v>7.4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61">
        <v>65</v>
      </c>
      <c r="B148" s="61">
        <v>229</v>
      </c>
      <c r="C148" s="61">
        <v>9</v>
      </c>
      <c r="D148" s="61">
        <v>21</v>
      </c>
      <c r="E148" s="54"/>
      <c r="F148" s="54"/>
      <c r="G148" s="54"/>
      <c r="H148" s="54"/>
      <c r="I148" s="59">
        <f t="shared" si="5"/>
        <v>7.2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61">
        <v>70</v>
      </c>
      <c r="B149" s="61">
        <v>242</v>
      </c>
      <c r="C149" s="61">
        <v>10</v>
      </c>
      <c r="D149" s="61">
        <v>21</v>
      </c>
      <c r="E149" s="54"/>
      <c r="F149" s="54"/>
      <c r="G149" s="54"/>
      <c r="H149" s="54"/>
      <c r="I149" s="59">
        <f t="shared" si="5"/>
        <v>6.8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61">
        <v>75</v>
      </c>
      <c r="B150" s="61">
        <v>253</v>
      </c>
      <c r="C150" s="61">
        <v>11</v>
      </c>
      <c r="D150" s="61">
        <v>21</v>
      </c>
      <c r="E150" s="54"/>
      <c r="F150" s="54"/>
      <c r="G150" s="54"/>
      <c r="H150" s="54"/>
      <c r="I150" s="59">
        <f t="shared" si="5"/>
        <v>6.4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61">
        <v>80</v>
      </c>
      <c r="B151" s="61">
        <v>262</v>
      </c>
      <c r="C151" s="61">
        <v>12</v>
      </c>
      <c r="D151" s="61">
        <v>21</v>
      </c>
      <c r="E151" s="54"/>
      <c r="F151" s="54"/>
      <c r="G151" s="54"/>
      <c r="H151" s="54"/>
      <c r="I151" s="59">
        <f t="shared" si="5"/>
        <v>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61">
        <v>85</v>
      </c>
      <c r="B152" s="61">
        <v>269</v>
      </c>
      <c r="C152" s="61">
        <v>13</v>
      </c>
      <c r="D152" s="61">
        <v>21</v>
      </c>
      <c r="E152" s="57"/>
      <c r="F152" s="57"/>
      <c r="G152" s="57"/>
      <c r="H152" s="57"/>
      <c r="I152" s="59">
        <f t="shared" si="5"/>
        <v>5.6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61">
        <v>90</v>
      </c>
      <c r="B153" s="61">
        <v>275</v>
      </c>
      <c r="C153" s="61">
        <v>14</v>
      </c>
      <c r="D153" s="61">
        <v>21</v>
      </c>
      <c r="E153" s="57"/>
      <c r="F153" s="57"/>
      <c r="G153" s="57"/>
      <c r="H153" s="57"/>
      <c r="I153" s="59">
        <f t="shared" si="5"/>
        <v>5.4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61">
        <v>95</v>
      </c>
      <c r="B154" s="53">
        <v>279</v>
      </c>
      <c r="C154" s="61">
        <v>15</v>
      </c>
      <c r="D154" s="53">
        <v>21</v>
      </c>
      <c r="E154" s="57"/>
      <c r="F154" s="57"/>
      <c r="G154" s="57"/>
      <c r="H154" s="57"/>
      <c r="I154" s="59">
        <f t="shared" si="5"/>
        <v>5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61">
        <v>100</v>
      </c>
      <c r="B155" s="53">
        <v>282</v>
      </c>
      <c r="C155" s="61">
        <v>16</v>
      </c>
      <c r="D155" s="53">
        <v>21</v>
      </c>
      <c r="E155" s="57"/>
      <c r="F155" s="57"/>
      <c r="G155" s="57"/>
      <c r="H155" s="57"/>
      <c r="I155" s="59">
        <f t="shared" si="5"/>
        <v>4.8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61">
        <v>105</v>
      </c>
      <c r="B156" s="53">
        <v>283</v>
      </c>
      <c r="C156" s="61">
        <v>17</v>
      </c>
      <c r="D156" s="53">
        <v>20</v>
      </c>
      <c r="E156" s="57"/>
      <c r="F156" s="57"/>
      <c r="G156" s="57"/>
      <c r="H156" s="57"/>
      <c r="I156" s="59">
        <f t="shared" si="5"/>
        <v>4.4000000000000004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110</v>
      </c>
      <c r="B157" s="53">
        <v>284</v>
      </c>
      <c r="C157" s="53">
        <v>18</v>
      </c>
      <c r="D157" s="53">
        <v>19</v>
      </c>
      <c r="E157" s="57"/>
      <c r="F157" s="57"/>
      <c r="G157" s="57"/>
      <c r="H157" s="57"/>
      <c r="I157" s="59">
        <f t="shared" si="5"/>
        <v>4.2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>
        <v>115</v>
      </c>
      <c r="B158" s="53">
        <v>284</v>
      </c>
      <c r="C158" s="53">
        <v>19</v>
      </c>
      <c r="D158" s="53">
        <v>18</v>
      </c>
      <c r="E158" s="57"/>
      <c r="F158" s="57"/>
      <c r="G158" s="57"/>
      <c r="H158" s="57"/>
      <c r="I158" s="59">
        <f t="shared" si="5"/>
        <v>3.8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>
        <v>120</v>
      </c>
      <c r="B159" s="53">
        <v>284</v>
      </c>
      <c r="C159" s="53">
        <v>20</v>
      </c>
      <c r="D159" s="53">
        <v>284</v>
      </c>
      <c r="E159" s="57"/>
      <c r="F159" s="57"/>
      <c r="G159" s="57"/>
      <c r="H159" s="57"/>
      <c r="I159" s="59">
        <f t="shared" si="5"/>
        <v>3.6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Chêne rouge d'Amérique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1">
        <v>79</v>
      </c>
      <c r="C166" s="61">
        <v>1</v>
      </c>
      <c r="D166" s="61">
        <v>17</v>
      </c>
      <c r="E166" s="54"/>
      <c r="F166" s="54"/>
      <c r="G166" s="54"/>
      <c r="H166" s="54">
        <v>1</v>
      </c>
      <c r="I166" s="52">
        <f>IFERROR(B166/A166,"")</f>
        <v>3.95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61">
        <v>107</v>
      </c>
      <c r="C167" s="61">
        <v>2</v>
      </c>
      <c r="D167" s="61">
        <v>26</v>
      </c>
      <c r="E167" s="54"/>
      <c r="F167" s="54">
        <v>0.5</v>
      </c>
      <c r="G167" s="54">
        <v>0.5</v>
      </c>
      <c r="H167" s="54"/>
      <c r="I167" s="52">
        <f t="shared" ref="I167:I185" si="6">IF(A167&lt;&gt;0,(B167-(B166-D166))/(A167-A166),"")</f>
        <v>9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61">
        <v>124</v>
      </c>
      <c r="C168" s="61">
        <v>3</v>
      </c>
      <c r="D168" s="61">
        <v>26</v>
      </c>
      <c r="E168" s="54"/>
      <c r="F168" s="54">
        <v>0.6</v>
      </c>
      <c r="G168" s="54">
        <v>0.4</v>
      </c>
      <c r="H168" s="54"/>
      <c r="I168" s="52">
        <f t="shared" si="6"/>
        <v>8.6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61">
        <v>137</v>
      </c>
      <c r="C169" s="61">
        <v>4</v>
      </c>
      <c r="D169" s="61">
        <v>25</v>
      </c>
      <c r="E169" s="54"/>
      <c r="F169" s="54"/>
      <c r="G169" s="54"/>
      <c r="H169" s="54"/>
      <c r="I169" s="52">
        <f t="shared" si="6"/>
        <v>7.8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61">
        <v>148</v>
      </c>
      <c r="C170" s="61">
        <v>5</v>
      </c>
      <c r="D170" s="61">
        <v>23</v>
      </c>
      <c r="E170" s="54"/>
      <c r="F170" s="54"/>
      <c r="G170" s="54"/>
      <c r="H170" s="54"/>
      <c r="I170" s="52">
        <f t="shared" si="6"/>
        <v>7.2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61">
        <v>157</v>
      </c>
      <c r="C171" s="61">
        <v>6</v>
      </c>
      <c r="D171" s="61">
        <v>21</v>
      </c>
      <c r="E171" s="54"/>
      <c r="F171" s="54"/>
      <c r="G171" s="54"/>
      <c r="H171" s="54"/>
      <c r="I171" s="52">
        <f t="shared" si="6"/>
        <v>6.4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1">
        <v>165</v>
      </c>
      <c r="C172" s="61">
        <v>7</v>
      </c>
      <c r="D172" s="61">
        <v>19</v>
      </c>
      <c r="E172" s="54"/>
      <c r="F172" s="54"/>
      <c r="G172" s="54"/>
      <c r="H172" s="54"/>
      <c r="I172" s="52">
        <f t="shared" si="6"/>
        <v>5.8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55</v>
      </c>
      <c r="B173" s="53">
        <v>172</v>
      </c>
      <c r="C173" s="53">
        <v>8</v>
      </c>
      <c r="D173" s="53">
        <v>18</v>
      </c>
      <c r="E173" s="54"/>
      <c r="F173" s="54"/>
      <c r="G173" s="54"/>
      <c r="H173" s="54"/>
      <c r="I173" s="52">
        <f t="shared" si="6"/>
        <v>5.2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60</v>
      </c>
      <c r="B174" s="53">
        <v>176</v>
      </c>
      <c r="C174" s="53">
        <v>9</v>
      </c>
      <c r="D174" s="53">
        <v>16</v>
      </c>
      <c r="E174" s="54"/>
      <c r="F174" s="54"/>
      <c r="G174" s="54"/>
      <c r="H174" s="54"/>
      <c r="I174" s="52">
        <f t="shared" si="6"/>
        <v>4.4000000000000004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65</v>
      </c>
      <c r="B175" s="53">
        <v>180</v>
      </c>
      <c r="C175" s="53">
        <v>10</v>
      </c>
      <c r="D175" s="53">
        <v>14</v>
      </c>
      <c r="E175" s="54"/>
      <c r="F175" s="54"/>
      <c r="G175" s="54"/>
      <c r="H175" s="54"/>
      <c r="I175" s="52">
        <f t="shared" si="6"/>
        <v>4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70</v>
      </c>
      <c r="B176" s="53">
        <v>183</v>
      </c>
      <c r="C176" s="53">
        <v>11</v>
      </c>
      <c r="D176" s="53">
        <v>12</v>
      </c>
      <c r="E176" s="54"/>
      <c r="F176" s="54"/>
      <c r="G176" s="54"/>
      <c r="H176" s="54"/>
      <c r="I176" s="52">
        <f t="shared" si="6"/>
        <v>3.4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75</v>
      </c>
      <c r="B177" s="53">
        <v>186</v>
      </c>
      <c r="C177" s="53">
        <v>12</v>
      </c>
      <c r="D177" s="53">
        <v>11</v>
      </c>
      <c r="E177" s="54"/>
      <c r="F177" s="54"/>
      <c r="G177" s="54"/>
      <c r="H177" s="54"/>
      <c r="I177" s="52">
        <f t="shared" si="6"/>
        <v>3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80</v>
      </c>
      <c r="B178" s="53">
        <v>188</v>
      </c>
      <c r="C178" s="53">
        <v>13</v>
      </c>
      <c r="D178" s="53">
        <v>9</v>
      </c>
      <c r="E178" s="54"/>
      <c r="F178" s="54"/>
      <c r="G178" s="54"/>
      <c r="H178" s="54"/>
      <c r="I178" s="52">
        <f t="shared" si="6"/>
        <v>2.6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85</v>
      </c>
      <c r="B179" s="53">
        <v>191</v>
      </c>
      <c r="C179" s="53">
        <v>14</v>
      </c>
      <c r="D179" s="53">
        <v>8</v>
      </c>
      <c r="E179" s="54"/>
      <c r="F179" s="54"/>
      <c r="G179" s="54"/>
      <c r="H179" s="54"/>
      <c r="I179" s="52">
        <f t="shared" si="6"/>
        <v>2.4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90</v>
      </c>
      <c r="B180" s="53">
        <v>193</v>
      </c>
      <c r="C180" s="53">
        <v>15</v>
      </c>
      <c r="D180" s="53">
        <v>193</v>
      </c>
      <c r="E180" s="54"/>
      <c r="F180" s="54"/>
      <c r="G180" s="54"/>
      <c r="H180" s="54"/>
      <c r="I180" s="52">
        <f t="shared" si="6"/>
        <v>2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Chêne vert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25</v>
      </c>
      <c r="B192" s="61">
        <v>71</v>
      </c>
      <c r="C192" s="61">
        <v>1</v>
      </c>
      <c r="D192" s="61">
        <v>8</v>
      </c>
      <c r="E192" s="54"/>
      <c r="F192" s="54"/>
      <c r="G192" s="54"/>
      <c r="H192" s="54">
        <v>1</v>
      </c>
      <c r="I192" s="52">
        <f>IFERROR(B192/A192,"")</f>
        <v>2.84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30</v>
      </c>
      <c r="B193" s="61">
        <v>98</v>
      </c>
      <c r="C193" s="61">
        <v>2</v>
      </c>
      <c r="D193" s="61">
        <v>21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7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35</v>
      </c>
      <c r="B194" s="61">
        <v>116</v>
      </c>
      <c r="C194" s="61">
        <v>3</v>
      </c>
      <c r="D194" s="61">
        <v>21</v>
      </c>
      <c r="E194" s="54"/>
      <c r="F194" s="54"/>
      <c r="G194" s="54"/>
      <c r="H194" s="54"/>
      <c r="I194" s="52">
        <f t="shared" si="7"/>
        <v>7.8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40</v>
      </c>
      <c r="B195" s="61">
        <v>137</v>
      </c>
      <c r="C195" s="61">
        <v>4</v>
      </c>
      <c r="D195" s="61">
        <v>21</v>
      </c>
      <c r="E195" s="54"/>
      <c r="F195" s="54"/>
      <c r="G195" s="54"/>
      <c r="H195" s="54"/>
      <c r="I195" s="52">
        <f t="shared" si="7"/>
        <v>8.4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45</v>
      </c>
      <c r="B196" s="61">
        <v>158</v>
      </c>
      <c r="C196" s="61">
        <v>5</v>
      </c>
      <c r="D196" s="61">
        <v>21</v>
      </c>
      <c r="E196" s="54"/>
      <c r="F196" s="54"/>
      <c r="G196" s="54"/>
      <c r="H196" s="54"/>
      <c r="I196" s="52">
        <f t="shared" si="7"/>
        <v>8.4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50</v>
      </c>
      <c r="B197" s="61">
        <v>179</v>
      </c>
      <c r="C197" s="61">
        <v>6</v>
      </c>
      <c r="D197" s="61">
        <v>21</v>
      </c>
      <c r="E197" s="54"/>
      <c r="F197" s="54"/>
      <c r="G197" s="54"/>
      <c r="H197" s="54"/>
      <c r="I197" s="52">
        <f t="shared" si="7"/>
        <v>8.4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55</v>
      </c>
      <c r="B198" s="61">
        <v>198</v>
      </c>
      <c r="C198" s="61">
        <v>7</v>
      </c>
      <c r="D198" s="61">
        <v>21</v>
      </c>
      <c r="E198" s="54"/>
      <c r="F198" s="54"/>
      <c r="G198" s="54"/>
      <c r="H198" s="54"/>
      <c r="I198" s="52">
        <f t="shared" si="7"/>
        <v>8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61">
        <v>60</v>
      </c>
      <c r="B199" s="61">
        <v>214</v>
      </c>
      <c r="C199" s="61">
        <v>8</v>
      </c>
      <c r="D199" s="61">
        <v>21</v>
      </c>
      <c r="E199" s="54"/>
      <c r="F199" s="54"/>
      <c r="G199" s="54"/>
      <c r="H199" s="54"/>
      <c r="I199" s="52">
        <f t="shared" si="7"/>
        <v>7.4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61">
        <v>65</v>
      </c>
      <c r="B200" s="61">
        <v>229</v>
      </c>
      <c r="C200" s="61">
        <v>9</v>
      </c>
      <c r="D200" s="61">
        <v>21</v>
      </c>
      <c r="E200" s="54"/>
      <c r="F200" s="54"/>
      <c r="G200" s="54"/>
      <c r="H200" s="54"/>
      <c r="I200" s="52">
        <f t="shared" si="7"/>
        <v>7.2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61">
        <v>70</v>
      </c>
      <c r="B201" s="61">
        <v>242</v>
      </c>
      <c r="C201" s="61">
        <v>10</v>
      </c>
      <c r="D201" s="61">
        <v>21</v>
      </c>
      <c r="E201" s="54"/>
      <c r="F201" s="54"/>
      <c r="G201" s="54"/>
      <c r="H201" s="54"/>
      <c r="I201" s="52">
        <f t="shared" si="7"/>
        <v>6.8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61">
        <v>75</v>
      </c>
      <c r="B202" s="61">
        <v>253</v>
      </c>
      <c r="C202" s="61">
        <v>11</v>
      </c>
      <c r="D202" s="61">
        <v>21</v>
      </c>
      <c r="E202" s="54"/>
      <c r="F202" s="54"/>
      <c r="G202" s="54"/>
      <c r="H202" s="54"/>
      <c r="I202" s="52">
        <f t="shared" si="7"/>
        <v>6.4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61">
        <v>80</v>
      </c>
      <c r="B203" s="61">
        <v>262</v>
      </c>
      <c r="C203" s="61">
        <v>12</v>
      </c>
      <c r="D203" s="61">
        <v>21</v>
      </c>
      <c r="E203" s="54"/>
      <c r="F203" s="54"/>
      <c r="G203" s="54"/>
      <c r="H203" s="54"/>
      <c r="I203" s="52">
        <f t="shared" si="7"/>
        <v>6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61">
        <v>85</v>
      </c>
      <c r="B204" s="61">
        <v>269</v>
      </c>
      <c r="C204" s="61">
        <v>13</v>
      </c>
      <c r="D204" s="61">
        <v>21</v>
      </c>
      <c r="E204" s="54"/>
      <c r="F204" s="54"/>
      <c r="G204" s="54"/>
      <c r="H204" s="54"/>
      <c r="I204" s="52">
        <f t="shared" si="7"/>
        <v>5.6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61">
        <v>90</v>
      </c>
      <c r="B205" s="61">
        <v>275</v>
      </c>
      <c r="C205" s="61">
        <v>14</v>
      </c>
      <c r="D205" s="61">
        <v>21</v>
      </c>
      <c r="E205" s="54"/>
      <c r="F205" s="54"/>
      <c r="G205" s="54"/>
      <c r="H205" s="54"/>
      <c r="I205" s="52">
        <f t="shared" si="7"/>
        <v>5.4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61">
        <v>95</v>
      </c>
      <c r="B206" s="53">
        <v>279</v>
      </c>
      <c r="C206" s="61">
        <v>15</v>
      </c>
      <c r="D206" s="53">
        <v>21</v>
      </c>
      <c r="E206" s="54"/>
      <c r="F206" s="54"/>
      <c r="G206" s="54"/>
      <c r="H206" s="54"/>
      <c r="I206" s="52">
        <f t="shared" si="7"/>
        <v>5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61">
        <v>100</v>
      </c>
      <c r="B207" s="53">
        <v>282</v>
      </c>
      <c r="C207" s="61">
        <v>16</v>
      </c>
      <c r="D207" s="53">
        <v>21</v>
      </c>
      <c r="E207" s="54"/>
      <c r="F207" s="54"/>
      <c r="G207" s="54"/>
      <c r="H207" s="54"/>
      <c r="I207" s="52">
        <f t="shared" si="7"/>
        <v>4.8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61">
        <v>105</v>
      </c>
      <c r="B208" s="53">
        <v>283</v>
      </c>
      <c r="C208" s="61">
        <v>17</v>
      </c>
      <c r="D208" s="53">
        <v>20</v>
      </c>
      <c r="E208" s="54"/>
      <c r="F208" s="54"/>
      <c r="G208" s="54"/>
      <c r="H208" s="54"/>
      <c r="I208" s="52">
        <f t="shared" si="7"/>
        <v>4.4000000000000004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110</v>
      </c>
      <c r="B209" s="53">
        <v>284</v>
      </c>
      <c r="C209" s="53">
        <v>18</v>
      </c>
      <c r="D209" s="53">
        <v>19</v>
      </c>
      <c r="E209" s="54"/>
      <c r="F209" s="54"/>
      <c r="G209" s="54"/>
      <c r="H209" s="54"/>
      <c r="I209" s="52">
        <f t="shared" si="7"/>
        <v>4.2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115</v>
      </c>
      <c r="B210" s="53">
        <v>284</v>
      </c>
      <c r="C210" s="53">
        <v>19</v>
      </c>
      <c r="D210" s="53">
        <v>18</v>
      </c>
      <c r="E210" s="54"/>
      <c r="F210" s="54"/>
      <c r="G210" s="54"/>
      <c r="H210" s="54"/>
      <c r="I210" s="52">
        <f t="shared" si="7"/>
        <v>3.8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120</v>
      </c>
      <c r="B211" s="53">
        <v>284</v>
      </c>
      <c r="C211" s="53">
        <v>20</v>
      </c>
      <c r="D211" s="53">
        <v>284</v>
      </c>
      <c r="E211" s="54"/>
      <c r="F211" s="54"/>
      <c r="G211" s="54"/>
      <c r="H211" s="54"/>
      <c r="I211" s="52">
        <f t="shared" si="7"/>
        <v>3.6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Chêne-liège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25</v>
      </c>
      <c r="B218" s="61">
        <v>71</v>
      </c>
      <c r="C218" s="61">
        <v>1</v>
      </c>
      <c r="D218" s="61">
        <v>8</v>
      </c>
      <c r="E218" s="64"/>
      <c r="F218" s="64"/>
      <c r="G218" s="64"/>
      <c r="H218" s="64">
        <v>1</v>
      </c>
      <c r="I218" s="56">
        <f>IFERROR(B218/A218,"")</f>
        <v>2.84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30</v>
      </c>
      <c r="B219" s="61">
        <v>98</v>
      </c>
      <c r="C219" s="61">
        <v>2</v>
      </c>
      <c r="D219" s="61">
        <v>21</v>
      </c>
      <c r="E219" s="64"/>
      <c r="F219" s="64"/>
      <c r="G219" s="64"/>
      <c r="H219" s="64">
        <v>1</v>
      </c>
      <c r="I219" s="56">
        <f t="shared" ref="I219:I237" si="8">IF(A219&lt;&gt;0,(B219-(B218-D218))/(A219-A218),"")</f>
        <v>7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35</v>
      </c>
      <c r="B220" s="61">
        <v>116</v>
      </c>
      <c r="C220" s="61">
        <v>3</v>
      </c>
      <c r="D220" s="61">
        <v>21</v>
      </c>
      <c r="E220" s="64"/>
      <c r="F220" s="64"/>
      <c r="G220" s="64"/>
      <c r="H220" s="64"/>
      <c r="I220" s="56">
        <f t="shared" si="8"/>
        <v>7.8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40</v>
      </c>
      <c r="B221" s="61">
        <v>137</v>
      </c>
      <c r="C221" s="61">
        <v>4</v>
      </c>
      <c r="D221" s="61">
        <v>21</v>
      </c>
      <c r="E221" s="64"/>
      <c r="F221" s="64"/>
      <c r="G221" s="64"/>
      <c r="H221" s="64"/>
      <c r="I221" s="56">
        <f t="shared" si="8"/>
        <v>8.4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45</v>
      </c>
      <c r="B222" s="61">
        <v>158</v>
      </c>
      <c r="C222" s="61">
        <v>5</v>
      </c>
      <c r="D222" s="61">
        <v>21</v>
      </c>
      <c r="E222" s="64"/>
      <c r="F222" s="64"/>
      <c r="G222" s="64"/>
      <c r="H222" s="64"/>
      <c r="I222" s="56">
        <f t="shared" si="8"/>
        <v>8.4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50</v>
      </c>
      <c r="B223" s="61">
        <v>179</v>
      </c>
      <c r="C223" s="61">
        <v>6</v>
      </c>
      <c r="D223" s="61">
        <v>21</v>
      </c>
      <c r="E223" s="64"/>
      <c r="F223" s="64"/>
      <c r="G223" s="64"/>
      <c r="H223" s="64"/>
      <c r="I223" s="56">
        <f t="shared" si="8"/>
        <v>8.4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55</v>
      </c>
      <c r="B224" s="61">
        <v>198</v>
      </c>
      <c r="C224" s="61">
        <v>7</v>
      </c>
      <c r="D224" s="61">
        <v>21</v>
      </c>
      <c r="E224" s="64"/>
      <c r="F224" s="64"/>
      <c r="G224" s="64"/>
      <c r="H224" s="64"/>
      <c r="I224" s="56">
        <f t="shared" si="8"/>
        <v>8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61">
        <v>60</v>
      </c>
      <c r="B225" s="61">
        <v>214</v>
      </c>
      <c r="C225" s="61">
        <v>8</v>
      </c>
      <c r="D225" s="61">
        <v>21</v>
      </c>
      <c r="E225" s="64"/>
      <c r="F225" s="64"/>
      <c r="G225" s="64"/>
      <c r="H225" s="64"/>
      <c r="I225" s="56">
        <f t="shared" si="8"/>
        <v>7.4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61">
        <v>65</v>
      </c>
      <c r="B226" s="61">
        <v>229</v>
      </c>
      <c r="C226" s="61">
        <v>9</v>
      </c>
      <c r="D226" s="61">
        <v>21</v>
      </c>
      <c r="E226" s="64"/>
      <c r="F226" s="64"/>
      <c r="G226" s="64"/>
      <c r="H226" s="64"/>
      <c r="I226" s="56">
        <f t="shared" si="8"/>
        <v>7.2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61">
        <v>70</v>
      </c>
      <c r="B227" s="61">
        <v>242</v>
      </c>
      <c r="C227" s="61">
        <v>10</v>
      </c>
      <c r="D227" s="61">
        <v>21</v>
      </c>
      <c r="E227" s="64"/>
      <c r="F227" s="64"/>
      <c r="G227" s="64"/>
      <c r="H227" s="64"/>
      <c r="I227" s="56">
        <f t="shared" si="8"/>
        <v>6.8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61">
        <v>75</v>
      </c>
      <c r="B228" s="61">
        <v>253</v>
      </c>
      <c r="C228" s="61">
        <v>11</v>
      </c>
      <c r="D228" s="61">
        <v>21</v>
      </c>
      <c r="E228" s="64"/>
      <c r="F228" s="64"/>
      <c r="G228" s="64"/>
      <c r="H228" s="64"/>
      <c r="I228" s="56">
        <f t="shared" si="8"/>
        <v>6.4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61">
        <v>80</v>
      </c>
      <c r="B229" s="61">
        <v>262</v>
      </c>
      <c r="C229" s="61">
        <v>12</v>
      </c>
      <c r="D229" s="61">
        <v>21</v>
      </c>
      <c r="E229" s="64"/>
      <c r="F229" s="64"/>
      <c r="G229" s="64"/>
      <c r="H229" s="64"/>
      <c r="I229" s="56">
        <f t="shared" si="8"/>
        <v>6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61">
        <v>85</v>
      </c>
      <c r="B230" s="61">
        <v>269</v>
      </c>
      <c r="C230" s="61">
        <v>13</v>
      </c>
      <c r="D230" s="61">
        <v>21</v>
      </c>
      <c r="E230" s="65"/>
      <c r="F230" s="65"/>
      <c r="G230" s="65"/>
      <c r="H230" s="65"/>
      <c r="I230" s="56">
        <f t="shared" si="8"/>
        <v>5.6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61">
        <v>90</v>
      </c>
      <c r="B231" s="61">
        <v>275</v>
      </c>
      <c r="C231" s="61">
        <v>14</v>
      </c>
      <c r="D231" s="61">
        <v>21</v>
      </c>
      <c r="E231" s="57"/>
      <c r="F231" s="57"/>
      <c r="G231" s="57"/>
      <c r="H231" s="57"/>
      <c r="I231" s="56">
        <f t="shared" si="8"/>
        <v>5.4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61">
        <v>95</v>
      </c>
      <c r="B232" s="53">
        <v>279</v>
      </c>
      <c r="C232" s="61">
        <v>15</v>
      </c>
      <c r="D232" s="53">
        <v>21</v>
      </c>
      <c r="E232" s="57"/>
      <c r="F232" s="57"/>
      <c r="G232" s="57"/>
      <c r="H232" s="57"/>
      <c r="I232" s="56">
        <f t="shared" si="8"/>
        <v>5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61">
        <v>100</v>
      </c>
      <c r="B233" s="53">
        <v>282</v>
      </c>
      <c r="C233" s="61">
        <v>16</v>
      </c>
      <c r="D233" s="53">
        <v>21</v>
      </c>
      <c r="E233" s="57"/>
      <c r="F233" s="57"/>
      <c r="G233" s="57"/>
      <c r="H233" s="57"/>
      <c r="I233" s="56">
        <f t="shared" si="8"/>
        <v>4.8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61">
        <v>105</v>
      </c>
      <c r="B234" s="53">
        <v>283</v>
      </c>
      <c r="C234" s="61">
        <v>17</v>
      </c>
      <c r="D234" s="53">
        <v>20</v>
      </c>
      <c r="E234" s="57"/>
      <c r="F234" s="57"/>
      <c r="G234" s="57"/>
      <c r="H234" s="57"/>
      <c r="I234" s="56">
        <f t="shared" si="8"/>
        <v>4.4000000000000004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>
        <v>110</v>
      </c>
      <c r="B235" s="53">
        <v>284</v>
      </c>
      <c r="C235" s="53">
        <v>18</v>
      </c>
      <c r="D235" s="53">
        <v>19</v>
      </c>
      <c r="E235" s="57"/>
      <c r="F235" s="57"/>
      <c r="G235" s="57"/>
      <c r="H235" s="57"/>
      <c r="I235" s="56">
        <f t="shared" si="8"/>
        <v>4.2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>
        <v>115</v>
      </c>
      <c r="B236" s="53">
        <v>284</v>
      </c>
      <c r="C236" s="53">
        <v>19</v>
      </c>
      <c r="D236" s="53">
        <v>18</v>
      </c>
      <c r="E236" s="57"/>
      <c r="F236" s="57"/>
      <c r="G236" s="57"/>
      <c r="H236" s="57"/>
      <c r="I236" s="56">
        <f t="shared" si="8"/>
        <v>3.8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>
        <v>120</v>
      </c>
      <c r="B237" s="53">
        <v>284</v>
      </c>
      <c r="C237" s="53">
        <v>20</v>
      </c>
      <c r="D237" s="53">
        <v>284</v>
      </c>
      <c r="E237" s="57"/>
      <c r="F237" s="57"/>
      <c r="G237" s="57"/>
      <c r="H237" s="57"/>
      <c r="I237" s="56">
        <f t="shared" si="8"/>
        <v>3.6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Cèdre de l'Atlas</v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30</v>
      </c>
      <c r="B244" s="61">
        <v>195</v>
      </c>
      <c r="C244" s="61">
        <v>1</v>
      </c>
      <c r="D244" s="61">
        <v>0</v>
      </c>
      <c r="E244" s="54"/>
      <c r="F244" s="54"/>
      <c r="G244" s="54"/>
      <c r="H244" s="64"/>
      <c r="I244" s="56">
        <f>IFERROR(B244/A244,"")</f>
        <v>6.5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35</v>
      </c>
      <c r="B245" s="61">
        <v>280</v>
      </c>
      <c r="C245" s="61">
        <v>2</v>
      </c>
      <c r="D245" s="61">
        <v>0</v>
      </c>
      <c r="E245" s="64"/>
      <c r="F245" s="64"/>
      <c r="G245" s="64"/>
      <c r="H245" s="64"/>
      <c r="I245" s="56">
        <f>IF(A245&lt;&gt;0,(B245-(B244-D244))/(A245-A244),"")</f>
        <v>17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42</v>
      </c>
      <c r="B246" s="61">
        <v>417</v>
      </c>
      <c r="C246" s="61">
        <v>3</v>
      </c>
      <c r="D246" s="61">
        <v>182</v>
      </c>
      <c r="E246" s="64"/>
      <c r="F246" s="64"/>
      <c r="G246" s="64"/>
      <c r="H246" s="64"/>
      <c r="I246" s="56">
        <f>IF(A246&lt;&gt;0,(B246-(B245-D245))/(A246-A245),"")</f>
        <v>19.571428571428573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43</v>
      </c>
      <c r="B247" s="61">
        <v>256</v>
      </c>
      <c r="C247" s="61">
        <v>4</v>
      </c>
      <c r="D247" s="61">
        <v>0</v>
      </c>
      <c r="E247" s="64"/>
      <c r="F247" s="64"/>
      <c r="G247" s="64"/>
      <c r="H247" s="64"/>
      <c r="I247" s="56">
        <f t="shared" ref="I247:I263" si="9">IF(A247&lt;&gt;0,(B247-(B246-D246))/(A247-A246),"")</f>
        <v>21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49</v>
      </c>
      <c r="B248" s="61">
        <v>361</v>
      </c>
      <c r="C248" s="61">
        <v>5</v>
      </c>
      <c r="D248" s="61">
        <v>100</v>
      </c>
      <c r="E248" s="64"/>
      <c r="F248" s="64"/>
      <c r="G248" s="64"/>
      <c r="H248" s="64"/>
      <c r="I248" s="56">
        <f t="shared" si="9"/>
        <v>17.5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50</v>
      </c>
      <c r="B249" s="61">
        <v>278</v>
      </c>
      <c r="C249" s="61">
        <v>6</v>
      </c>
      <c r="D249" s="61">
        <v>0</v>
      </c>
      <c r="E249" s="64"/>
      <c r="F249" s="64"/>
      <c r="G249" s="64"/>
      <c r="H249" s="64"/>
      <c r="I249" s="56">
        <f t="shared" si="9"/>
        <v>17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56</v>
      </c>
      <c r="B250" s="61">
        <v>380</v>
      </c>
      <c r="C250" s="61">
        <v>7</v>
      </c>
      <c r="D250" s="61">
        <v>79</v>
      </c>
      <c r="E250" s="64"/>
      <c r="F250" s="64"/>
      <c r="G250" s="64"/>
      <c r="H250" s="64"/>
      <c r="I250" s="56">
        <f t="shared" si="9"/>
        <v>17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>
        <v>57</v>
      </c>
      <c r="B251" s="58">
        <v>316</v>
      </c>
      <c r="C251" s="58">
        <v>8</v>
      </c>
      <c r="D251" s="58">
        <v>0</v>
      </c>
      <c r="E251" s="64"/>
      <c r="F251" s="64"/>
      <c r="G251" s="64"/>
      <c r="H251" s="64"/>
      <c r="I251" s="56">
        <f t="shared" si="9"/>
        <v>15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>
        <v>63</v>
      </c>
      <c r="B252" s="58">
        <v>416</v>
      </c>
      <c r="C252" s="58">
        <v>9</v>
      </c>
      <c r="D252" s="58">
        <v>79</v>
      </c>
      <c r="E252" s="64"/>
      <c r="F252" s="64"/>
      <c r="G252" s="64"/>
      <c r="H252" s="64"/>
      <c r="I252" s="56">
        <f t="shared" si="9"/>
        <v>16.666666666666668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>
        <v>64</v>
      </c>
      <c r="B253" s="58">
        <v>353</v>
      </c>
      <c r="C253" s="58">
        <v>10</v>
      </c>
      <c r="D253" s="58">
        <v>0</v>
      </c>
      <c r="E253" s="64"/>
      <c r="F253" s="64"/>
      <c r="G253" s="64"/>
      <c r="H253" s="64"/>
      <c r="I253" s="56">
        <f t="shared" si="9"/>
        <v>16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>
        <v>71</v>
      </c>
      <c r="B254" s="58">
        <v>466</v>
      </c>
      <c r="C254" s="58">
        <v>11</v>
      </c>
      <c r="D254" s="58">
        <v>91</v>
      </c>
      <c r="E254" s="64"/>
      <c r="F254" s="64"/>
      <c r="G254" s="64"/>
      <c r="H254" s="64"/>
      <c r="I254" s="56">
        <f t="shared" si="9"/>
        <v>16.142857142857142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>
        <v>72</v>
      </c>
      <c r="B255" s="58">
        <v>390</v>
      </c>
      <c r="C255" s="58">
        <v>12</v>
      </c>
      <c r="D255" s="58">
        <v>0</v>
      </c>
      <c r="E255" s="64"/>
      <c r="F255" s="64"/>
      <c r="G255" s="64"/>
      <c r="H255" s="64"/>
      <c r="I255" s="56">
        <f t="shared" si="9"/>
        <v>15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>
        <v>79</v>
      </c>
      <c r="B256" s="58">
        <v>496</v>
      </c>
      <c r="C256" s="58">
        <v>13</v>
      </c>
      <c r="D256" s="58">
        <v>88</v>
      </c>
      <c r="E256" s="65"/>
      <c r="F256" s="65"/>
      <c r="G256" s="65"/>
      <c r="H256" s="65"/>
      <c r="I256" s="56">
        <f t="shared" si="9"/>
        <v>15.142857142857142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>
        <v>80</v>
      </c>
      <c r="B257" s="61">
        <v>423</v>
      </c>
      <c r="C257" s="92">
        <v>14</v>
      </c>
      <c r="D257" s="61">
        <v>0</v>
      </c>
      <c r="E257" s="57"/>
      <c r="F257" s="57"/>
      <c r="G257" s="57"/>
      <c r="H257" s="57"/>
      <c r="I257" s="56">
        <f t="shared" si="9"/>
        <v>15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>
        <v>87</v>
      </c>
      <c r="B258" s="53">
        <v>522</v>
      </c>
      <c r="C258" s="53">
        <v>15</v>
      </c>
      <c r="D258" s="53">
        <v>89</v>
      </c>
      <c r="E258" s="57"/>
      <c r="F258" s="57"/>
      <c r="G258" s="57"/>
      <c r="H258" s="57"/>
      <c r="I258" s="56">
        <f t="shared" si="9"/>
        <v>14.142857142857142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>
        <v>88</v>
      </c>
      <c r="B259" s="53">
        <v>447</v>
      </c>
      <c r="C259" s="53">
        <v>16</v>
      </c>
      <c r="D259" s="53">
        <v>0</v>
      </c>
      <c r="E259" s="57"/>
      <c r="F259" s="57"/>
      <c r="G259" s="57"/>
      <c r="H259" s="57"/>
      <c r="I259" s="56">
        <f t="shared" si="9"/>
        <v>14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>
        <v>94</v>
      </c>
      <c r="B260" s="53">
        <v>525</v>
      </c>
      <c r="C260" s="53">
        <v>17</v>
      </c>
      <c r="D260" s="53">
        <v>0</v>
      </c>
      <c r="E260" s="57"/>
      <c r="F260" s="57"/>
      <c r="G260" s="57"/>
      <c r="H260" s="57"/>
      <c r="I260" s="56">
        <f t="shared" si="9"/>
        <v>13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>
        <v>95</v>
      </c>
      <c r="B261" s="53">
        <v>538</v>
      </c>
      <c r="C261" s="53">
        <v>18</v>
      </c>
      <c r="D261" s="53">
        <v>269</v>
      </c>
      <c r="E261" s="57"/>
      <c r="F261" s="57"/>
      <c r="G261" s="57"/>
      <c r="H261" s="57"/>
      <c r="I261" s="56">
        <f t="shared" si="9"/>
        <v>13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>
        <v>96</v>
      </c>
      <c r="B262" s="53">
        <v>280</v>
      </c>
      <c r="C262" s="53">
        <v>19</v>
      </c>
      <c r="D262" s="53">
        <v>0</v>
      </c>
      <c r="E262" s="57"/>
      <c r="F262" s="57"/>
      <c r="G262" s="57"/>
      <c r="H262" s="57"/>
      <c r="I262" s="56">
        <f t="shared" si="9"/>
        <v>11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>
        <v>105</v>
      </c>
      <c r="B263" s="53">
        <v>357</v>
      </c>
      <c r="C263" s="53">
        <v>20</v>
      </c>
      <c r="D263" s="53">
        <v>357</v>
      </c>
      <c r="E263" s="57"/>
      <c r="F263" s="57"/>
      <c r="G263" s="57"/>
      <c r="H263" s="57"/>
      <c r="I263" s="56">
        <f t="shared" si="9"/>
        <v>8.5555555555555554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>Peuplier Flevo</v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>
        <v>16</v>
      </c>
      <c r="B270" s="61">
        <v>300</v>
      </c>
      <c r="C270" s="53">
        <v>1</v>
      </c>
      <c r="D270" s="61">
        <v>300</v>
      </c>
      <c r="E270" s="54">
        <v>0.77</v>
      </c>
      <c r="F270" s="54">
        <v>0.21</v>
      </c>
      <c r="G270" s="54"/>
      <c r="H270" s="54"/>
      <c r="I270" s="56">
        <f>IFERROR(B270/A270,"")</f>
        <v>18.75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2" sqref="F1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taeda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charme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sessile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alisier torminal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Chêne rouge d'Amérique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Chêne vert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Chêne-liège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>Cèdre de l'Atlas</v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>Peuplier Flevo</v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206.5885410269899</v>
      </c>
      <c r="T3" s="60">
        <f>IF('Données projet'!E9&gt;30,$R$33-$H$33,LOOKUP('Données projet'!$E$9,$A$3:$A$203,R3:R203)-LOOKUP('Données projet'!$E$9,$A$3:$A$203,$H$3:$H$203))</f>
        <v>347.41156847586302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206.5885410269899</v>
      </c>
      <c r="AO3" s="60">
        <f>IF('Données projet'!E10&gt;30,$AM$33-$H$33,LOOKUP('Données projet'!$E$10,$A$3:$A$203,AM3:AM203)-LOOKUP('Données projet'!$E$10,$A$3:$A$203,$H$3:$H$203))</f>
        <v>347.41156847586302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389.12604446638119</v>
      </c>
      <c r="BJ3" s="60">
        <f>IF('Données projet'!E11&gt;30,$BH$33-$H$33,LOOKUP('Données projet'!$E$11,$A$3:$A$203,BH3:BH203)-LOOKUP('Données projet'!$E$11,$A$3:$A$203,$H$3:$H$203))</f>
        <v>243.23852967152732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371.95849973474657</v>
      </c>
      <c r="CE3" s="60">
        <f>IF('Données projet'!E12&gt;30,$CC$33-$H$33,LOOKUP('Données projet'!$E$12,$A$3:$A$203,CC3:CC203)-LOOKUP('Données projet'!$E$12,$A$3:$A$203,$H$3:$H$203))</f>
        <v>233.32640143610547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394.8445842828649</v>
      </c>
      <c r="CZ3" s="60">
        <f>IF('Données projet'!E13&gt;30,$CX$33-$H$33,LOOKUP('Données projet'!$E$13,$A$3:$A$203,CX3:CX203)-LOOKUP('Données projet'!$E$13,$A$3:$A$203,$H$3:$H$203))</f>
        <v>246.54010105494143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266.98113257513319</v>
      </c>
      <c r="DU3" s="60">
        <f>IF('Données projet'!E14&gt;30,$DS$33-$H$33,LOOKUP('Données projet'!$E$14,$A$3:$A$203,DS3:DS203)-LOOKUP('Données projet'!$E$14,$A$3:$A$203,$H$3:$H$203))</f>
        <v>275.73257102713393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256.66666666666669</v>
      </c>
      <c r="EO3" s="60">
        <f ca="1">AVERAGE(OFFSET($EN$3,0,0,'Données projet'!$E$15+1,1))-AVERAGE(OFFSET($H$3,0,0,'Données projet'!$E$15+1,1))</f>
        <v>457.62828850677369</v>
      </c>
      <c r="EP3" s="60">
        <f>IF('Données projet'!E15&gt;30,$EN$33-$H$33,LOOKUP('Données projet'!$E$15,$A$3:$A$203,EN3:EN203)-LOOKUP('Données projet'!$E$15,$A$3:$A$203,$H$3:$H$203))</f>
        <v>282.78263556175563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256.66666666666669</v>
      </c>
      <c r="FJ3" s="60">
        <f ca="1">AVERAGE(OFFSET($FI$3,0,0,'Données projet'!$E$16+1,1))-AVERAGE(OFFSET($H$3,0,0,'Données projet'!$E$16+1,1))</f>
        <v>440.52623925652182</v>
      </c>
      <c r="FK3" s="60">
        <f>IF('Données projet'!E16&gt;30,$FI$33-$H$33,LOOKUP('Données projet'!$E$16,$A$3:$A$203,FI3:FI203)-LOOKUP('Données projet'!$E$16,$A$3:$A$203,$H$3:$H$203))</f>
        <v>272.91122662088918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0">
        <f>GC3+(FU3+FV3)*44/12</f>
        <v>256.66666666666669</v>
      </c>
      <c r="GE3" s="60">
        <f ca="1">AVERAGE(OFFSET($GD$3,0,0,'Données projet'!$E$17+1,1))-AVERAGE(OFFSET($H$3,0,0,'Données projet'!$E$17+1,1))</f>
        <v>317.54276561627643</v>
      </c>
      <c r="GF3" s="60">
        <f>IF('Données projet'!E17&gt;30,$GD$33-$H$33,LOOKUP('Données projet'!$E$17,$A$3:$A$203,GD3:GD203)-LOOKUP('Données projet'!$E$17,$A$3:$A$203,$H$3:$H$203))</f>
        <v>238.92443174298893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0">
        <f>GX3+(GP3+GQ3)*44/12</f>
        <v>256.66666666666669</v>
      </c>
      <c r="GZ3" s="60">
        <f ca="1">AVERAGE(OFFSET($GY$3,0,0,'Données projet'!$E$18+1,1))-AVERAGE(OFFSET($H$3,0,0,'Données projet'!$E$18+1,1))</f>
        <v>79.868679770907136</v>
      </c>
      <c r="HA3" s="60">
        <f>IF('Données projet'!E18&gt;30,$GY$33-$H$33,LOOKUP('Données projet'!$E$18,$A$3:$A$203,GY3:GY203)-LOOKUP('Données projet'!$E$18,$A$3:$A$203,$H$3:$H$203))</f>
        <v>370.47471103028312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0">
        <f t="shared" si="0"/>
        <v>260.02404319784944</v>
      </c>
      <c r="S4" s="60">
        <f ca="1">AVERAGE(OFFSET($R$3,0,0,'Données projet'!$E$9+1,1))-AVERAGE(OFFSET($H$3,0,0,'Données projet'!$E$9+1,1))</f>
        <v>206.5885410269899</v>
      </c>
      <c r="T4" s="60">
        <f>$T$3</f>
        <v>347.41156847586302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5.7692307692307692</v>
      </c>
      <c r="AI4" s="14">
        <f>IF('Données projet'!$A$62&gt;35,AI3+AH4-AQ3,IF(A4&lt;'Données projet'!$A$62,$AF$205^A4,IF(A4='Données projet'!$A$62,'Données projet'!$B$62,AI3+AH4-AQ3)))</f>
        <v>1.3939124009120489</v>
      </c>
      <c r="AJ4" s="14">
        <f>AI4*VLOOKUP('Données projet'!$B$10,Paramètres!$A$1:$I$89,3,0)*VLOOKUP('Données projet'!$B$10,Paramètres!$A$1:$I$89,5,0)</f>
        <v>0.83355961574540538</v>
      </c>
      <c r="AK4" s="14">
        <f>EXP(-1.0587+0.8836*LN(AJ4)+0.284)</f>
        <v>0.39236630327500827</v>
      </c>
      <c r="AL4" s="22">
        <f t="shared" ref="AL4:AL67" si="4">(AJ4+AK4)*0.475*44/12</f>
        <v>2.1351543089605536</v>
      </c>
      <c r="AM4" s="60">
        <f t="shared" ref="AM4:AM67" si="5">AL4+(AD4+AE4)*44/12</f>
        <v>260.02404319784944</v>
      </c>
      <c r="AN4" s="60">
        <f ca="1">AVERAGE(OFFSET($AM$3,0,0,'Données projet'!$E$10+1,1))-AVERAGE(OFFSET($H$3,0,0,'Données projet'!$E$10+1,1))</f>
        <v>206.5885410269899</v>
      </c>
      <c r="AO4" s="60">
        <f>$AO$3</f>
        <v>347.41156847586302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2.84</v>
      </c>
      <c r="BD4" s="13">
        <f>IF('Données projet'!$A$88&gt;35,BD3+BC4-BL3,IF(A4&lt;'Données projet'!$A$88,$BA$205^A4,IF(A4='Données projet'!$A$88,'Données projet'!$B$88,BD3+BC4-BL3)))</f>
        <v>1.185906184594963</v>
      </c>
      <c r="BE4" s="14">
        <f>BD4*VLOOKUP('Données projet'!$B$11,Paramètres!$A$1:$I$89,3,0)*VLOOKUP('Données projet'!$B$11,Paramètres!$A$1:$I$89,5,0)</f>
        <v>1.1285083252605668</v>
      </c>
      <c r="BF4" s="14">
        <f>EXP(-1.0587+0.8836*LN(BE4)+0.284)</f>
        <v>0.51279676560670906</v>
      </c>
      <c r="BG4" s="22">
        <f t="shared" ref="BG4:BG67" si="7">(BE4+BF4)*0.475*44/12</f>
        <v>2.8586063665938393</v>
      </c>
      <c r="BH4" s="60">
        <f t="shared" ref="BH4:BH67" si="8">BG4+(AY4+AZ4)*44/12</f>
        <v>260.7474952554827</v>
      </c>
      <c r="BI4" s="60">
        <f ca="1">AVERAGE(OFFSET($BH$3,0,0,'Données projet'!$E$11+1,1))-AVERAGE(OFFSET($H$3,0,0,'Données projet'!$E$11+1,1))</f>
        <v>389.12604446638119</v>
      </c>
      <c r="BJ4" s="60">
        <f>$BJ$3</f>
        <v>243.23852967152732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2.84</v>
      </c>
      <c r="BY4" s="13">
        <f>IF('Données projet'!$A$114&gt;35,BY3+BX4-CG3,IF(A4&lt;'Données projet'!$A$114,$BV$205^A4,IF(A4='Données projet'!$A$114,'Données projet'!$B$114,BY3+BX4-CG3)))</f>
        <v>1.185906184594963</v>
      </c>
      <c r="BZ4" s="14">
        <f>BY4*VLOOKUP('Données projet'!$B$12,Paramètres!$A$1:$I$89,3,0)*VLOOKUP('Données projet'!$B$12,Paramètres!$A$1:$I$89,5,0)</f>
        <v>1.0730079158215224</v>
      </c>
      <c r="CA4" s="14">
        <f>EXP(-1.0587+0.8836*LN(BZ4)+0.284)</f>
        <v>0.49044782191261621</v>
      </c>
      <c r="CB4" s="22">
        <f t="shared" ref="CB4:CB67" si="10">(BZ4+CA4)*0.475*44/12</f>
        <v>2.7230187432202917</v>
      </c>
      <c r="CC4" s="60">
        <f t="shared" ref="CC4:CC67" si="11">CB4+(BT4+BU4)*44/12</f>
        <v>260.61190763210914</v>
      </c>
      <c r="CD4" s="60">
        <f ca="1">AVERAGE(OFFSET($CC$3,0,0,'Données projet'!$E$12+1,1))-AVERAGE(OFFSET($H$3,0,0,'Données projet'!$E$12+1,1))</f>
        <v>371.95849973474657</v>
      </c>
      <c r="CE4" s="60">
        <f>$CE$3</f>
        <v>233.32640143610547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2.84</v>
      </c>
      <c r="CT4" s="13">
        <f>IF('Données projet'!$A$140&gt;35,CT3+CS4-DB3,IF(A4&lt;'Données projet'!$A$140,$CQ$205^A4,IF(A4='Données projet'!$A$140,'Données projet'!$B$140,CT3+CS4-DB3)))</f>
        <v>1.185906184594963</v>
      </c>
      <c r="CU4" s="18">
        <f>CT4*VLOOKUP('Données projet'!$B$13,Paramètres!$A$1:$I$89,3,0)*VLOOKUP('Données projet'!$B$13,Paramètres!$A$1:$I$89,5,0)</f>
        <v>1.1470084617402483</v>
      </c>
      <c r="CV4" s="14">
        <f>EXP(-1.0587+0.8836*LN(CU4)+0.284)</f>
        <v>0.52021770868717121</v>
      </c>
      <c r="CW4" s="22">
        <f t="shared" ref="CW4:CW67" si="13">(CU4+CV4)*0.475*44/12</f>
        <v>2.9037522468277555</v>
      </c>
      <c r="CX4" s="60">
        <f t="shared" ref="CX4:CX67" si="14">CW4+(CO4+CP4)*44/12</f>
        <v>260.79264113571662</v>
      </c>
      <c r="CY4" s="60">
        <f ca="1">AVERAGE(OFFSET($CX$3,0,0,'Données projet'!$E$13+1,1))-AVERAGE(OFFSET($H$3,0,0,'Données projet'!$E$13+1,1))</f>
        <v>394.8445842828649</v>
      </c>
      <c r="CZ4" s="60">
        <f>$CZ$3</f>
        <v>246.54010105494143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3.95</v>
      </c>
      <c r="DO4" s="13">
        <f>IF('Données projet'!$A$166&gt;35,DO3+DN4-DW3,IF(A4&lt;'Données projet'!$A$166,$DL$205^A4,IF(A4='Données projet'!$A$166,'Données projet'!$B$166,DO3+DN4-DW3)))</f>
        <v>1.2441746677543575</v>
      </c>
      <c r="DP4" s="18">
        <f>DO4*VLOOKUP('Données projet'!$B$14,Paramètres!$A$1:$I$89,3,0)*VLOOKUP('Données projet'!$B$14,Paramètres!$A$1:$I$89,5,0)</f>
        <v>1.0869109897502069</v>
      </c>
      <c r="DQ4" s="14">
        <f>EXP(-1.0587+0.8836*LN(DP4)+0.284)</f>
        <v>0.49605869398208868</v>
      </c>
      <c r="DR4" s="22">
        <f t="shared" ref="DR4:DR67" si="16">(DP4+DQ4)*0.475*44/12</f>
        <v>2.7570055325004148</v>
      </c>
      <c r="DS4" s="60">
        <f t="shared" ref="DS4:DS67" si="17">DR4+(DJ4+DK4)*44/12</f>
        <v>260.64589442138924</v>
      </c>
      <c r="DT4" s="60">
        <f ca="1">AVERAGE(OFFSET($DS$3,0,0,'Données projet'!$E$14+1,1))-AVERAGE(OFFSET($H$3,0,0,'Données projet'!$E$14+1,1))</f>
        <v>266.98113257513319</v>
      </c>
      <c r="DU4" s="60">
        <f>$DU$3</f>
        <v>275.73257102713393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2.84</v>
      </c>
      <c r="EJ4" s="13">
        <f>IF('Données projet'!$A$192&gt;35,EJ3+EI4-ER3,IF(A4&lt;'Données projet'!$A$192,$EG$205^A4,IF(A4='Données projet'!$A$192,'Données projet'!$B$192,EJ3+EI4-ER3)))</f>
        <v>1.185906184594963</v>
      </c>
      <c r="EK4" s="18">
        <f>EJ4*VLOOKUP('Données projet'!$B$15,Paramètres!$A$1:$I$89,3,0)*VLOOKUP('Données projet'!$B$15,Paramètres!$A$1:$I$89,5,0)</f>
        <v>1.3505099630167439</v>
      </c>
      <c r="EL4" s="14">
        <f>EXP(-1.0587+0.8836*LN(EK4)+0.284)</f>
        <v>0.60097985454559089</v>
      </c>
      <c r="EM4" s="22">
        <f t="shared" ref="EM4:EM67" si="19">(EK4+EL4)*0.475*44/12</f>
        <v>3.3988447655877327</v>
      </c>
      <c r="EN4" s="60">
        <f t="shared" ref="EN4:EN67" si="20">EM4+(EE4+EF4)*44/12</f>
        <v>261.2877336544766</v>
      </c>
      <c r="EO4" s="60">
        <f ca="1">AVERAGE(OFFSET($EN$3,0,0,'Données projet'!$E$15+1,1))-AVERAGE(OFFSET($H$3,0,0,'Données projet'!$E$15+1,1))</f>
        <v>457.62828850677369</v>
      </c>
      <c r="EP4" s="60">
        <f>$EP$3</f>
        <v>282.78263556175563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2.84</v>
      </c>
      <c r="FE4" s="13">
        <f>IF('Données projet'!$A$218&gt;35,FE3+FD4-FM3,IF(A4&lt;'Données projet'!$A$218,$FB$205^A4,IF(A4='Données projet'!$A$218,'Données projet'!$B$218,FE3+FD4-FM3)))</f>
        <v>1.185906184594963</v>
      </c>
      <c r="FF4" s="18">
        <f>FE4*VLOOKUP('Données projet'!$B$16,Paramètres!$A$1:$I$89,3,0)*VLOOKUP('Données projet'!$B$16,Paramètres!$A$1:$I$89,5,0)</f>
        <v>1.2950095535776995</v>
      </c>
      <c r="FG4" s="14">
        <f>EXP(-1.0587+0.8836*LN(FF4)+0.284)</f>
        <v>0.57910386465231778</v>
      </c>
      <c r="FH4" s="22">
        <f t="shared" ref="FH4:FH67" si="22">(FF4+FG4)*0.475*44/12</f>
        <v>3.2640808700839465</v>
      </c>
      <c r="FI4" s="60">
        <f t="shared" ref="FI4:FI67" si="23">FH4+(EZ4+FA4)*44/12</f>
        <v>261.1529697589728</v>
      </c>
      <c r="FJ4" s="60">
        <f ca="1">AVERAGE(OFFSET($FI$3,0,0,'Données projet'!$E$16+1,1))-AVERAGE(OFFSET($H$3,0,0,'Données projet'!$E$16+1,1))</f>
        <v>440.52623925652182</v>
      </c>
      <c r="FK4" s="60">
        <f>$FK$3</f>
        <v>272.91122662088918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6.5</v>
      </c>
      <c r="FZ4" s="13">
        <f>IF('Données projet'!$A$244&gt;35,FZ3+FY4-GH3,IF(A4&lt;'Données projet'!$A$244,$FW$205^A4,IF(A4='Données projet'!$A$244,'Données projet'!$B$244,FZ3+FY4-GH3)))</f>
        <v>1.1921598380198544</v>
      </c>
      <c r="GA4" s="18">
        <f>FZ4*VLOOKUP('Données projet'!$B$17,Paramètres!$A$1:$I$89,3,0)*VLOOKUP('Données projet'!$B$17,Paramètres!$A$1:$I$89,5,0)</f>
        <v>0.55793080419329188</v>
      </c>
      <c r="GB4" s="14">
        <f>EXP(-1.0587+0.8836*LN(GA4)+0.284)</f>
        <v>0.27518860925423011</v>
      </c>
      <c r="GC4" s="22">
        <f t="shared" ref="GC4:GC67" si="25">(GA4+GB4)*0.475*44/12</f>
        <v>1.4510163117544339</v>
      </c>
      <c r="GD4" s="60">
        <f t="shared" ref="GD4:GD67" si="26">GC4+(FU4+FV4)*44/12</f>
        <v>259.33990520064327</v>
      </c>
      <c r="GE4" s="60">
        <f ca="1">AVERAGE(OFFSET($GD$3,0,0,'Données projet'!$E$17+1,1))-AVERAGE(OFFSET($H$3,0,0,'Données projet'!$E$17+1,1))</f>
        <v>317.54276561627643</v>
      </c>
      <c r="GF4" s="60">
        <f>$GF$3</f>
        <v>238.92443174298893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18.75</v>
      </c>
      <c r="GU4" s="13">
        <f>IF('Données projet'!$A$270&gt;35,GU3+GT4-HC3,IF(A4&lt;'Données projet'!$A$270,$GR$205^A4,IF(A4='Données projet'!$A$270,'Données projet'!$B$270,GU3+GT4-HC3)))</f>
        <v>1.4283021121424171</v>
      </c>
      <c r="GV4" s="18">
        <f>GU4*VLOOKUP('Données projet'!$B$18,Paramètres!$A$1:$I$89,3,0)*VLOOKUP('Données projet'!$B$18,Paramètres!$A$1:$I$89,5,0)</f>
        <v>0.7642558941651646</v>
      </c>
      <c r="GW4" s="14">
        <f>EXP(-1.0587+0.8836*LN(GV4)+0.284)</f>
        <v>0.3633974418389968</v>
      </c>
      <c r="GX4" s="22">
        <f t="shared" ref="GX4:GX67" si="28">(GV4+GW4)*0.475*44/12</f>
        <v>1.9639962268739144</v>
      </c>
      <c r="GY4" s="60">
        <f t="shared" ref="GY4:GY67" si="29">GX4+(GP4+GQ4)*44/12</f>
        <v>259.85288511576277</v>
      </c>
      <c r="GZ4" s="60">
        <f ca="1">AVERAGE(OFFSET($GY$3,0,0,'Données projet'!$E$18+1,1))-AVERAGE(OFFSET($H$3,0,0,'Données projet'!$E$18+1,1))</f>
        <v>79.868679770907136</v>
      </c>
      <c r="HA4" s="60">
        <f>$HA$3</f>
        <v>370.47471103028312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0">
        <f t="shared" si="0"/>
        <v>262.0512076998549</v>
      </c>
      <c r="S5" s="60">
        <f ca="1">AVERAGE(OFFSET($R$3,0,0,'Données projet'!$E$9+1,1))-AVERAGE(OFFSET($H$3,0,0,'Données projet'!$E$9+1,1))</f>
        <v>206.5885410269899</v>
      </c>
      <c r="T5" s="60">
        <f t="shared" ref="T5:T68" si="34">$T$3</f>
        <v>347.41156847586302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5.7692307692307692</v>
      </c>
      <c r="AI5" s="14">
        <f>IF('Données projet'!$A$62&gt;35,AI4+AH5-AQ4,IF(A5&lt;'Données projet'!$A$62,$AF$205^A5,IF(A5='Données projet'!$A$62,'Données projet'!$B$62,AI4+AH5-AQ4)))</f>
        <v>1.9429917814163926</v>
      </c>
      <c r="AJ5" s="14">
        <f>AI5*VLOOKUP('Données projet'!$B$10,Paramètres!$A$1:$I$89,3,0)*VLOOKUP('Données projet'!$B$10,Paramètres!$A$1:$I$89,5,0)</f>
        <v>1.1619090852870029</v>
      </c>
      <c r="AK5" s="14">
        <f t="shared" ref="AK5:AK68" si="35">EXP(-1.0587+0.8836*LN(AJ5)+0.284)</f>
        <v>0.52618464987689018</v>
      </c>
      <c r="AL5" s="22">
        <f t="shared" si="4"/>
        <v>2.9400965887437809</v>
      </c>
      <c r="AM5" s="60">
        <f t="shared" si="5"/>
        <v>262.0512076998549</v>
      </c>
      <c r="AN5" s="60">
        <f ca="1">AVERAGE(OFFSET($AM$3,0,0,'Données projet'!$E$10+1,1))-AVERAGE(OFFSET($H$3,0,0,'Données projet'!$E$10+1,1))</f>
        <v>206.5885410269899</v>
      </c>
      <c r="AO5" s="60">
        <f t="shared" ref="AO5:AO68" si="36">$AO$3</f>
        <v>347.41156847586302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2.84</v>
      </c>
      <c r="BD5" s="13">
        <f>IF('Données projet'!$A$88&gt;35,BD4+BC5-BL4,IF(A5&lt;'Données projet'!$A$88,$BA$205^A5,IF(A5='Données projet'!$A$88,'Données projet'!$B$88,BD4+BC5-BL4)))</f>
        <v>1.4063734786605824</v>
      </c>
      <c r="BE5" s="14">
        <f>BD5*VLOOKUP('Données projet'!$B$11,Paramètres!$A$1:$I$89,3,0)*VLOOKUP('Données projet'!$B$11,Paramètres!$A$1:$I$89,5,0)</f>
        <v>1.3383050022934102</v>
      </c>
      <c r="BF5" s="14">
        <f t="shared" ref="BF5:BF68" si="37">EXP(-1.0587+0.8836*LN(BE5)+0.284)</f>
        <v>0.59617828357056835</v>
      </c>
      <c r="BG5" s="22">
        <f t="shared" si="7"/>
        <v>3.3692250562130952</v>
      </c>
      <c r="BH5" s="60">
        <f t="shared" si="8"/>
        <v>262.48033616732425</v>
      </c>
      <c r="BI5" s="60">
        <f ca="1">AVERAGE(OFFSET($BH$3,0,0,'Données projet'!$E$11+1,1))-AVERAGE(OFFSET($H$3,0,0,'Données projet'!$E$11+1,1))</f>
        <v>389.12604446638119</v>
      </c>
      <c r="BJ5" s="60">
        <f t="shared" ref="BJ5:BJ68" si="38">$BJ$3</f>
        <v>243.23852967152732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2.84</v>
      </c>
      <c r="BY5" s="13">
        <f>IF('Données projet'!$A$114&gt;35,BY4+BX5-CG4,IF(A5&lt;'Données projet'!$A$114,$BV$205^A5,IF(A5='Données projet'!$A$114,'Données projet'!$B$114,BY4+BX5-CG4)))</f>
        <v>1.4063734786605824</v>
      </c>
      <c r="BZ5" s="14">
        <f>BY5*VLOOKUP('Données projet'!$B$12,Paramètres!$A$1:$I$89,3,0)*VLOOKUP('Données projet'!$B$12,Paramètres!$A$1:$I$89,5,0)</f>
        <v>1.2724867234920949</v>
      </c>
      <c r="CA5" s="14">
        <f t="shared" ref="CA5:CA68" si="39">EXP(-1.0587+0.8836*LN(BZ5)+0.284)</f>
        <v>0.570195368340213</v>
      </c>
      <c r="CB5" s="22">
        <f t="shared" si="10"/>
        <v>3.209337976607936</v>
      </c>
      <c r="CC5" s="60">
        <f t="shared" si="11"/>
        <v>262.32044908771906</v>
      </c>
      <c r="CD5" s="60">
        <f ca="1">AVERAGE(OFFSET($CC$3,0,0,'Données projet'!$E$12+1,1))-AVERAGE(OFFSET($H$3,0,0,'Données projet'!$E$12+1,1))</f>
        <v>371.95849973474657</v>
      </c>
      <c r="CE5" s="60">
        <f t="shared" ref="CE5:CE68" si="40">$CE$3</f>
        <v>233.32640143610547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2.84</v>
      </c>
      <c r="CT5" s="13">
        <f>IF('Données projet'!$A$140&gt;35,CT4+CS5-DB4,IF(A5&lt;'Données projet'!$A$140,$CQ$205^A5,IF(A5='Données projet'!$A$140,'Données projet'!$B$140,CT4+CS5-DB4)))</f>
        <v>1.4063734786605824</v>
      </c>
      <c r="CU5" s="18">
        <f>CT5*VLOOKUP('Données projet'!$B$13,Paramètres!$A$1:$I$89,3,0)*VLOOKUP('Données projet'!$B$13,Paramètres!$A$1:$I$89,5,0)</f>
        <v>1.3602444285605153</v>
      </c>
      <c r="CV5" s="14">
        <f t="shared" ref="CV5:CV68" si="41">EXP(-1.0587+0.8836*LN(CU5)+0.284)</f>
        <v>0.60480588305035499</v>
      </c>
      <c r="CW5" s="22">
        <f t="shared" si="13"/>
        <v>3.4224626260555984</v>
      </c>
      <c r="CX5" s="60">
        <f t="shared" si="14"/>
        <v>262.53357373716676</v>
      </c>
      <c r="CY5" s="60">
        <f ca="1">AVERAGE(OFFSET($CX$3,0,0,'Données projet'!$E$13+1,1))-AVERAGE(OFFSET($H$3,0,0,'Données projet'!$E$13+1,1))</f>
        <v>394.8445842828649</v>
      </c>
      <c r="CZ5" s="60">
        <f t="shared" ref="CZ5:CZ68" si="42">$CZ$3</f>
        <v>246.54010105494143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3.95</v>
      </c>
      <c r="DO5" s="13">
        <f>IF('Données projet'!$A$166&gt;35,DO4+DN5-DW4,IF(A5&lt;'Données projet'!$A$166,$DL$205^A5,IF(A5='Données projet'!$A$166,'Données projet'!$B$166,DO4+DN5-DW4)))</f>
        <v>1.5479706038816659</v>
      </c>
      <c r="DP5" s="18">
        <f>DO5*VLOOKUP('Données projet'!$B$14,Paramètres!$A$1:$I$89,3,0)*VLOOKUP('Données projet'!$B$14,Paramètres!$A$1:$I$89,5,0)</f>
        <v>1.3523071195510235</v>
      </c>
      <c r="DQ5" s="14">
        <f t="shared" ref="DQ5:DQ68" si="43">EXP(-1.0587+0.8836*LN(DP5)+0.284)</f>
        <v>0.60168644882220068</v>
      </c>
      <c r="DR5" s="22">
        <f t="shared" si="16"/>
        <v>3.4032054649166987</v>
      </c>
      <c r="DS5" s="60">
        <f t="shared" si="17"/>
        <v>262.51431657602785</v>
      </c>
      <c r="DT5" s="60">
        <f ca="1">AVERAGE(OFFSET($DS$3,0,0,'Données projet'!$E$14+1,1))-AVERAGE(OFFSET($H$3,0,0,'Données projet'!$E$14+1,1))</f>
        <v>266.98113257513319</v>
      </c>
      <c r="DU5" s="60">
        <f t="shared" ref="DU5:DU68" si="44">$DU$3</f>
        <v>275.73257102713393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2.84</v>
      </c>
      <c r="EJ5" s="13">
        <f>IF('Données projet'!$A$192&gt;35,EJ4+EI5-ER4,IF(A5&lt;'Données projet'!$A$192,$EG$205^A5,IF(A5='Données projet'!$A$192,'Données projet'!$B$192,EJ4+EI5-ER4)))</f>
        <v>1.4063734786605824</v>
      </c>
      <c r="EK5" s="18">
        <f>EJ5*VLOOKUP('Données projet'!$B$15,Paramètres!$A$1:$I$89,3,0)*VLOOKUP('Données projet'!$B$15,Paramètres!$A$1:$I$89,5,0)</f>
        <v>1.6015781174986712</v>
      </c>
      <c r="EL5" s="14">
        <f t="shared" ref="EL5:EL68" si="45">EXP(-1.0587+0.8836*LN(EK5)+0.284)</f>
        <v>0.6987000741308742</v>
      </c>
      <c r="EM5" s="22">
        <f t="shared" si="19"/>
        <v>4.0063178504214578</v>
      </c>
      <c r="EN5" s="60">
        <f t="shared" si="20"/>
        <v>263.1174289615326</v>
      </c>
      <c r="EO5" s="60">
        <f ca="1">AVERAGE(OFFSET($EN$3,0,0,'Données projet'!$E$15+1,1))-AVERAGE(OFFSET($H$3,0,0,'Données projet'!$E$15+1,1))</f>
        <v>457.62828850677369</v>
      </c>
      <c r="EP5" s="60">
        <f t="shared" ref="EP5:EP68" si="46">$EP$3</f>
        <v>282.78263556175563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2.84</v>
      </c>
      <c r="FE5" s="13">
        <f>IF('Données projet'!$A$218&gt;35,FE4+FD5-FM4,IF(A5&lt;'Données projet'!$A$218,$FB$205^A5,IF(A5='Données projet'!$A$218,'Données projet'!$B$218,FE4+FD5-FM4)))</f>
        <v>1.4063734786605824</v>
      </c>
      <c r="FF5" s="18">
        <f>FE5*VLOOKUP('Données projet'!$B$16,Paramètres!$A$1:$I$89,3,0)*VLOOKUP('Données projet'!$B$16,Paramètres!$A$1:$I$89,5,0)</f>
        <v>1.5357598386973559</v>
      </c>
      <c r="FG5" s="14">
        <f t="shared" ref="FG5:FG68" si="47">EXP(-1.0587+0.8836*LN(FF5)+0.284)</f>
        <v>0.67326701569387692</v>
      </c>
      <c r="FH5" s="22">
        <f t="shared" si="22"/>
        <v>3.8473884380647303</v>
      </c>
      <c r="FI5" s="60">
        <f t="shared" si="23"/>
        <v>262.95849954917588</v>
      </c>
      <c r="FJ5" s="60">
        <f ca="1">AVERAGE(OFFSET($FI$3,0,0,'Données projet'!$E$16+1,1))-AVERAGE(OFFSET($H$3,0,0,'Données projet'!$E$16+1,1))</f>
        <v>440.52623925652182</v>
      </c>
      <c r="FK5" s="60">
        <f t="shared" ref="FK5:FK68" si="48">$FK$3</f>
        <v>272.91122662088918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6.5</v>
      </c>
      <c r="FZ5" s="13">
        <f>IF('Données projet'!$A$244&gt;35,FZ4+FY5-GH4,IF(A5&lt;'Données projet'!$A$244,$FW$205^A5,IF(A5='Données projet'!$A$244,'Données projet'!$B$244,FZ4+FY5-GH4)))</f>
        <v>1.4212450793875253</v>
      </c>
      <c r="GA5" s="18">
        <f>FZ5*VLOOKUP('Données projet'!$B$17,Paramètres!$A$1:$I$89,3,0)*VLOOKUP('Données projet'!$B$17,Paramètres!$A$1:$I$89,5,0)</f>
        <v>0.66514269715336183</v>
      </c>
      <c r="GB5" s="14">
        <f t="shared" ref="GB5:GB68" si="49">EXP(-1.0587+0.8836*LN(GA5)+0.284)</f>
        <v>0.3214249656415451</v>
      </c>
      <c r="GC5" s="22">
        <f t="shared" si="25"/>
        <v>1.7182720127011295</v>
      </c>
      <c r="GD5" s="60">
        <f t="shared" si="26"/>
        <v>260.82938312381225</v>
      </c>
      <c r="GE5" s="60">
        <f ca="1">AVERAGE(OFFSET($GD$3,0,0,'Données projet'!$E$17+1,1))-AVERAGE(OFFSET($H$3,0,0,'Données projet'!$E$17+1,1))</f>
        <v>317.54276561627643</v>
      </c>
      <c r="GF5" s="60">
        <f t="shared" ref="GF5:GF68" si="50">$GF$3</f>
        <v>238.92443174298893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18.75</v>
      </c>
      <c r="GU5" s="13">
        <f>IF('Données projet'!$A$270&gt;35,GU4+GT5-HC4,IF(A5&lt;'Données projet'!$A$270,$GR$205^A5,IF(A5='Données projet'!$A$270,'Données projet'!$B$270,GU4+GT5-HC4)))</f>
        <v>2.0400469235504897</v>
      </c>
      <c r="GV5" s="18">
        <f>GU5*VLOOKUP('Données projet'!$B$18,Paramètres!$A$1:$I$89,3,0)*VLOOKUP('Données projet'!$B$18,Paramètres!$A$1:$I$89,5,0)</f>
        <v>1.0915883078533961</v>
      </c>
      <c r="GW5" s="14">
        <f t="shared" ref="GW5:GW68" si="51">EXP(-1.0587+0.8836*LN(GV5)+0.284)</f>
        <v>0.49794443952502182</v>
      </c>
      <c r="GX5" s="22">
        <f t="shared" si="28"/>
        <v>2.7684362016840773</v>
      </c>
      <c r="GY5" s="60">
        <f t="shared" si="29"/>
        <v>261.87954731279524</v>
      </c>
      <c r="GZ5" s="60">
        <f ca="1">AVERAGE(OFFSET($GY$3,0,0,'Données projet'!$E$18+1,1))-AVERAGE(OFFSET($H$3,0,0,'Données projet'!$E$18+1,1))</f>
        <v>79.868679770907136</v>
      </c>
      <c r="HA5" s="60">
        <f t="shared" ref="HA5:HA68" si="52">$HA$3</f>
        <v>370.47471103028312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0">
        <f t="shared" si="0"/>
        <v>264.38312954955643</v>
      </c>
      <c r="S6" s="60">
        <f ca="1">AVERAGE(OFFSET($R$3,0,0,'Données projet'!$E$9+1,1))-AVERAGE(OFFSET($H$3,0,0,'Données projet'!$E$9+1,1))</f>
        <v>206.5885410269899</v>
      </c>
      <c r="T6" s="60">
        <f t="shared" si="34"/>
        <v>347.41156847586302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5.7692307692307692</v>
      </c>
      <c r="AI6" s="14">
        <f>IF('Données projet'!$A$62&gt;35,AI5+AH6-AQ5,IF(A6&lt;'Données projet'!$A$62,$AF$205^A6,IF(A6='Données projet'!$A$62,'Données projet'!$B$62,AI5+AH6-AQ5)))</f>
        <v>2.7083603389865027</v>
      </c>
      <c r="AJ6" s="14">
        <f>AI6*VLOOKUP('Données projet'!$B$10,Paramètres!$A$1:$I$89,3,0)*VLOOKUP('Données projet'!$B$10,Paramètres!$A$1:$I$89,5,0)</f>
        <v>1.6195994827139286</v>
      </c>
      <c r="AK6" s="14">
        <f t="shared" si="35"/>
        <v>0.70564236392136903</v>
      </c>
      <c r="AL6" s="22">
        <f t="shared" si="4"/>
        <v>4.0497962162231431</v>
      </c>
      <c r="AM6" s="60">
        <f t="shared" si="5"/>
        <v>264.38312954955643</v>
      </c>
      <c r="AN6" s="60">
        <f ca="1">AVERAGE(OFFSET($AM$3,0,0,'Données projet'!$E$10+1,1))-AVERAGE(OFFSET($H$3,0,0,'Données projet'!$E$10+1,1))</f>
        <v>206.5885410269899</v>
      </c>
      <c r="AO6" s="60">
        <f t="shared" si="36"/>
        <v>347.41156847586302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2.84</v>
      </c>
      <c r="BD6" s="13">
        <f>IF('Données projet'!$A$88&gt;35,BD5+BC6-BL5,IF(A6&lt;'Données projet'!$A$88,$BA$205^A6,IF(A6='Données projet'!$A$88,'Données projet'!$B$88,BD5+BC6-BL5)))</f>
        <v>1.6678270061939169</v>
      </c>
      <c r="BE6" s="14">
        <f>BD6*VLOOKUP('Données projet'!$B$11,Paramètres!$A$1:$I$89,3,0)*VLOOKUP('Données projet'!$B$11,Paramètres!$A$1:$I$89,5,0)</f>
        <v>1.5871041790941314</v>
      </c>
      <c r="BF6" s="14">
        <f t="shared" si="37"/>
        <v>0.69311776056276053</v>
      </c>
      <c r="BG6" s="22">
        <f t="shared" si="7"/>
        <v>3.9713865449024204</v>
      </c>
      <c r="BH6" s="60">
        <f t="shared" si="8"/>
        <v>264.30471987823574</v>
      </c>
      <c r="BI6" s="60">
        <f ca="1">AVERAGE(OFFSET($BH$3,0,0,'Données projet'!$E$11+1,1))-AVERAGE(OFFSET($H$3,0,0,'Données projet'!$E$11+1,1))</f>
        <v>389.12604446638119</v>
      </c>
      <c r="BJ6" s="60">
        <f t="shared" si="38"/>
        <v>243.23852967152732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2.84</v>
      </c>
      <c r="BY6" s="13">
        <f>IF('Données projet'!$A$114&gt;35,BY5+BX6-CG5,IF(A6&lt;'Données projet'!$A$114,$BV$205^A6,IF(A6='Données projet'!$A$114,'Données projet'!$B$114,BY5+BX6-CG5)))</f>
        <v>1.6678270061939169</v>
      </c>
      <c r="BZ6" s="14">
        <f>BY6*VLOOKUP('Données projet'!$B$12,Paramètres!$A$1:$I$89,3,0)*VLOOKUP('Données projet'!$B$12,Paramètres!$A$1:$I$89,5,0)</f>
        <v>1.5090498752042558</v>
      </c>
      <c r="CA6" s="14">
        <f t="shared" si="39"/>
        <v>0.66290998461108197</v>
      </c>
      <c r="CB6" s="22">
        <f t="shared" si="10"/>
        <v>3.7828300891783795</v>
      </c>
      <c r="CC6" s="60">
        <f t="shared" si="11"/>
        <v>264.1161634225117</v>
      </c>
      <c r="CD6" s="60">
        <f ca="1">AVERAGE(OFFSET($CC$3,0,0,'Données projet'!$E$12+1,1))-AVERAGE(OFFSET($H$3,0,0,'Données projet'!$E$12+1,1))</f>
        <v>371.95849973474657</v>
      </c>
      <c r="CE6" s="60">
        <f t="shared" si="40"/>
        <v>233.32640143610547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2.84</v>
      </c>
      <c r="CT6" s="13">
        <f>IF('Données projet'!$A$140&gt;35,CT5+CS6-DB5,IF(A6&lt;'Données projet'!$A$140,$CQ$205^A6,IF(A6='Données projet'!$A$140,'Données projet'!$B$140,CT5+CS6-DB5)))</f>
        <v>1.6678270061939169</v>
      </c>
      <c r="CU6" s="18">
        <f>CT6*VLOOKUP('Données projet'!$B$13,Paramètres!$A$1:$I$89,3,0)*VLOOKUP('Données projet'!$B$13,Paramètres!$A$1:$I$89,5,0)</f>
        <v>1.6131222803907566</v>
      </c>
      <c r="CV6" s="14">
        <f t="shared" si="41"/>
        <v>0.70314822056987081</v>
      </c>
      <c r="CW6" s="22">
        <f t="shared" si="13"/>
        <v>4.0341711225064261</v>
      </c>
      <c r="CX6" s="60">
        <f t="shared" si="14"/>
        <v>264.36750445583976</v>
      </c>
      <c r="CY6" s="60">
        <f ca="1">AVERAGE(OFFSET($CX$3,0,0,'Données projet'!$E$13+1,1))-AVERAGE(OFFSET($H$3,0,0,'Données projet'!$E$13+1,1))</f>
        <v>394.8445842828649</v>
      </c>
      <c r="CZ6" s="60">
        <f t="shared" si="42"/>
        <v>246.54010105494143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3.95</v>
      </c>
      <c r="DO6" s="13">
        <f>IF('Données projet'!$A$166&gt;35,DO5+DN6-DW5,IF(A6&lt;'Données projet'!$A$166,$DL$205^A6,IF(A6='Données projet'!$A$166,'Données projet'!$B$166,DO5+DN6-DW5)))</f>
        <v>1.9259458117779837</v>
      </c>
      <c r="DP6" s="18">
        <f>DO6*VLOOKUP('Données projet'!$B$14,Paramètres!$A$1:$I$89,3,0)*VLOOKUP('Données projet'!$B$14,Paramètres!$A$1:$I$89,5,0)</f>
        <v>1.682506261169247</v>
      </c>
      <c r="DQ6" s="14">
        <f t="shared" si="43"/>
        <v>0.72980594249869668</v>
      </c>
      <c r="DR6" s="22">
        <f t="shared" si="16"/>
        <v>4.2014437547216685</v>
      </c>
      <c r="DS6" s="60">
        <f t="shared" si="17"/>
        <v>264.53477708805497</v>
      </c>
      <c r="DT6" s="60">
        <f ca="1">AVERAGE(OFFSET($DS$3,0,0,'Données projet'!$E$14+1,1))-AVERAGE(OFFSET($H$3,0,0,'Données projet'!$E$14+1,1))</f>
        <v>266.98113257513319</v>
      </c>
      <c r="DU6" s="60">
        <f t="shared" si="44"/>
        <v>275.73257102713393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2.84</v>
      </c>
      <c r="EJ6" s="13">
        <f>IF('Données projet'!$A$192&gt;35,EJ5+EI6-ER5,IF(A6&lt;'Données projet'!$A$192,$EG$205^A6,IF(A6='Données projet'!$A$192,'Données projet'!$B$192,EJ5+EI6-ER5)))</f>
        <v>1.6678270061939169</v>
      </c>
      <c r="EK6" s="18">
        <f>EJ6*VLOOKUP('Données projet'!$B$15,Paramètres!$A$1:$I$89,3,0)*VLOOKUP('Données projet'!$B$15,Paramètres!$A$1:$I$89,5,0)</f>
        <v>1.8993213946536327</v>
      </c>
      <c r="EL6" s="14">
        <f t="shared" si="45"/>
        <v>0.81230974698745961</v>
      </c>
      <c r="EM6" s="22">
        <f t="shared" si="19"/>
        <v>4.7227575716915684</v>
      </c>
      <c r="EN6" s="60">
        <f t="shared" si="20"/>
        <v>265.05609090502486</v>
      </c>
      <c r="EO6" s="60">
        <f ca="1">AVERAGE(OFFSET($EN$3,0,0,'Données projet'!$E$15+1,1))-AVERAGE(OFFSET($H$3,0,0,'Données projet'!$E$15+1,1))</f>
        <v>457.62828850677369</v>
      </c>
      <c r="EP6" s="60">
        <f t="shared" si="46"/>
        <v>282.78263556175563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2.84</v>
      </c>
      <c r="FE6" s="13">
        <f>IF('Données projet'!$A$218&gt;35,FE5+FD6-FM5,IF(A6&lt;'Données projet'!$A$218,$FB$205^A6,IF(A6='Données projet'!$A$218,'Données projet'!$B$218,FE5+FD6-FM5)))</f>
        <v>1.6678270061939169</v>
      </c>
      <c r="FF6" s="18">
        <f>FE6*VLOOKUP('Données projet'!$B$16,Paramètres!$A$1:$I$89,3,0)*VLOOKUP('Données projet'!$B$16,Paramètres!$A$1:$I$89,5,0)</f>
        <v>1.8212670907637569</v>
      </c>
      <c r="FG6" s="14">
        <f t="shared" si="47"/>
        <v>0.78274123536282103</v>
      </c>
      <c r="FH6" s="22">
        <f t="shared" si="22"/>
        <v>4.5353145013371234</v>
      </c>
      <c r="FI6" s="60">
        <f t="shared" si="23"/>
        <v>264.86864783467041</v>
      </c>
      <c r="FJ6" s="60">
        <f ca="1">AVERAGE(OFFSET($FI$3,0,0,'Données projet'!$E$16+1,1))-AVERAGE(OFFSET($H$3,0,0,'Données projet'!$E$16+1,1))</f>
        <v>440.52623925652182</v>
      </c>
      <c r="FK6" s="60">
        <f t="shared" si="48"/>
        <v>272.91122662088918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6.5</v>
      </c>
      <c r="FZ6" s="13">
        <f>IF('Données projet'!$A$244&gt;35,FZ5+FY6-GH5,IF(A6&lt;'Données projet'!$A$244,$FW$205^A6,IF(A6='Données projet'!$A$244,'Données projet'!$B$244,FZ5+FY6-GH5)))</f>
        <v>1.6943513036291473</v>
      </c>
      <c r="GA6" s="18">
        <f>FZ6*VLOOKUP('Données projet'!$B$17,Paramètres!$A$1:$I$89,3,0)*VLOOKUP('Données projet'!$B$17,Paramètres!$A$1:$I$89,5,0)</f>
        <v>0.79295641009844098</v>
      </c>
      <c r="GB6" s="14">
        <f t="shared" si="49"/>
        <v>0.37542981454665864</v>
      </c>
      <c r="GC6" s="22">
        <f t="shared" si="25"/>
        <v>2.0349393412568815</v>
      </c>
      <c r="GD6" s="60">
        <f t="shared" si="26"/>
        <v>262.36827267459017</v>
      </c>
      <c r="GE6" s="60">
        <f ca="1">AVERAGE(OFFSET($GD$3,0,0,'Données projet'!$E$17+1,1))-AVERAGE(OFFSET($H$3,0,0,'Données projet'!$E$17+1,1))</f>
        <v>317.54276561627643</v>
      </c>
      <c r="GF6" s="60">
        <f t="shared" si="50"/>
        <v>238.92443174298893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18.75</v>
      </c>
      <c r="GU6" s="13">
        <f>IF('Données projet'!$A$270&gt;35,GU5+GT6-HC5,IF(A6&lt;'Données projet'!$A$270,$GR$205^A6,IF(A6='Données projet'!$A$270,'Données projet'!$B$270,GU5+GT6-HC5)))</f>
        <v>2.9138033297768047</v>
      </c>
      <c r="GV6" s="18">
        <f>GU6*VLOOKUP('Données projet'!$B$18,Paramètres!$A$1:$I$89,3,0)*VLOOKUP('Données projet'!$B$18,Paramètres!$A$1:$I$89,5,0)</f>
        <v>1.5591178856969727</v>
      </c>
      <c r="GW6" s="14">
        <f t="shared" si="51"/>
        <v>0.682307127972964</v>
      </c>
      <c r="GX6" s="22">
        <f t="shared" si="28"/>
        <v>3.9038152321418065</v>
      </c>
      <c r="GY6" s="60">
        <f t="shared" si="29"/>
        <v>264.23714856547514</v>
      </c>
      <c r="GZ6" s="60">
        <f ca="1">AVERAGE(OFFSET($GY$3,0,0,'Données projet'!$E$18+1,1))-AVERAGE(OFFSET($H$3,0,0,'Données projet'!$E$18+1,1))</f>
        <v>79.868679770907136</v>
      </c>
      <c r="HA6" s="60">
        <f t="shared" si="52"/>
        <v>370.47471103028312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0">
        <f t="shared" si="0"/>
        <v>267.13565485757238</v>
      </c>
      <c r="S7" s="60">
        <f ca="1">AVERAGE(OFFSET($R$3,0,0,'Données projet'!$E$9+1,1))-AVERAGE(OFFSET($H$3,0,0,'Données projet'!$E$9+1,1))</f>
        <v>206.5885410269899</v>
      </c>
      <c r="T7" s="60">
        <f t="shared" si="34"/>
        <v>347.41156847586302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5.7692307692307692</v>
      </c>
      <c r="AI7" s="14">
        <f>IF('Données projet'!$A$62&gt;35,AI6+AH7-AQ6,IF(A7&lt;'Données projet'!$A$62,$AF$205^A7,IF(A7='Données projet'!$A$62,'Données projet'!$B$62,AI6+AH7-AQ6)))</f>
        <v>3.775217062651647</v>
      </c>
      <c r="AJ7" s="14">
        <f>AI7*VLOOKUP('Données projet'!$B$10,Paramètres!$A$1:$I$89,3,0)*VLOOKUP('Données projet'!$B$10,Paramètres!$A$1:$I$89,5,0)</f>
        <v>2.2575798034656849</v>
      </c>
      <c r="AK7" s="14">
        <f t="shared" si="35"/>
        <v>0.94630496324253699</v>
      </c>
      <c r="AL7" s="22">
        <f t="shared" si="4"/>
        <v>5.5800993020168193</v>
      </c>
      <c r="AM7" s="60">
        <f t="shared" si="5"/>
        <v>267.13565485757238</v>
      </c>
      <c r="AN7" s="60">
        <f ca="1">AVERAGE(OFFSET($AM$3,0,0,'Données projet'!$E$10+1,1))-AVERAGE(OFFSET($H$3,0,0,'Données projet'!$E$10+1,1))</f>
        <v>206.5885410269899</v>
      </c>
      <c r="AO7" s="60">
        <f t="shared" si="36"/>
        <v>347.41156847586302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2.84</v>
      </c>
      <c r="BD7" s="13">
        <f>IF('Données projet'!$A$88&gt;35,BD6+BC7-BL6,IF(A7&lt;'Données projet'!$A$88,$BA$205^A7,IF(A7='Données projet'!$A$88,'Données projet'!$B$88,BD6+BC7-BL6)))</f>
        <v>1.9778863614798676</v>
      </c>
      <c r="BE7" s="14">
        <f>BD7*VLOOKUP('Données projet'!$B$11,Paramètres!$A$1:$I$89,3,0)*VLOOKUP('Données projet'!$B$11,Paramètres!$A$1:$I$89,5,0)</f>
        <v>1.882156661584242</v>
      </c>
      <c r="BF7" s="14">
        <f t="shared" si="37"/>
        <v>0.80581974091760233</v>
      </c>
      <c r="BG7" s="22">
        <f t="shared" si="7"/>
        <v>4.6815589010240446</v>
      </c>
      <c r="BH7" s="60">
        <f t="shared" si="8"/>
        <v>266.2371144565796</v>
      </c>
      <c r="BI7" s="60">
        <f ca="1">AVERAGE(OFFSET($BH$3,0,0,'Données projet'!$E$11+1,1))-AVERAGE(OFFSET($H$3,0,0,'Données projet'!$E$11+1,1))</f>
        <v>389.12604446638119</v>
      </c>
      <c r="BJ7" s="60">
        <f t="shared" si="38"/>
        <v>243.23852967152732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2.84</v>
      </c>
      <c r="BY7" s="13">
        <f>IF('Données projet'!$A$114&gt;35,BY6+BX7-CG6,IF(A7&lt;'Données projet'!$A$114,$BV$205^A7,IF(A7='Données projet'!$A$114,'Données projet'!$B$114,BY6+BX7-CG6)))</f>
        <v>1.9778863614798676</v>
      </c>
      <c r="BZ7" s="14">
        <f>BY7*VLOOKUP('Données projet'!$B$12,Paramètres!$A$1:$I$89,3,0)*VLOOKUP('Données projet'!$B$12,Paramètres!$A$1:$I$89,5,0)</f>
        <v>1.7895915798669841</v>
      </c>
      <c r="CA7" s="14">
        <f t="shared" si="39"/>
        <v>0.77070013559784434</v>
      </c>
      <c r="CB7" s="22">
        <f t="shared" si="10"/>
        <v>4.459174737767909</v>
      </c>
      <c r="CC7" s="60">
        <f t="shared" si="11"/>
        <v>266.01473029332345</v>
      </c>
      <c r="CD7" s="60">
        <f ca="1">AVERAGE(OFFSET($CC$3,0,0,'Données projet'!$E$12+1,1))-AVERAGE(OFFSET($H$3,0,0,'Données projet'!$E$12+1,1))</f>
        <v>371.95849973474657</v>
      </c>
      <c r="CE7" s="60">
        <f t="shared" si="40"/>
        <v>233.32640143610547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2.84</v>
      </c>
      <c r="CT7" s="13">
        <f>IF('Données projet'!$A$140&gt;35,CT6+CS7-DB6,IF(A7&lt;'Données projet'!$A$140,$CQ$205^A7,IF(A7='Données projet'!$A$140,'Données projet'!$B$140,CT6+CS7-DB6)))</f>
        <v>1.9778863614798676</v>
      </c>
      <c r="CU7" s="18">
        <f>CT7*VLOOKUP('Données projet'!$B$13,Paramètres!$A$1:$I$89,3,0)*VLOOKUP('Données projet'!$B$13,Paramètres!$A$1:$I$89,5,0)</f>
        <v>1.9130116888233279</v>
      </c>
      <c r="CV7" s="14">
        <f t="shared" si="41"/>
        <v>0.8174811686635185</v>
      </c>
      <c r="CW7" s="22">
        <f t="shared" si="13"/>
        <v>4.7556083934562574</v>
      </c>
      <c r="CX7" s="60">
        <f t="shared" si="14"/>
        <v>266.31116394901181</v>
      </c>
      <c r="CY7" s="60">
        <f ca="1">AVERAGE(OFFSET($CX$3,0,0,'Données projet'!$E$13+1,1))-AVERAGE(OFFSET($H$3,0,0,'Données projet'!$E$13+1,1))</f>
        <v>394.8445842828649</v>
      </c>
      <c r="CZ7" s="60">
        <f t="shared" si="42"/>
        <v>246.54010105494143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3.95</v>
      </c>
      <c r="DO7" s="13">
        <f>IF('Données projet'!$A$166&gt;35,DO6+DN7-DW6,IF(A7&lt;'Données projet'!$A$166,$DL$205^A7,IF(A7='Données projet'!$A$166,'Données projet'!$B$166,DO6+DN7-DW6)))</f>
        <v>2.3962129904817693</v>
      </c>
      <c r="DP7" s="18">
        <f>DO7*VLOOKUP('Données projet'!$B$14,Paramètres!$A$1:$I$89,3,0)*VLOOKUP('Données projet'!$B$14,Paramètres!$A$1:$I$89,5,0)</f>
        <v>2.0933316684848742</v>
      </c>
      <c r="DQ7" s="14">
        <f t="shared" si="43"/>
        <v>0.88520643060684912</v>
      </c>
      <c r="DR7" s="22">
        <f t="shared" si="16"/>
        <v>5.1876205225847505</v>
      </c>
      <c r="DS7" s="60">
        <f t="shared" si="17"/>
        <v>266.74317607814027</v>
      </c>
      <c r="DT7" s="60">
        <f ca="1">AVERAGE(OFFSET($DS$3,0,0,'Données projet'!$E$14+1,1))-AVERAGE(OFFSET($H$3,0,0,'Données projet'!$E$14+1,1))</f>
        <v>266.98113257513319</v>
      </c>
      <c r="DU7" s="60">
        <f t="shared" si="44"/>
        <v>275.73257102713393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2.84</v>
      </c>
      <c r="EJ7" s="13">
        <f>IF('Données projet'!$A$192&gt;35,EJ6+EI7-ER6,IF(A7&lt;'Données projet'!$A$192,$EG$205^A7,IF(A7='Données projet'!$A$192,'Données projet'!$B$192,EJ6+EI7-ER6)))</f>
        <v>1.9778863614798676</v>
      </c>
      <c r="EK7" s="18">
        <f>EJ7*VLOOKUP('Données projet'!$B$15,Paramètres!$A$1:$I$89,3,0)*VLOOKUP('Données projet'!$B$15,Paramètres!$A$1:$I$89,5,0)</f>
        <v>2.2524169884532732</v>
      </c>
      <c r="EL7" s="14">
        <f t="shared" si="45"/>
        <v>0.94439252188662837</v>
      </c>
      <c r="EM7" s="22">
        <f t="shared" si="19"/>
        <v>5.5677765638419956</v>
      </c>
      <c r="EN7" s="60">
        <f t="shared" si="20"/>
        <v>267.12333211939756</v>
      </c>
      <c r="EO7" s="60">
        <f ca="1">AVERAGE(OFFSET($EN$3,0,0,'Données projet'!$E$15+1,1))-AVERAGE(OFFSET($H$3,0,0,'Données projet'!$E$15+1,1))</f>
        <v>457.62828850677369</v>
      </c>
      <c r="EP7" s="60">
        <f t="shared" si="46"/>
        <v>282.78263556175563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2.84</v>
      </c>
      <c r="FE7" s="13">
        <f>IF('Données projet'!$A$218&gt;35,FE6+FD7-FM6,IF(A7&lt;'Données projet'!$A$218,$FB$205^A7,IF(A7='Données projet'!$A$218,'Données projet'!$B$218,FE6+FD7-FM6)))</f>
        <v>1.9778863614798676</v>
      </c>
      <c r="FF7" s="18">
        <f>FE7*VLOOKUP('Données projet'!$B$16,Paramètres!$A$1:$I$89,3,0)*VLOOKUP('Données projet'!$B$16,Paramètres!$A$1:$I$89,5,0)</f>
        <v>2.1598519067360153</v>
      </c>
      <c r="FG7" s="14">
        <f t="shared" si="47"/>
        <v>0.91001612622575312</v>
      </c>
      <c r="FH7" s="22">
        <f t="shared" si="22"/>
        <v>5.3466868240750793</v>
      </c>
      <c r="FI7" s="60">
        <f t="shared" si="23"/>
        <v>266.90224237963065</v>
      </c>
      <c r="FJ7" s="60">
        <f ca="1">AVERAGE(OFFSET($FI$3,0,0,'Données projet'!$E$16+1,1))-AVERAGE(OFFSET($H$3,0,0,'Données projet'!$E$16+1,1))</f>
        <v>440.52623925652182</v>
      </c>
      <c r="FK7" s="60">
        <f t="shared" si="48"/>
        <v>272.91122662088918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6.5</v>
      </c>
      <c r="FZ7" s="13">
        <f>IF('Données projet'!$A$244&gt;35,FZ6+FY7-GH6,IF(A7&lt;'Données projet'!$A$244,$FW$205^A7,IF(A7='Données projet'!$A$244,'Données projet'!$B$244,FZ6+FY7-GH6)))</f>
        <v>2.0199375756832532</v>
      </c>
      <c r="GA7" s="18">
        <f>FZ7*VLOOKUP('Données projet'!$B$17,Paramètres!$A$1:$I$89,3,0)*VLOOKUP('Données projet'!$B$17,Paramètres!$A$1:$I$89,5,0)</f>
        <v>0.94533078541976245</v>
      </c>
      <c r="GB7" s="14">
        <f t="shared" si="49"/>
        <v>0.43850839454619067</v>
      </c>
      <c r="GC7" s="22">
        <f t="shared" si="25"/>
        <v>2.4101865717740352</v>
      </c>
      <c r="GD7" s="60">
        <f t="shared" si="26"/>
        <v>263.96574212732958</v>
      </c>
      <c r="GE7" s="60">
        <f ca="1">AVERAGE(OFFSET($GD$3,0,0,'Données projet'!$E$17+1,1))-AVERAGE(OFFSET($H$3,0,0,'Données projet'!$E$17+1,1))</f>
        <v>317.54276561627643</v>
      </c>
      <c r="GF7" s="60">
        <f t="shared" si="50"/>
        <v>238.92443174298893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18.75</v>
      </c>
      <c r="GU7" s="13">
        <f>IF('Données projet'!$A$270&gt;35,GU6+GT7-HC6,IF(A7&lt;'Données projet'!$A$270,$GR$205^A7,IF(A7='Données projet'!$A$270,'Données projet'!$B$270,GU6+GT7-HC6)))</f>
        <v>4.1617914502878177</v>
      </c>
      <c r="GV7" s="18">
        <f>GU7*VLOOKUP('Données projet'!$B$18,Paramètres!$A$1:$I$89,3,0)*VLOOKUP('Données projet'!$B$18,Paramètres!$A$1:$I$89,5,0)</f>
        <v>2.2268913692200059</v>
      </c>
      <c r="GW7" s="14">
        <f t="shared" si="51"/>
        <v>0.93492964260588174</v>
      </c>
      <c r="GX7" s="22">
        <f t="shared" si="28"/>
        <v>5.5068382622634209</v>
      </c>
      <c r="GY7" s="60">
        <f t="shared" si="29"/>
        <v>267.06239381781899</v>
      </c>
      <c r="GZ7" s="60">
        <f ca="1">AVERAGE(OFFSET($GY$3,0,0,'Données projet'!$E$18+1,1))-AVERAGE(OFFSET($H$3,0,0,'Données projet'!$E$18+1,1))</f>
        <v>79.868679770907136</v>
      </c>
      <c r="HA7" s="60">
        <f t="shared" si="52"/>
        <v>370.47471103028312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0">
        <f t="shared" si="0"/>
        <v>270.46882998305745</v>
      </c>
      <c r="S8" s="60">
        <f ca="1">AVERAGE(OFFSET($R$3,0,0,'Données projet'!$E$9+1,1))-AVERAGE(OFFSET($H$3,0,0,'Données projet'!$E$9+1,1))</f>
        <v>206.5885410269899</v>
      </c>
      <c r="T8" s="60">
        <f t="shared" si="34"/>
        <v>347.41156847586302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5.7692307692307692</v>
      </c>
      <c r="AI8" s="14">
        <f>IF('Données projet'!$A$62&gt;35,AI7+AH8-AQ7,IF(A8&lt;'Données projet'!$A$62,$AF$205^A8,IF(A8='Données projet'!$A$62,'Données projet'!$B$62,AI7+AH8-AQ7)))</f>
        <v>5.2623218797648903</v>
      </c>
      <c r="AJ8" s="14">
        <f>AI8*VLOOKUP('Données projet'!$B$10,Paramètres!$A$1:$I$89,3,0)*VLOOKUP('Données projet'!$B$10,Paramètres!$A$1:$I$89,5,0)</f>
        <v>3.1468684840994046</v>
      </c>
      <c r="AK8" s="14">
        <f t="shared" si="35"/>
        <v>1.2690466576879811</v>
      </c>
      <c r="AL8" s="22">
        <f t="shared" si="4"/>
        <v>7.6910522052796955</v>
      </c>
      <c r="AM8" s="60">
        <f t="shared" si="5"/>
        <v>270.46882998305745</v>
      </c>
      <c r="AN8" s="60">
        <f ca="1">AVERAGE(OFFSET($AM$3,0,0,'Données projet'!$E$10+1,1))-AVERAGE(OFFSET($H$3,0,0,'Données projet'!$E$10+1,1))</f>
        <v>206.5885410269899</v>
      </c>
      <c r="AO8" s="60">
        <f t="shared" si="36"/>
        <v>347.41156847586302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2.84</v>
      </c>
      <c r="BD8" s="13">
        <f>IF('Données projet'!$A$88&gt;35,BD7+BC8-BL7,IF(A8&lt;'Données projet'!$A$88,$BA$205^A8,IF(A8='Données projet'!$A$88,'Données projet'!$B$88,BD7+BC8-BL7)))</f>
        <v>2.3455876685050034</v>
      </c>
      <c r="BE8" s="14">
        <f>BD8*VLOOKUP('Données projet'!$B$11,Paramètres!$A$1:$I$89,3,0)*VLOOKUP('Données projet'!$B$11,Paramètres!$A$1:$I$89,5,0)</f>
        <v>2.2320612253493612</v>
      </c>
      <c r="BF8" s="14">
        <f t="shared" si="37"/>
        <v>0.93684723116212032</v>
      </c>
      <c r="BG8" s="22">
        <f t="shared" si="7"/>
        <v>5.5191822284241638</v>
      </c>
      <c r="BH8" s="60">
        <f t="shared" si="8"/>
        <v>268.29696000620191</v>
      </c>
      <c r="BI8" s="60">
        <f ca="1">AVERAGE(OFFSET($BH$3,0,0,'Données projet'!$E$11+1,1))-AVERAGE(OFFSET($H$3,0,0,'Données projet'!$E$11+1,1))</f>
        <v>389.12604446638119</v>
      </c>
      <c r="BJ8" s="60">
        <f t="shared" si="38"/>
        <v>243.23852967152732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2.84</v>
      </c>
      <c r="BY8" s="13">
        <f>IF('Données projet'!$A$114&gt;35,BY7+BX8-CG7,IF(A8&lt;'Données projet'!$A$114,$BV$205^A8,IF(A8='Données projet'!$A$114,'Données projet'!$B$114,BY7+BX8-CG7)))</f>
        <v>2.3455876685050034</v>
      </c>
      <c r="BZ8" s="14">
        <f>BY8*VLOOKUP('Données projet'!$B$12,Paramètres!$A$1:$I$89,3,0)*VLOOKUP('Données projet'!$B$12,Paramètres!$A$1:$I$89,5,0)</f>
        <v>2.122287722463327</v>
      </c>
      <c r="CA8" s="14">
        <f t="shared" si="39"/>
        <v>0.89601712570223679</v>
      </c>
      <c r="CB8" s="22">
        <f t="shared" si="10"/>
        <v>5.2568809438883566</v>
      </c>
      <c r="CC8" s="60">
        <f t="shared" si="11"/>
        <v>268.03465872166612</v>
      </c>
      <c r="CD8" s="60">
        <f ca="1">AVERAGE(OFFSET($CC$3,0,0,'Données projet'!$E$12+1,1))-AVERAGE(OFFSET($H$3,0,0,'Données projet'!$E$12+1,1))</f>
        <v>371.95849973474657</v>
      </c>
      <c r="CE8" s="60">
        <f t="shared" si="40"/>
        <v>233.32640143610547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2.84</v>
      </c>
      <c r="CT8" s="13">
        <f>IF('Données projet'!$A$140&gt;35,CT7+CS8-DB7,IF(A8&lt;'Données projet'!$A$140,$CQ$205^A8,IF(A8='Données projet'!$A$140,'Données projet'!$B$140,CT7+CS8-DB7)))</f>
        <v>2.3455876685050034</v>
      </c>
      <c r="CU8" s="18">
        <f>CT8*VLOOKUP('Données projet'!$B$13,Paramètres!$A$1:$I$89,3,0)*VLOOKUP('Données projet'!$B$13,Paramètres!$A$1:$I$89,5,0)</f>
        <v>2.2686523929780393</v>
      </c>
      <c r="CV8" s="14">
        <f t="shared" si="41"/>
        <v>0.95040482443070706</v>
      </c>
      <c r="CW8" s="22">
        <f t="shared" si="13"/>
        <v>5.6065246536535662</v>
      </c>
      <c r="CX8" s="60">
        <f t="shared" si="14"/>
        <v>268.38430243143137</v>
      </c>
      <c r="CY8" s="60">
        <f ca="1">AVERAGE(OFFSET($CX$3,0,0,'Données projet'!$E$13+1,1))-AVERAGE(OFFSET($H$3,0,0,'Données projet'!$E$13+1,1))</f>
        <v>394.8445842828649</v>
      </c>
      <c r="CZ8" s="60">
        <f t="shared" si="42"/>
        <v>246.54010105494143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3.95</v>
      </c>
      <c r="DO8" s="13">
        <f>IF('Données projet'!$A$166&gt;35,DO7+DN8-DW7,IF(A8&lt;'Données projet'!$A$166,$DL$205^A8,IF(A8='Données projet'!$A$166,'Données projet'!$B$166,DO7+DN8-DW7)))</f>
        <v>2.9813075013013308</v>
      </c>
      <c r="DP8" s="18">
        <f>DO8*VLOOKUP('Données projet'!$B$14,Paramètres!$A$1:$I$89,3,0)*VLOOKUP('Données projet'!$B$14,Paramètres!$A$1:$I$89,5,0)</f>
        <v>2.6044702331368428</v>
      </c>
      <c r="DQ8" s="14">
        <f t="shared" si="43"/>
        <v>1.0736969640242655</v>
      </c>
      <c r="DR8" s="22">
        <f t="shared" si="16"/>
        <v>6.4061412017222628</v>
      </c>
      <c r="DS8" s="60">
        <f t="shared" si="17"/>
        <v>269.18391897950005</v>
      </c>
      <c r="DT8" s="60">
        <f ca="1">AVERAGE(OFFSET($DS$3,0,0,'Données projet'!$E$14+1,1))-AVERAGE(OFFSET($H$3,0,0,'Données projet'!$E$14+1,1))</f>
        <v>266.98113257513319</v>
      </c>
      <c r="DU8" s="60">
        <f t="shared" si="44"/>
        <v>275.73257102713393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2.84</v>
      </c>
      <c r="EJ8" s="13">
        <f>IF('Données projet'!$A$192&gt;35,EJ7+EI8-ER7,IF(A8&lt;'Données projet'!$A$192,$EG$205^A8,IF(A8='Données projet'!$A$192,'Données projet'!$B$192,EJ7+EI8-ER7)))</f>
        <v>2.3455876685050034</v>
      </c>
      <c r="EK8" s="18">
        <f>EJ8*VLOOKUP('Données projet'!$B$15,Paramètres!$A$1:$I$89,3,0)*VLOOKUP('Données projet'!$B$15,Paramètres!$A$1:$I$89,5,0)</f>
        <v>2.6711552368934983</v>
      </c>
      <c r="EL8" s="14">
        <f t="shared" si="45"/>
        <v>1.0979521527385474</v>
      </c>
      <c r="EM8" s="22">
        <f t="shared" si="19"/>
        <v>6.5645287036091462</v>
      </c>
      <c r="EN8" s="60">
        <f t="shared" si="20"/>
        <v>269.34230648138691</v>
      </c>
      <c r="EO8" s="60">
        <f ca="1">AVERAGE(OFFSET($EN$3,0,0,'Données projet'!$E$15+1,1))-AVERAGE(OFFSET($H$3,0,0,'Données projet'!$E$15+1,1))</f>
        <v>457.62828850677369</v>
      </c>
      <c r="EP8" s="60">
        <f t="shared" si="46"/>
        <v>282.78263556175563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2.84</v>
      </c>
      <c r="FE8" s="13">
        <f>IF('Données projet'!$A$218&gt;35,FE7+FD8-FM7,IF(A8&lt;'Données projet'!$A$218,$FB$205^A8,IF(A8='Données projet'!$A$218,'Données projet'!$B$218,FE7+FD8-FM7)))</f>
        <v>2.3455876685050034</v>
      </c>
      <c r="FF8" s="18">
        <f>FE8*VLOOKUP('Données projet'!$B$16,Paramètres!$A$1:$I$89,3,0)*VLOOKUP('Données projet'!$B$16,Paramètres!$A$1:$I$89,5,0)</f>
        <v>2.5613817340074636</v>
      </c>
      <c r="FG8" s="14">
        <f t="shared" si="47"/>
        <v>1.0579861039351866</v>
      </c>
      <c r="FH8" s="22">
        <f t="shared" si="22"/>
        <v>6.3037323177501152</v>
      </c>
      <c r="FI8" s="60">
        <f t="shared" si="23"/>
        <v>269.0815100955279</v>
      </c>
      <c r="FJ8" s="60">
        <f ca="1">AVERAGE(OFFSET($FI$3,0,0,'Données projet'!$E$16+1,1))-AVERAGE(OFFSET($H$3,0,0,'Données projet'!$E$16+1,1))</f>
        <v>440.52623925652182</v>
      </c>
      <c r="FK8" s="60">
        <f t="shared" si="48"/>
        <v>272.91122662088918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6.5</v>
      </c>
      <c r="FZ8" s="13">
        <f>IF('Données projet'!$A$244&gt;35,FZ7+FY8-GH7,IF(A8&lt;'Données projet'!$A$244,$FW$205^A8,IF(A8='Données projet'!$A$244,'Données projet'!$B$244,FZ7+FY8-GH7)))</f>
        <v>2.4080884530367643</v>
      </c>
      <c r="GA8" s="18">
        <f>FZ8*VLOOKUP('Données projet'!$B$17,Paramètres!$A$1:$I$89,3,0)*VLOOKUP('Données projet'!$B$17,Paramètres!$A$1:$I$89,5,0)</f>
        <v>1.1269853960212057</v>
      </c>
      <c r="GB8" s="14">
        <f t="shared" si="49"/>
        <v>0.51218524644792107</v>
      </c>
      <c r="GC8" s="22">
        <f t="shared" si="25"/>
        <v>2.8548888689670626</v>
      </c>
      <c r="GD8" s="60">
        <f t="shared" si="26"/>
        <v>265.63266664674484</v>
      </c>
      <c r="GE8" s="60">
        <f ca="1">AVERAGE(OFFSET($GD$3,0,0,'Données projet'!$E$17+1,1))-AVERAGE(OFFSET($H$3,0,0,'Données projet'!$E$17+1,1))</f>
        <v>317.54276561627643</v>
      </c>
      <c r="GF8" s="60">
        <f t="shared" si="50"/>
        <v>238.92443174298893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18.75</v>
      </c>
      <c r="GU8" s="13">
        <f>IF('Données projet'!$A$270&gt;35,GU7+GT8-HC7,IF(A8&lt;'Données projet'!$A$270,$GR$205^A8,IF(A8='Données projet'!$A$270,'Données projet'!$B$270,GU7+GT8-HC7)))</f>
        <v>5.9442955187423436</v>
      </c>
      <c r="GV8" s="18">
        <f>GU8*VLOOKUP('Données projet'!$B$18,Paramètres!$A$1:$I$89,3,0)*VLOOKUP('Données projet'!$B$18,Paramètres!$A$1:$I$89,5,0)</f>
        <v>3.1806736461686533</v>
      </c>
      <c r="GW8" s="14">
        <f t="shared" si="51"/>
        <v>1.2810850140463388</v>
      </c>
      <c r="GX8" s="22">
        <f t="shared" si="28"/>
        <v>7.7708963332077765</v>
      </c>
      <c r="GY8" s="60">
        <f t="shared" si="29"/>
        <v>270.54867411098553</v>
      </c>
      <c r="GZ8" s="60">
        <f ca="1">AVERAGE(OFFSET($GY$3,0,0,'Données projet'!$E$18+1,1))-AVERAGE(OFFSET($H$3,0,0,'Données projet'!$E$18+1,1))</f>
        <v>79.868679770907136</v>
      </c>
      <c r="HA8" s="60">
        <f t="shared" si="52"/>
        <v>370.47471103028312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0">
        <f t="shared" si="0"/>
        <v>274.60382383831177</v>
      </c>
      <c r="S9" s="60">
        <f ca="1">AVERAGE(OFFSET($R$3,0,0,'Données projet'!$E$9+1,1))-AVERAGE(OFFSET($H$3,0,0,'Données projet'!$E$9+1,1))</f>
        <v>206.5885410269899</v>
      </c>
      <c r="T9" s="60">
        <f t="shared" si="34"/>
        <v>347.41156847586302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5.7692307692307692</v>
      </c>
      <c r="AI9" s="14">
        <f>IF('Données projet'!$A$62&gt;35,AI8+AH9-AQ8,IF(A9&lt;'Données projet'!$A$62,$AF$205^A9,IF(A9='Données projet'!$A$62,'Données projet'!$B$62,AI8+AH9-AQ8)))</f>
        <v>7.3352157257950852</v>
      </c>
      <c r="AJ9" s="14">
        <f>AI9*VLOOKUP('Données projet'!$B$10,Paramètres!$A$1:$I$89,3,0)*VLOOKUP('Données projet'!$B$10,Paramètres!$A$1:$I$89,5,0)</f>
        <v>4.3864590040254612</v>
      </c>
      <c r="AK9" s="14">
        <f t="shared" si="35"/>
        <v>1.7018609031391834</v>
      </c>
      <c r="AL9" s="22">
        <f t="shared" si="4"/>
        <v>10.603823838311754</v>
      </c>
      <c r="AM9" s="60">
        <f t="shared" si="5"/>
        <v>274.60382383831177</v>
      </c>
      <c r="AN9" s="60">
        <f ca="1">AVERAGE(OFFSET($AM$3,0,0,'Données projet'!$E$10+1,1))-AVERAGE(OFFSET($H$3,0,0,'Données projet'!$E$10+1,1))</f>
        <v>206.5885410269899</v>
      </c>
      <c r="AO9" s="60">
        <f t="shared" si="36"/>
        <v>347.41156847586302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2.84</v>
      </c>
      <c r="BD9" s="13">
        <f>IF('Données projet'!$A$88&gt;35,BD8+BC9-BL8,IF(A9&lt;'Données projet'!$A$88,$BA$205^A9,IF(A9='Données projet'!$A$88,'Données projet'!$B$88,BD8+BC9-BL8)))</f>
        <v>2.7816469225897635</v>
      </c>
      <c r="BE9" s="14">
        <f>BD9*VLOOKUP('Données projet'!$B$11,Paramètres!$A$1:$I$89,3,0)*VLOOKUP('Données projet'!$B$11,Paramètres!$A$1:$I$89,5,0)</f>
        <v>2.6470152115364192</v>
      </c>
      <c r="BF9" s="14">
        <f t="shared" si="37"/>
        <v>1.0891799865025611</v>
      </c>
      <c r="BG9" s="22">
        <f t="shared" si="7"/>
        <v>6.5072066365845567</v>
      </c>
      <c r="BH9" s="60">
        <f t="shared" si="8"/>
        <v>270.50720663658456</v>
      </c>
      <c r="BI9" s="60">
        <f ca="1">AVERAGE(OFFSET($BH$3,0,0,'Données projet'!$E$11+1,1))-AVERAGE(OFFSET($H$3,0,0,'Données projet'!$E$11+1,1))</f>
        <v>389.12604446638119</v>
      </c>
      <c r="BJ9" s="60">
        <f t="shared" si="38"/>
        <v>243.23852967152732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2.84</v>
      </c>
      <c r="BY9" s="13">
        <f>IF('Données projet'!$A$114&gt;35,BY8+BX9-CG8,IF(A9&lt;'Données projet'!$A$114,$BV$205^A9,IF(A9='Données projet'!$A$114,'Données projet'!$B$114,BY8+BX9-CG8)))</f>
        <v>2.7816469225897635</v>
      </c>
      <c r="BZ9" s="14">
        <f>BY9*VLOOKUP('Données projet'!$B$12,Paramètres!$A$1:$I$89,3,0)*VLOOKUP('Données projet'!$B$12,Paramètres!$A$1:$I$89,5,0)</f>
        <v>2.5168341355592179</v>
      </c>
      <c r="CA9" s="14">
        <f t="shared" si="39"/>
        <v>1.0417108450732491</v>
      </c>
      <c r="CB9" s="22">
        <f t="shared" si="10"/>
        <v>6.1977991746015464</v>
      </c>
      <c r="CC9" s="60">
        <f t="shared" si="11"/>
        <v>270.19779917460153</v>
      </c>
      <c r="CD9" s="60">
        <f ca="1">AVERAGE(OFFSET($CC$3,0,0,'Données projet'!$E$12+1,1))-AVERAGE(OFFSET($H$3,0,0,'Données projet'!$E$12+1,1))</f>
        <v>371.95849973474657</v>
      </c>
      <c r="CE9" s="60">
        <f t="shared" si="40"/>
        <v>233.32640143610547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2.84</v>
      </c>
      <c r="CT9" s="13">
        <f>IF('Données projet'!$A$140&gt;35,CT8+CS9-DB8,IF(A9&lt;'Données projet'!$A$140,$CQ$205^A9,IF(A9='Données projet'!$A$140,'Données projet'!$B$140,CT8+CS9-DB8)))</f>
        <v>2.7816469225897635</v>
      </c>
      <c r="CU9" s="18">
        <f>CT9*VLOOKUP('Données projet'!$B$13,Paramètres!$A$1:$I$89,3,0)*VLOOKUP('Données projet'!$B$13,Paramètres!$A$1:$I$89,5,0)</f>
        <v>2.690408903528819</v>
      </c>
      <c r="CV9" s="14">
        <f t="shared" si="41"/>
        <v>1.1049420646323849</v>
      </c>
      <c r="CW9" s="22">
        <f t="shared" si="13"/>
        <v>6.6102362695474293</v>
      </c>
      <c r="CX9" s="60">
        <f t="shared" si="14"/>
        <v>270.61023626954744</v>
      </c>
      <c r="CY9" s="60">
        <f ca="1">AVERAGE(OFFSET($CX$3,0,0,'Données projet'!$E$13+1,1))-AVERAGE(OFFSET($H$3,0,0,'Données projet'!$E$13+1,1))</f>
        <v>394.8445842828649</v>
      </c>
      <c r="CZ9" s="60">
        <f t="shared" si="42"/>
        <v>246.54010105494143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3.95</v>
      </c>
      <c r="DO9" s="13">
        <f>IF('Données projet'!$A$166&gt;35,DO8+DN9-DW8,IF(A9&lt;'Données projet'!$A$166,$DL$205^A9,IF(A9='Données projet'!$A$166,'Données projet'!$B$166,DO8+DN9-DW8)))</f>
        <v>3.709267269905157</v>
      </c>
      <c r="DP9" s="18">
        <f>DO9*VLOOKUP('Données projet'!$B$14,Paramètres!$A$1:$I$89,3,0)*VLOOKUP('Données projet'!$B$14,Paramètres!$A$1:$I$89,5,0)</f>
        <v>3.2404158869891453</v>
      </c>
      <c r="DQ9" s="14">
        <f t="shared" si="43"/>
        <v>1.3023235379849323</v>
      </c>
      <c r="DR9" s="22">
        <f t="shared" si="16"/>
        <v>7.9119378318298503</v>
      </c>
      <c r="DS9" s="60">
        <f t="shared" si="17"/>
        <v>271.91193783182985</v>
      </c>
      <c r="DT9" s="60">
        <f ca="1">AVERAGE(OFFSET($DS$3,0,0,'Données projet'!$E$14+1,1))-AVERAGE(OFFSET($H$3,0,0,'Données projet'!$E$14+1,1))</f>
        <v>266.98113257513319</v>
      </c>
      <c r="DU9" s="60">
        <f t="shared" si="44"/>
        <v>275.73257102713393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2.84</v>
      </c>
      <c r="EJ9" s="13">
        <f>IF('Données projet'!$A$192&gt;35,EJ8+EI9-ER8,IF(A9&lt;'Données projet'!$A$192,$EG$205^A9,IF(A9='Données projet'!$A$192,'Données projet'!$B$192,EJ8+EI9-ER8)))</f>
        <v>2.7816469225897635</v>
      </c>
      <c r="EK9" s="18">
        <f>EJ9*VLOOKUP('Données projet'!$B$15,Paramètres!$A$1:$I$89,3,0)*VLOOKUP('Données projet'!$B$15,Paramètres!$A$1:$I$89,5,0)</f>
        <v>3.1677395154452226</v>
      </c>
      <c r="EL9" s="14">
        <f t="shared" si="45"/>
        <v>1.2764808083136507</v>
      </c>
      <c r="EM9" s="22">
        <f t="shared" si="19"/>
        <v>7.74035039721337</v>
      </c>
      <c r="EN9" s="60">
        <f t="shared" si="20"/>
        <v>271.74035039721338</v>
      </c>
      <c r="EO9" s="60">
        <f ca="1">AVERAGE(OFFSET($EN$3,0,0,'Données projet'!$E$15+1,1))-AVERAGE(OFFSET($H$3,0,0,'Données projet'!$E$15+1,1))</f>
        <v>457.62828850677369</v>
      </c>
      <c r="EP9" s="60">
        <f t="shared" si="46"/>
        <v>282.78263556175563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2.84</v>
      </c>
      <c r="FE9" s="13">
        <f>IF('Données projet'!$A$218&gt;35,FE8+FD9-FM8,IF(A9&lt;'Données projet'!$A$218,$FB$205^A9,IF(A9='Données projet'!$A$218,'Données projet'!$B$218,FE8+FD9-FM8)))</f>
        <v>2.7816469225897635</v>
      </c>
      <c r="FF9" s="18">
        <f>FE9*VLOOKUP('Données projet'!$B$16,Paramètres!$A$1:$I$89,3,0)*VLOOKUP('Données projet'!$B$16,Paramètres!$A$1:$I$89,5,0)</f>
        <v>3.0375584394680217</v>
      </c>
      <c r="FG9" s="14">
        <f t="shared" si="47"/>
        <v>1.2300162204403344</v>
      </c>
      <c r="FH9" s="22">
        <f t="shared" si="22"/>
        <v>7.4326925326737205</v>
      </c>
      <c r="FI9" s="60">
        <f t="shared" si="23"/>
        <v>271.43269253267374</v>
      </c>
      <c r="FJ9" s="60">
        <f ca="1">AVERAGE(OFFSET($FI$3,0,0,'Données projet'!$E$16+1,1))-AVERAGE(OFFSET($H$3,0,0,'Données projet'!$E$16+1,1))</f>
        <v>440.52623925652182</v>
      </c>
      <c r="FK9" s="60">
        <f t="shared" si="48"/>
        <v>272.91122662088918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6.5</v>
      </c>
      <c r="FZ9" s="13">
        <f>IF('Données projet'!$A$244&gt;35,FZ8+FY9-GH8,IF(A9&lt;'Données projet'!$A$244,$FW$205^A9,IF(A9='Données projet'!$A$244,'Données projet'!$B$244,FZ8+FY9-GH8)))</f>
        <v>2.8708263401097907</v>
      </c>
      <c r="GA9" s="18">
        <f>FZ9*VLOOKUP('Données projet'!$B$17,Paramètres!$A$1:$I$89,3,0)*VLOOKUP('Données projet'!$B$17,Paramètres!$A$1:$I$89,5,0)</f>
        <v>1.3435467271713821</v>
      </c>
      <c r="GB9" s="14">
        <f t="shared" si="49"/>
        <v>0.59824105978724762</v>
      </c>
      <c r="GC9" s="22">
        <f t="shared" si="25"/>
        <v>3.3819470622862799</v>
      </c>
      <c r="GD9" s="60">
        <f t="shared" si="26"/>
        <v>267.38194706228626</v>
      </c>
      <c r="GE9" s="60">
        <f ca="1">AVERAGE(OFFSET($GD$3,0,0,'Données projet'!$E$17+1,1))-AVERAGE(OFFSET($H$3,0,0,'Données projet'!$E$17+1,1))</f>
        <v>317.54276561627643</v>
      </c>
      <c r="GF9" s="60">
        <f t="shared" si="50"/>
        <v>238.92443174298893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18.75</v>
      </c>
      <c r="GU9" s="13">
        <f>IF('Données projet'!$A$270&gt;35,GU8+GT9-HC8,IF(A9&lt;'Données projet'!$A$270,$GR$205^A9,IF(A9='Données projet'!$A$270,'Données projet'!$B$270,GU8+GT9-HC8)))</f>
        <v>8.4902498446183934</v>
      </c>
      <c r="GV9" s="18">
        <f>GU9*VLOOKUP('Données projet'!$B$18,Paramètres!$A$1:$I$89,3,0)*VLOOKUP('Données projet'!$B$18,Paramètres!$A$1:$I$89,5,0)</f>
        <v>4.5429628868584109</v>
      </c>
      <c r="GW9" s="14">
        <f t="shared" si="51"/>
        <v>1.755403549554525</v>
      </c>
      <c r="GX9" s="22">
        <f t="shared" si="28"/>
        <v>10.969654876752529</v>
      </c>
      <c r="GY9" s="60">
        <f t="shared" si="29"/>
        <v>274.96965487675254</v>
      </c>
      <c r="GZ9" s="60">
        <f ca="1">AVERAGE(OFFSET($GY$3,0,0,'Données projet'!$E$18+1,1))-AVERAGE(OFFSET($H$3,0,0,'Données projet'!$E$18+1,1))</f>
        <v>79.868679770907136</v>
      </c>
      <c r="HA9" s="60">
        <f t="shared" si="52"/>
        <v>370.47471103028312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0">
        <f t="shared" si="0"/>
        <v>279.84634941832229</v>
      </c>
      <c r="S10" s="60">
        <f ca="1">AVERAGE(OFFSET($R$3,0,0,'Données projet'!$E$9+1,1))-AVERAGE(OFFSET($H$3,0,0,'Données projet'!$E$9+1,1))</f>
        <v>206.5885410269899</v>
      </c>
      <c r="T10" s="60">
        <f t="shared" si="34"/>
        <v>347.41156847586302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5.7692307692307692</v>
      </c>
      <c r="AI10" s="14">
        <f>IF('Données projet'!$A$62&gt;35,AI9+AH10-AQ9,IF(A10&lt;'Données projet'!$A$62,$AF$205^A10,IF(A10='Données projet'!$A$62,'Données projet'!$B$62,AI9+AH10-AQ9)))</f>
        <v>10.224648163550844</v>
      </c>
      <c r="AJ10" s="14">
        <f>AI10*VLOOKUP('Données projet'!$B$10,Paramètres!$A$1:$I$89,3,0)*VLOOKUP('Données projet'!$B$10,Paramètres!$A$1:$I$89,5,0)</f>
        <v>6.1143396018034055</v>
      </c>
      <c r="AK10" s="14">
        <f t="shared" si="35"/>
        <v>2.2822884533736612</v>
      </c>
      <c r="AL10" s="22">
        <f t="shared" si="4"/>
        <v>14.624127196100055</v>
      </c>
      <c r="AM10" s="60">
        <f t="shared" si="5"/>
        <v>279.84634941832229</v>
      </c>
      <c r="AN10" s="60">
        <f ca="1">AVERAGE(OFFSET($AM$3,0,0,'Données projet'!$E$10+1,1))-AVERAGE(OFFSET($H$3,0,0,'Données projet'!$E$10+1,1))</f>
        <v>206.5885410269899</v>
      </c>
      <c r="AO10" s="60">
        <f t="shared" si="36"/>
        <v>347.41156847586302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2.84</v>
      </c>
      <c r="BD10" s="13">
        <f>IF('Données projet'!$A$88&gt;35,BD9+BC10-BL9,IF(A10&lt;'Données projet'!$A$88,$BA$205^A10,IF(A10='Données projet'!$A$88,'Données projet'!$B$88,BD9+BC10-BL9)))</f>
        <v>3.2987722888587467</v>
      </c>
      <c r="BE10" s="14">
        <f>BD10*VLOOKUP('Données projet'!$B$11,Paramètres!$A$1:$I$89,3,0)*VLOOKUP('Données projet'!$B$11,Paramètres!$A$1:$I$89,5,0)</f>
        <v>3.1391117100779837</v>
      </c>
      <c r="BF10" s="14">
        <f t="shared" si="37"/>
        <v>1.2662822747804323</v>
      </c>
      <c r="BG10" s="22">
        <f t="shared" si="7"/>
        <v>7.6727278569617399</v>
      </c>
      <c r="BH10" s="60">
        <f t="shared" si="8"/>
        <v>272.89495007918396</v>
      </c>
      <c r="BI10" s="60">
        <f ca="1">AVERAGE(OFFSET($BH$3,0,0,'Données projet'!$E$11+1,1))-AVERAGE(OFFSET($H$3,0,0,'Données projet'!$E$11+1,1))</f>
        <v>389.12604446638119</v>
      </c>
      <c r="BJ10" s="60">
        <f t="shared" si="38"/>
        <v>243.23852967152732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2.84</v>
      </c>
      <c r="BY10" s="13">
        <f>IF('Données projet'!$A$114&gt;35,BY9+BX10-CG9,IF(A10&lt;'Données projet'!$A$114,$BV$205^A10,IF(A10='Données projet'!$A$114,'Données projet'!$B$114,BY9+BX10-CG9)))</f>
        <v>3.2987722888587467</v>
      </c>
      <c r="BZ10" s="14">
        <f>BY10*VLOOKUP('Données projet'!$B$12,Paramètres!$A$1:$I$89,3,0)*VLOOKUP('Données projet'!$B$12,Paramètres!$A$1:$I$89,5,0)</f>
        <v>2.9847291669593941</v>
      </c>
      <c r="CA10" s="14">
        <f t="shared" si="39"/>
        <v>1.2110945802433715</v>
      </c>
      <c r="CB10" s="22">
        <f t="shared" si="10"/>
        <v>7.3077263597114817</v>
      </c>
      <c r="CC10" s="60">
        <f t="shared" si="11"/>
        <v>272.5299485819337</v>
      </c>
      <c r="CD10" s="60">
        <f ca="1">AVERAGE(OFFSET($CC$3,0,0,'Données projet'!$E$12+1,1))-AVERAGE(OFFSET($H$3,0,0,'Données projet'!$E$12+1,1))</f>
        <v>371.95849973474657</v>
      </c>
      <c r="CE10" s="60">
        <f t="shared" si="40"/>
        <v>233.32640143610547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2.84</v>
      </c>
      <c r="CT10" s="13">
        <f>IF('Données projet'!$A$140&gt;35,CT9+CS10-DB9,IF(A10&lt;'Données projet'!$A$140,$CQ$205^A10,IF(A10='Données projet'!$A$140,'Données projet'!$B$140,CT9+CS10-DB9)))</f>
        <v>3.2987722888587467</v>
      </c>
      <c r="CU10" s="18">
        <f>CT10*VLOOKUP('Données projet'!$B$13,Paramètres!$A$1:$I$89,3,0)*VLOOKUP('Données projet'!$B$13,Paramètres!$A$1:$I$89,5,0)</f>
        <v>3.1905725577841801</v>
      </c>
      <c r="CV10" s="14">
        <f t="shared" si="41"/>
        <v>1.2846072902937917</v>
      </c>
      <c r="CW10" s="22">
        <f t="shared" si="13"/>
        <v>7.7942715687358017</v>
      </c>
      <c r="CX10" s="60">
        <f t="shared" si="14"/>
        <v>273.01649379095801</v>
      </c>
      <c r="CY10" s="60">
        <f ca="1">AVERAGE(OFFSET($CX$3,0,0,'Données projet'!$E$13+1,1))-AVERAGE(OFFSET($H$3,0,0,'Données projet'!$E$13+1,1))</f>
        <v>394.8445842828649</v>
      </c>
      <c r="CZ10" s="60">
        <f t="shared" si="42"/>
        <v>246.54010105494143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3.95</v>
      </c>
      <c r="DO10" s="13">
        <f>IF('Données projet'!$A$166&gt;35,DO9+DN10-DW9,IF(A10&lt;'Données projet'!$A$166,$DL$205^A10,IF(A10='Données projet'!$A$166,'Données projet'!$B$166,DO9+DN10-DW9)))</f>
        <v>4.6149763731463613</v>
      </c>
      <c r="DP10" s="18">
        <f>DO10*VLOOKUP('Données projet'!$B$14,Paramètres!$A$1:$I$89,3,0)*VLOOKUP('Données projet'!$B$14,Paramètres!$A$1:$I$89,5,0)</f>
        <v>4.0316433595806611</v>
      </c>
      <c r="DQ10" s="14">
        <f t="shared" si="43"/>
        <v>1.5796324795710794</v>
      </c>
      <c r="DR10" s="22">
        <f t="shared" si="16"/>
        <v>9.772972086522616</v>
      </c>
      <c r="DS10" s="60">
        <f t="shared" si="17"/>
        <v>274.99519430874483</v>
      </c>
      <c r="DT10" s="60">
        <f ca="1">AVERAGE(OFFSET($DS$3,0,0,'Données projet'!$E$14+1,1))-AVERAGE(OFFSET($H$3,0,0,'Données projet'!$E$14+1,1))</f>
        <v>266.98113257513319</v>
      </c>
      <c r="DU10" s="60">
        <f t="shared" si="44"/>
        <v>275.73257102713393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2.84</v>
      </c>
      <c r="EJ10" s="13">
        <f>IF('Données projet'!$A$192&gt;35,EJ9+EI10-ER9,IF(A10&lt;'Données projet'!$A$192,$EG$205^A10,IF(A10='Données projet'!$A$192,'Données projet'!$B$192,EJ9+EI10-ER9)))</f>
        <v>3.2987722888587467</v>
      </c>
      <c r="EK10" s="18">
        <f>EJ10*VLOOKUP('Données projet'!$B$15,Paramètres!$A$1:$I$89,3,0)*VLOOKUP('Données projet'!$B$15,Paramètres!$A$1:$I$89,5,0)</f>
        <v>3.7566418825523407</v>
      </c>
      <c r="EL10" s="14">
        <f t="shared" si="45"/>
        <v>1.484038489226476</v>
      </c>
      <c r="EM10" s="22">
        <f t="shared" si="19"/>
        <v>9.1275183141814384</v>
      </c>
      <c r="EN10" s="60">
        <f t="shared" si="20"/>
        <v>274.34974053640366</v>
      </c>
      <c r="EO10" s="60">
        <f ca="1">AVERAGE(OFFSET($EN$3,0,0,'Données projet'!$E$15+1,1))-AVERAGE(OFFSET($H$3,0,0,'Données projet'!$E$15+1,1))</f>
        <v>457.62828850677369</v>
      </c>
      <c r="EP10" s="60">
        <f t="shared" si="46"/>
        <v>282.78263556175563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2.84</v>
      </c>
      <c r="FE10" s="13">
        <f>IF('Données projet'!$A$218&gt;35,FE9+FD10-FM9,IF(A10&lt;'Données projet'!$A$218,$FB$205^A10,IF(A10='Données projet'!$A$218,'Données projet'!$B$218,FE9+FD10-FM9)))</f>
        <v>3.2987722888587467</v>
      </c>
      <c r="FF10" s="18">
        <f>FE10*VLOOKUP('Données projet'!$B$16,Paramètres!$A$1:$I$89,3,0)*VLOOKUP('Données projet'!$B$16,Paramètres!$A$1:$I$89,5,0)</f>
        <v>3.6022593394337514</v>
      </c>
      <c r="FG10" s="14">
        <f t="shared" si="47"/>
        <v>1.4300186901500271</v>
      </c>
      <c r="FH10" s="22">
        <f t="shared" si="22"/>
        <v>8.764550901525082</v>
      </c>
      <c r="FI10" s="60">
        <f t="shared" si="23"/>
        <v>273.9867731237473</v>
      </c>
      <c r="FJ10" s="60">
        <f ca="1">AVERAGE(OFFSET($FI$3,0,0,'Données projet'!$E$16+1,1))-AVERAGE(OFFSET($H$3,0,0,'Données projet'!$E$16+1,1))</f>
        <v>440.52623925652182</v>
      </c>
      <c r="FK10" s="60">
        <f t="shared" si="48"/>
        <v>272.91122662088918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6.5</v>
      </c>
      <c r="FZ10" s="13">
        <f>IF('Données projet'!$A$244&gt;35,FZ9+FY10-GH9,IF(A10&lt;'Données projet'!$A$244,$FW$205^A10,IF(A10='Données projet'!$A$244,'Données projet'!$B$244,FZ9+FY10-GH9)))</f>
        <v>3.4224838646084192</v>
      </c>
      <c r="GA10" s="18">
        <f>FZ10*VLOOKUP('Données projet'!$B$17,Paramètres!$A$1:$I$89,3,0)*VLOOKUP('Données projet'!$B$17,Paramètres!$A$1:$I$89,5,0)</f>
        <v>1.6017224486367401</v>
      </c>
      <c r="GB10" s="14">
        <f t="shared" si="49"/>
        <v>0.69875571016034643</v>
      </c>
      <c r="GC10" s="22">
        <f t="shared" si="25"/>
        <v>4.0066661265715924</v>
      </c>
      <c r="GD10" s="60">
        <f t="shared" si="26"/>
        <v>269.22888834879382</v>
      </c>
      <c r="GE10" s="60">
        <f ca="1">AVERAGE(OFFSET($GD$3,0,0,'Données projet'!$E$17+1,1))-AVERAGE(OFFSET($H$3,0,0,'Données projet'!$E$17+1,1))</f>
        <v>317.54276561627643</v>
      </c>
      <c r="GF10" s="60">
        <f t="shared" si="50"/>
        <v>238.92443174298893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18.75</v>
      </c>
      <c r="GU10" s="13">
        <f>IF('Données projet'!$A$270&gt;35,GU9+GT10-HC9,IF(A10&lt;'Données projet'!$A$270,$GR$205^A10,IF(A10='Données projet'!$A$270,'Données projet'!$B$270,GU9+GT10-HC9)))</f>
        <v>12.12664178568528</v>
      </c>
      <c r="GV10" s="18">
        <f>GU10*VLOOKUP('Données projet'!$B$18,Paramètres!$A$1:$I$89,3,0)*VLOOKUP('Données projet'!$B$18,Paramètres!$A$1:$I$89,5,0)</f>
        <v>6.4887234866844805</v>
      </c>
      <c r="GW10" s="14">
        <f t="shared" si="51"/>
        <v>2.4053373413961148</v>
      </c>
      <c r="GX10" s="22">
        <f t="shared" si="28"/>
        <v>15.490489275573703</v>
      </c>
      <c r="GY10" s="60">
        <f t="shared" si="29"/>
        <v>280.71271149779591</v>
      </c>
      <c r="GZ10" s="60">
        <f ca="1">AVERAGE(OFFSET($GY$3,0,0,'Données projet'!$E$18+1,1))-AVERAGE(OFFSET($H$3,0,0,'Données projet'!$E$18+1,1))</f>
        <v>79.868679770907136</v>
      </c>
      <c r="HA10" s="60">
        <f t="shared" si="52"/>
        <v>370.47471103028312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0">
        <f t="shared" si="0"/>
        <v>286.61908783330978</v>
      </c>
      <c r="S11" s="60">
        <f ca="1">AVERAGE(OFFSET($R$3,0,0,'Données projet'!$E$9+1,1))-AVERAGE(OFFSET($H$3,0,0,'Données projet'!$E$9+1,1))</f>
        <v>206.5885410269899</v>
      </c>
      <c r="T11" s="60">
        <f t="shared" si="34"/>
        <v>347.41156847586302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5.7692307692307692</v>
      </c>
      <c r="AI11" s="14">
        <f>IF('Données projet'!$A$62&gt;35,AI10+AH11-AQ10,IF(A11&lt;'Données projet'!$A$62,$AF$205^A11,IF(A11='Données projet'!$A$62,'Données projet'!$B$62,AI10+AH11-AQ10)))</f>
        <v>14.252263870136129</v>
      </c>
      <c r="AJ11" s="14">
        <f>AI11*VLOOKUP('Données projet'!$B$10,Paramètres!$A$1:$I$89,3,0)*VLOOKUP('Données projet'!$B$10,Paramètres!$A$1:$I$89,5,0)</f>
        <v>8.5228537943414064</v>
      </c>
      <c r="AK11" s="14">
        <f t="shared" si="35"/>
        <v>3.0606735102702713</v>
      </c>
      <c r="AL11" s="22">
        <f t="shared" si="4"/>
        <v>20.174643388865338</v>
      </c>
      <c r="AM11" s="60">
        <f t="shared" si="5"/>
        <v>286.61908783330978</v>
      </c>
      <c r="AN11" s="60">
        <f ca="1">AVERAGE(OFFSET($AM$3,0,0,'Données projet'!$E$10+1,1))-AVERAGE(OFFSET($H$3,0,0,'Données projet'!$E$10+1,1))</f>
        <v>206.5885410269899</v>
      </c>
      <c r="AO11" s="60">
        <f t="shared" si="36"/>
        <v>347.41156847586302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2.84</v>
      </c>
      <c r="BD11" s="13">
        <f>IF('Données projet'!$A$88&gt;35,BD10+BC11-BL10,IF(A11&lt;'Données projet'!$A$88,$BA$205^A11,IF(A11='Données projet'!$A$88,'Données projet'!$B$88,BD10+BC11-BL10)))</f>
        <v>3.9120344589280696</v>
      </c>
      <c r="BE11" s="14">
        <f>BD11*VLOOKUP('Données projet'!$B$11,Paramètres!$A$1:$I$89,3,0)*VLOOKUP('Données projet'!$B$11,Paramètres!$A$1:$I$89,5,0)</f>
        <v>3.7226919911159508</v>
      </c>
      <c r="BF11" s="14">
        <f t="shared" si="37"/>
        <v>1.4721816589487393</v>
      </c>
      <c r="BG11" s="22">
        <f t="shared" si="7"/>
        <v>9.0477382738626684</v>
      </c>
      <c r="BH11" s="60">
        <f t="shared" si="8"/>
        <v>275.49218271830711</v>
      </c>
      <c r="BI11" s="60">
        <f ca="1">AVERAGE(OFFSET($BH$3,0,0,'Données projet'!$E$11+1,1))-AVERAGE(OFFSET($H$3,0,0,'Données projet'!$E$11+1,1))</f>
        <v>389.12604446638119</v>
      </c>
      <c r="BJ11" s="60">
        <f t="shared" si="38"/>
        <v>243.23852967152732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2.84</v>
      </c>
      <c r="BY11" s="13">
        <f>IF('Données projet'!$A$114&gt;35,BY10+BX11-CG10,IF(A11&lt;'Données projet'!$A$114,$BV$205^A11,IF(A11='Données projet'!$A$114,'Données projet'!$B$114,BY10+BX11-CG10)))</f>
        <v>3.9120344589280696</v>
      </c>
      <c r="BZ11" s="14">
        <f>BY11*VLOOKUP('Données projet'!$B$12,Paramètres!$A$1:$I$89,3,0)*VLOOKUP('Données projet'!$B$12,Paramètres!$A$1:$I$89,5,0)</f>
        <v>3.5396087784381174</v>
      </c>
      <c r="CA11" s="14">
        <f t="shared" si="39"/>
        <v>1.4080203630708406</v>
      </c>
      <c r="CB11" s="22">
        <f t="shared" si="10"/>
        <v>8.6171207547947688</v>
      </c>
      <c r="CC11" s="60">
        <f t="shared" si="11"/>
        <v>275.06156519923923</v>
      </c>
      <c r="CD11" s="60">
        <f ca="1">AVERAGE(OFFSET($CC$3,0,0,'Données projet'!$E$12+1,1))-AVERAGE(OFFSET($H$3,0,0,'Données projet'!$E$12+1,1))</f>
        <v>371.95849973474657</v>
      </c>
      <c r="CE11" s="60">
        <f t="shared" si="40"/>
        <v>233.32640143610547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2.84</v>
      </c>
      <c r="CT11" s="13">
        <f>IF('Données projet'!$A$140&gt;35,CT10+CS11-DB10,IF(A11&lt;'Données projet'!$A$140,$CQ$205^A11,IF(A11='Données projet'!$A$140,'Données projet'!$B$140,CT10+CS11-DB10)))</f>
        <v>3.9120344589280696</v>
      </c>
      <c r="CU11" s="18">
        <f>CT11*VLOOKUP('Données projet'!$B$13,Paramètres!$A$1:$I$89,3,0)*VLOOKUP('Données projet'!$B$13,Paramètres!$A$1:$I$89,5,0)</f>
        <v>3.7837197286752291</v>
      </c>
      <c r="CV11" s="14">
        <f t="shared" si="41"/>
        <v>1.4934863492820201</v>
      </c>
      <c r="CW11" s="22">
        <f t="shared" si="13"/>
        <v>9.191133919108875</v>
      </c>
      <c r="CX11" s="60">
        <f t="shared" si="14"/>
        <v>275.63557836355335</v>
      </c>
      <c r="CY11" s="60">
        <f ca="1">AVERAGE(OFFSET($CX$3,0,0,'Données projet'!$E$13+1,1))-AVERAGE(OFFSET($H$3,0,0,'Données projet'!$E$13+1,1))</f>
        <v>394.8445842828649</v>
      </c>
      <c r="CZ11" s="60">
        <f t="shared" si="42"/>
        <v>246.54010105494143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3.95</v>
      </c>
      <c r="DO11" s="13">
        <f>IF('Données projet'!$A$166&gt;35,DO10+DN11-DW10,IF(A11&lt;'Données projet'!$A$166,$DL$205^A11,IF(A11='Données projet'!$A$166,'Données projet'!$B$166,DO10+DN11-DW10)))</f>
        <v>5.7418366957535838</v>
      </c>
      <c r="DP11" s="18">
        <f>DO11*VLOOKUP('Données projet'!$B$14,Paramètres!$A$1:$I$89,3,0)*VLOOKUP('Données projet'!$B$14,Paramètres!$A$1:$I$89,5,0)</f>
        <v>5.0160685374103311</v>
      </c>
      <c r="DQ11" s="14">
        <f t="shared" si="43"/>
        <v>1.9159899193534717</v>
      </c>
      <c r="DR11" s="22">
        <f t="shared" si="16"/>
        <v>12.073335145530288</v>
      </c>
      <c r="DS11" s="60">
        <f t="shared" si="17"/>
        <v>278.51777958997474</v>
      </c>
      <c r="DT11" s="60">
        <f ca="1">AVERAGE(OFFSET($DS$3,0,0,'Données projet'!$E$14+1,1))-AVERAGE(OFFSET($H$3,0,0,'Données projet'!$E$14+1,1))</f>
        <v>266.98113257513319</v>
      </c>
      <c r="DU11" s="60">
        <f t="shared" si="44"/>
        <v>275.73257102713393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2.84</v>
      </c>
      <c r="EJ11" s="13">
        <f>IF('Données projet'!$A$192&gt;35,EJ10+EI11-ER10,IF(A11&lt;'Données projet'!$A$192,$EG$205^A11,IF(A11='Données projet'!$A$192,'Données projet'!$B$192,EJ10+EI11-ER10)))</f>
        <v>3.9120344589280696</v>
      </c>
      <c r="EK11" s="18">
        <f>EJ11*VLOOKUP('Données projet'!$B$15,Paramètres!$A$1:$I$89,3,0)*VLOOKUP('Données projet'!$B$15,Paramètres!$A$1:$I$89,5,0)</f>
        <v>4.455024841827286</v>
      </c>
      <c r="EL11" s="14">
        <f t="shared" si="45"/>
        <v>1.7253453582393743</v>
      </c>
      <c r="EM11" s="22">
        <f t="shared" si="19"/>
        <v>10.7641447651161</v>
      </c>
      <c r="EN11" s="60">
        <f t="shared" si="20"/>
        <v>277.20858920956056</v>
      </c>
      <c r="EO11" s="60">
        <f ca="1">AVERAGE(OFFSET($EN$3,0,0,'Données projet'!$E$15+1,1))-AVERAGE(OFFSET($H$3,0,0,'Données projet'!$E$15+1,1))</f>
        <v>457.62828850677369</v>
      </c>
      <c r="EP11" s="60">
        <f t="shared" si="46"/>
        <v>282.78263556175563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2.84</v>
      </c>
      <c r="FE11" s="13">
        <f>IF('Données projet'!$A$218&gt;35,FE10+FD11-FM10,IF(A11&lt;'Données projet'!$A$218,$FB$205^A11,IF(A11='Données projet'!$A$218,'Données projet'!$B$218,FE10+FD11-FM10)))</f>
        <v>3.9120344589280696</v>
      </c>
      <c r="FF11" s="18">
        <f>FE11*VLOOKUP('Données projet'!$B$16,Paramètres!$A$1:$I$89,3,0)*VLOOKUP('Données projet'!$B$16,Paramètres!$A$1:$I$89,5,0)</f>
        <v>4.2719416291494525</v>
      </c>
      <c r="FG11" s="14">
        <f t="shared" si="47"/>
        <v>1.662541859363712</v>
      </c>
      <c r="FH11" s="22">
        <f t="shared" si="22"/>
        <v>10.335892075827095</v>
      </c>
      <c r="FI11" s="60">
        <f t="shared" si="23"/>
        <v>276.78033652027153</v>
      </c>
      <c r="FJ11" s="60">
        <f ca="1">AVERAGE(OFFSET($FI$3,0,0,'Données projet'!$E$16+1,1))-AVERAGE(OFFSET($H$3,0,0,'Données projet'!$E$16+1,1))</f>
        <v>440.52623925652182</v>
      </c>
      <c r="FK11" s="60">
        <f t="shared" si="48"/>
        <v>272.91122662088918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6.5</v>
      </c>
      <c r="FZ11" s="13">
        <f>IF('Données projet'!$A$244&gt;35,FZ10+FY11-GH10,IF(A11&lt;'Données projet'!$A$244,$FW$205^A11,IF(A11='Données projet'!$A$244,'Données projet'!$B$244,FZ10+FY11-GH10)))</f>
        <v>4.080147809657138</v>
      </c>
      <c r="GA11" s="18">
        <f>FZ11*VLOOKUP('Données projet'!$B$17,Paramètres!$A$1:$I$89,3,0)*VLOOKUP('Données projet'!$B$17,Paramètres!$A$1:$I$89,5,0)</f>
        <v>1.9095091749195405</v>
      </c>
      <c r="GB11" s="14">
        <f t="shared" si="49"/>
        <v>0.81615852755965934</v>
      </c>
      <c r="GC11" s="22">
        <f t="shared" si="25"/>
        <v>4.7472045818179396</v>
      </c>
      <c r="GD11" s="60">
        <f t="shared" si="26"/>
        <v>271.19164902626238</v>
      </c>
      <c r="GE11" s="60">
        <f ca="1">AVERAGE(OFFSET($GD$3,0,0,'Données projet'!$E$17+1,1))-AVERAGE(OFFSET($H$3,0,0,'Données projet'!$E$17+1,1))</f>
        <v>317.54276561627643</v>
      </c>
      <c r="GF11" s="60">
        <f t="shared" si="50"/>
        <v>238.92443174298893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18.75</v>
      </c>
      <c r="GU11" s="13">
        <f>IF('Données projet'!$A$270&gt;35,GU10+GT11-HC10,IF(A11&lt;'Données projet'!$A$270,$GR$205^A11,IF(A11='Données projet'!$A$270,'Données projet'!$B$270,GU10+GT11-HC10)))</f>
        <v>17.320508075688778</v>
      </c>
      <c r="GV11" s="18">
        <f>GU11*VLOOKUP('Données projet'!$B$18,Paramètres!$A$1:$I$89,3,0)*VLOOKUP('Données projet'!$B$18,Paramètres!$A$1:$I$89,5,0)</f>
        <v>9.2678574611395526</v>
      </c>
      <c r="GW11" s="14">
        <f t="shared" si="51"/>
        <v>3.2959075008038887</v>
      </c>
      <c r="GX11" s="22">
        <f t="shared" si="28"/>
        <v>21.881890642051491</v>
      </c>
      <c r="GY11" s="60">
        <f t="shared" si="29"/>
        <v>288.32633508649593</v>
      </c>
      <c r="GZ11" s="60">
        <f ca="1">AVERAGE(OFFSET($GY$3,0,0,'Données projet'!$E$18+1,1))-AVERAGE(OFFSET($H$3,0,0,'Données projet'!$E$18+1,1))</f>
        <v>79.868679770907136</v>
      </c>
      <c r="HA11" s="60">
        <f t="shared" si="52"/>
        <v>370.47471103028312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0">
        <f t="shared" si="0"/>
        <v>295.50658480661582</v>
      </c>
      <c r="S12" s="60">
        <f ca="1">AVERAGE(OFFSET($R$3,0,0,'Données projet'!$E$9+1,1))-AVERAGE(OFFSET($H$3,0,0,'Données projet'!$E$9+1,1))</f>
        <v>206.5885410269899</v>
      </c>
      <c r="T12" s="60">
        <f t="shared" si="34"/>
        <v>347.41156847586302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5.7692307692307692</v>
      </c>
      <c r="AI12" s="14">
        <f>IF('Données projet'!$A$62&gt;35,AI11+AH12-AQ11,IF(A12&lt;'Données projet'!$A$62,$AF$205^A12,IF(A12='Données projet'!$A$62,'Données projet'!$B$62,AI11+AH12-AQ11)))</f>
        <v>19.866407349653503</v>
      </c>
      <c r="AJ12" s="14">
        <f>AI12*VLOOKUP('Données projet'!$B$10,Paramètres!$A$1:$I$89,3,0)*VLOOKUP('Données projet'!$B$10,Paramètres!$A$1:$I$89,5,0)</f>
        <v>11.880111595092796</v>
      </c>
      <c r="AK12" s="14">
        <f t="shared" si="35"/>
        <v>4.1045303991363813</v>
      </c>
      <c r="AL12" s="22">
        <f t="shared" si="4"/>
        <v>27.839918139949148</v>
      </c>
      <c r="AM12" s="60">
        <f t="shared" si="5"/>
        <v>295.50658480661582</v>
      </c>
      <c r="AN12" s="60">
        <f ca="1">AVERAGE(OFFSET($AM$3,0,0,'Données projet'!$E$10+1,1))-AVERAGE(OFFSET($H$3,0,0,'Données projet'!$E$10+1,1))</f>
        <v>206.5885410269899</v>
      </c>
      <c r="AO12" s="60">
        <f t="shared" si="36"/>
        <v>347.41156847586302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2.84</v>
      </c>
      <c r="BD12" s="13">
        <f>IF('Données projet'!$A$88&gt;35,BD11+BC12-BL11,IF(A12&lt;'Données projet'!$A$88,$BA$205^A12,IF(A12='Données projet'!$A$88,'Données projet'!$B$88,BD11+BC12-BL11)))</f>
        <v>4.6393058591914071</v>
      </c>
      <c r="BE12" s="14">
        <f>BD12*VLOOKUP('Données projet'!$B$11,Paramètres!$A$1:$I$89,3,0)*VLOOKUP('Données projet'!$B$11,Paramètres!$A$1:$I$89,5,0)</f>
        <v>4.4147634556065434</v>
      </c>
      <c r="BF12" s="14">
        <f t="shared" si="37"/>
        <v>1.7115605896962163</v>
      </c>
      <c r="BG12" s="22">
        <f t="shared" si="7"/>
        <v>10.670014378902303</v>
      </c>
      <c r="BH12" s="60">
        <f t="shared" si="8"/>
        <v>278.33668104556898</v>
      </c>
      <c r="BI12" s="60">
        <f ca="1">AVERAGE(OFFSET($BH$3,0,0,'Données projet'!$E$11+1,1))-AVERAGE(OFFSET($H$3,0,0,'Données projet'!$E$11+1,1))</f>
        <v>389.12604446638119</v>
      </c>
      <c r="BJ12" s="60">
        <f t="shared" si="38"/>
        <v>243.23852967152732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2.84</v>
      </c>
      <c r="BY12" s="13">
        <f>IF('Données projet'!$A$114&gt;35,BY11+BX12-CG11,IF(A12&lt;'Données projet'!$A$114,$BV$205^A12,IF(A12='Données projet'!$A$114,'Données projet'!$B$114,BY11+BX12-CG11)))</f>
        <v>4.6393058591914071</v>
      </c>
      <c r="BZ12" s="14">
        <f>BY12*VLOOKUP('Données projet'!$B$12,Paramètres!$A$1:$I$89,3,0)*VLOOKUP('Données projet'!$B$12,Paramètres!$A$1:$I$89,5,0)</f>
        <v>4.1976439413963851</v>
      </c>
      <c r="CA12" s="14">
        <f t="shared" si="39"/>
        <v>1.6369665715321342</v>
      </c>
      <c r="CB12" s="22">
        <f t="shared" si="10"/>
        <v>10.161946643350502</v>
      </c>
      <c r="CC12" s="60">
        <f t="shared" si="11"/>
        <v>277.8286133100172</v>
      </c>
      <c r="CD12" s="60">
        <f ca="1">AVERAGE(OFFSET($CC$3,0,0,'Données projet'!$E$12+1,1))-AVERAGE(OFFSET($H$3,0,0,'Données projet'!$E$12+1,1))</f>
        <v>371.95849973474657</v>
      </c>
      <c r="CE12" s="60">
        <f t="shared" si="40"/>
        <v>233.32640143610547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2.84</v>
      </c>
      <c r="CT12" s="13">
        <f>IF('Données projet'!$A$140&gt;35,CT11+CS12-DB11,IF(A12&lt;'Données projet'!$A$140,$CQ$205^A12,IF(A12='Données projet'!$A$140,'Données projet'!$B$140,CT11+CS12-DB11)))</f>
        <v>4.6393058591914071</v>
      </c>
      <c r="CU12" s="18">
        <f>CT12*VLOOKUP('Données projet'!$B$13,Paramètres!$A$1:$I$89,3,0)*VLOOKUP('Données projet'!$B$13,Paramètres!$A$1:$I$89,5,0)</f>
        <v>4.4871366270099289</v>
      </c>
      <c r="CV12" s="14">
        <f t="shared" si="41"/>
        <v>1.7363294544137422</v>
      </c>
      <c r="CW12" s="22">
        <f t="shared" si="13"/>
        <v>10.839203425146229</v>
      </c>
      <c r="CX12" s="60">
        <f t="shared" si="14"/>
        <v>278.50587009181294</v>
      </c>
      <c r="CY12" s="60">
        <f ca="1">AVERAGE(OFFSET($CX$3,0,0,'Données projet'!$E$13+1,1))-AVERAGE(OFFSET($H$3,0,0,'Données projet'!$E$13+1,1))</f>
        <v>394.8445842828649</v>
      </c>
      <c r="CZ12" s="60">
        <f t="shared" si="42"/>
        <v>246.54010105494143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3.95</v>
      </c>
      <c r="DO12" s="13">
        <f>IF('Données projet'!$A$166&gt;35,DO11+DN12-DW11,IF(A12&lt;'Données projet'!$A$166,$DL$205^A12,IF(A12='Données projet'!$A$166,'Données projet'!$B$166,DO11+DN12-DW11)))</f>
        <v>7.143847763238993</v>
      </c>
      <c r="DP12" s="18">
        <f>DO12*VLOOKUP('Données projet'!$B$14,Paramètres!$A$1:$I$89,3,0)*VLOOKUP('Données projet'!$B$14,Paramètres!$A$1:$I$89,5,0)</f>
        <v>6.2408654059655859</v>
      </c>
      <c r="DQ12" s="14">
        <f t="shared" si="43"/>
        <v>2.3239692894013682</v>
      </c>
      <c r="DR12" s="22">
        <f t="shared" si="16"/>
        <v>14.917087094430778</v>
      </c>
      <c r="DS12" s="60">
        <f t="shared" si="17"/>
        <v>282.58375376109746</v>
      </c>
      <c r="DT12" s="60">
        <f ca="1">AVERAGE(OFFSET($DS$3,0,0,'Données projet'!$E$14+1,1))-AVERAGE(OFFSET($H$3,0,0,'Données projet'!$E$14+1,1))</f>
        <v>266.98113257513319</v>
      </c>
      <c r="DU12" s="60">
        <f t="shared" si="44"/>
        <v>275.73257102713393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2.84</v>
      </c>
      <c r="EJ12" s="13">
        <f>IF('Données projet'!$A$192&gt;35,EJ11+EI12-ER11,IF(A12&lt;'Données projet'!$A$192,$EG$205^A12,IF(A12='Données projet'!$A$192,'Données projet'!$B$192,EJ11+EI12-ER11)))</f>
        <v>4.6393058591914071</v>
      </c>
      <c r="EK12" s="18">
        <f>EJ12*VLOOKUP('Données projet'!$B$15,Paramètres!$A$1:$I$89,3,0)*VLOOKUP('Données projet'!$B$15,Paramètres!$A$1:$I$89,5,0)</f>
        <v>5.2832415124471748</v>
      </c>
      <c r="EL12" s="14">
        <f t="shared" si="45"/>
        <v>2.0058890836111387</v>
      </c>
      <c r="EM12" s="22">
        <f t="shared" si="19"/>
        <v>12.695235788134896</v>
      </c>
      <c r="EN12" s="60">
        <f t="shared" si="20"/>
        <v>280.36190245480157</v>
      </c>
      <c r="EO12" s="60">
        <f ca="1">AVERAGE(OFFSET($EN$3,0,0,'Données projet'!$E$15+1,1))-AVERAGE(OFFSET($H$3,0,0,'Données projet'!$E$15+1,1))</f>
        <v>457.62828850677369</v>
      </c>
      <c r="EP12" s="60">
        <f t="shared" si="46"/>
        <v>282.78263556175563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2.84</v>
      </c>
      <c r="FE12" s="13">
        <f>IF('Données projet'!$A$218&gt;35,FE11+FD12-FM11,IF(A12&lt;'Données projet'!$A$218,$FB$205^A12,IF(A12='Données projet'!$A$218,'Données projet'!$B$218,FE11+FD12-FM11)))</f>
        <v>4.6393058591914071</v>
      </c>
      <c r="FF12" s="18">
        <f>FE12*VLOOKUP('Données projet'!$B$16,Paramètres!$A$1:$I$89,3,0)*VLOOKUP('Données projet'!$B$16,Paramètres!$A$1:$I$89,5,0)</f>
        <v>5.0661219982370165</v>
      </c>
      <c r="FG12" s="14">
        <f t="shared" si="47"/>
        <v>1.9328736422644686</v>
      </c>
      <c r="FH12" s="22">
        <f t="shared" si="22"/>
        <v>12.189917407206755</v>
      </c>
      <c r="FI12" s="60">
        <f t="shared" si="23"/>
        <v>279.85658407387342</v>
      </c>
      <c r="FJ12" s="60">
        <f ca="1">AVERAGE(OFFSET($FI$3,0,0,'Données projet'!$E$16+1,1))-AVERAGE(OFFSET($H$3,0,0,'Données projet'!$E$16+1,1))</f>
        <v>440.52623925652182</v>
      </c>
      <c r="FK12" s="60">
        <f t="shared" si="48"/>
        <v>272.91122662088918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6.5</v>
      </c>
      <c r="FZ12" s="13">
        <f>IF('Données projet'!$A$244&gt;35,FZ11+FY12-GH11,IF(A12&lt;'Données projet'!$A$244,$FW$205^A12,IF(A12='Données projet'!$A$244,'Données projet'!$B$244,FZ11+FY12-GH11)))</f>
        <v>4.8641883518579174</v>
      </c>
      <c r="GA12" s="18">
        <f>FZ12*VLOOKUP('Données projet'!$B$17,Paramètres!$A$1:$I$89,3,0)*VLOOKUP('Données projet'!$B$17,Paramètres!$A$1:$I$89,5,0)</f>
        <v>2.2764401486695052</v>
      </c>
      <c r="GB12" s="14">
        <f t="shared" si="49"/>
        <v>0.95328701064281096</v>
      </c>
      <c r="GC12" s="22">
        <f t="shared" si="25"/>
        <v>5.6251081358022832</v>
      </c>
      <c r="GD12" s="60">
        <f t="shared" si="26"/>
        <v>273.29177480246898</v>
      </c>
      <c r="GE12" s="60">
        <f ca="1">AVERAGE(OFFSET($GD$3,0,0,'Données projet'!$E$17+1,1))-AVERAGE(OFFSET($H$3,0,0,'Données projet'!$E$17+1,1))</f>
        <v>317.54276561627643</v>
      </c>
      <c r="GF12" s="60">
        <f t="shared" si="50"/>
        <v>238.92443174298893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18.75</v>
      </c>
      <c r="GU12" s="13">
        <f>IF('Données projet'!$A$270&gt;35,GU11+GT12-HC11,IF(A12&lt;'Données projet'!$A$270,$GR$205^A12,IF(A12='Données projet'!$A$270,'Données projet'!$B$270,GU11+GT12-HC11)))</f>
        <v>24.738918267886074</v>
      </c>
      <c r="GV12" s="18">
        <f>GU12*VLOOKUP('Données projet'!$B$18,Paramètres!$A$1:$I$89,3,0)*VLOOKUP('Données projet'!$B$18,Paramètres!$A$1:$I$89,5,0)</f>
        <v>13.237300386780483</v>
      </c>
      <c r="GW12" s="14">
        <f t="shared" si="51"/>
        <v>4.516209043489174</v>
      </c>
      <c r="GX12" s="22">
        <f t="shared" si="28"/>
        <v>30.920695591052986</v>
      </c>
      <c r="GY12" s="60">
        <f t="shared" si="29"/>
        <v>298.58736225771969</v>
      </c>
      <c r="GZ12" s="60">
        <f ca="1">AVERAGE(OFFSET($GY$3,0,0,'Données projet'!$E$18+1,1))-AVERAGE(OFFSET($H$3,0,0,'Données projet'!$E$18+1,1))</f>
        <v>79.868679770907136</v>
      </c>
      <c r="HA12" s="60">
        <f t="shared" si="52"/>
        <v>370.47471103028312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0">
        <f t="shared" si="0"/>
        <v>307.31743046108022</v>
      </c>
      <c r="S13" s="60">
        <f ca="1">AVERAGE(OFFSET($R$3,0,0,'Données projet'!$E$9+1,1))-AVERAGE(OFFSET($H$3,0,0,'Données projet'!$E$9+1,1))</f>
        <v>206.5885410269899</v>
      </c>
      <c r="T13" s="60">
        <f t="shared" si="34"/>
        <v>347.41156847586302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5.7692307692307692</v>
      </c>
      <c r="AI13" s="14">
        <f>IF('Données projet'!$A$62&gt;35,AI12+AH13-AQ12,IF(A13&lt;'Données projet'!$A$62,$AF$205^A13,IF(A13='Données projet'!$A$62,'Données projet'!$B$62,AI12+AH13-AQ12)))</f>
        <v>27.69203156625229</v>
      </c>
      <c r="AJ13" s="14">
        <f>AI13*VLOOKUP('Données projet'!$B$10,Paramètres!$A$1:$I$89,3,0)*VLOOKUP('Données projet'!$B$10,Paramètres!$A$1:$I$89,5,0)</f>
        <v>16.559834876618869</v>
      </c>
      <c r="AK13" s="14">
        <f t="shared" si="35"/>
        <v>5.5043995188977117</v>
      </c>
      <c r="AL13" s="22">
        <f t="shared" si="4"/>
        <v>38.428541572191371</v>
      </c>
      <c r="AM13" s="60">
        <f t="shared" si="5"/>
        <v>307.31743046108022</v>
      </c>
      <c r="AN13" s="60">
        <f ca="1">AVERAGE(OFFSET($AM$3,0,0,'Données projet'!$E$10+1,1))-AVERAGE(OFFSET($H$3,0,0,'Données projet'!$E$10+1,1))</f>
        <v>206.5885410269899</v>
      </c>
      <c r="AO13" s="60">
        <f t="shared" si="36"/>
        <v>347.41156847586302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2.84</v>
      </c>
      <c r="BD13" s="13">
        <f>IF('Données projet'!$A$88&gt;35,BD12+BC13-BL12,IF(A13&lt;'Données projet'!$A$88,$BA$205^A13,IF(A13='Données projet'!$A$88,'Données projet'!$B$88,BD12+BC13-BL12)))</f>
        <v>5.5017815106427381</v>
      </c>
      <c r="BE13" s="14">
        <f>BD13*VLOOKUP('Données projet'!$B$11,Paramètres!$A$1:$I$89,3,0)*VLOOKUP('Données projet'!$B$11,Paramètres!$A$1:$I$89,5,0)</f>
        <v>5.2354952855276293</v>
      </c>
      <c r="BF13" s="14">
        <f t="shared" si="37"/>
        <v>1.9898628911686913</v>
      </c>
      <c r="BG13" s="22">
        <f t="shared" si="7"/>
        <v>12.584165491079425</v>
      </c>
      <c r="BH13" s="60">
        <f t="shared" si="8"/>
        <v>281.47305437996829</v>
      </c>
      <c r="BI13" s="60">
        <f ca="1">AVERAGE(OFFSET($BH$3,0,0,'Données projet'!$E$11+1,1))-AVERAGE(OFFSET($H$3,0,0,'Données projet'!$E$11+1,1))</f>
        <v>389.12604446638119</v>
      </c>
      <c r="BJ13" s="60">
        <f t="shared" si="38"/>
        <v>243.23852967152732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2.84</v>
      </c>
      <c r="BY13" s="13">
        <f>IF('Données projet'!$A$114&gt;35,BY12+BX13-CG12,IF(A13&lt;'Données projet'!$A$114,$BV$205^A13,IF(A13='Données projet'!$A$114,'Données projet'!$B$114,BY12+BX13-CG12)))</f>
        <v>5.5017815106427381</v>
      </c>
      <c r="BZ13" s="14">
        <f>BY13*VLOOKUP('Données projet'!$B$12,Paramètres!$A$1:$I$89,3,0)*VLOOKUP('Données projet'!$B$12,Paramètres!$A$1:$I$89,5,0)</f>
        <v>4.9780119108295491</v>
      </c>
      <c r="CA13" s="14">
        <f t="shared" si="39"/>
        <v>1.9031397745338225</v>
      </c>
      <c r="CB13" s="22">
        <f t="shared" si="10"/>
        <v>11.984672518674538</v>
      </c>
      <c r="CC13" s="60">
        <f t="shared" si="11"/>
        <v>280.87356140756339</v>
      </c>
      <c r="CD13" s="60">
        <f ca="1">AVERAGE(OFFSET($CC$3,0,0,'Données projet'!$E$12+1,1))-AVERAGE(OFFSET($H$3,0,0,'Données projet'!$E$12+1,1))</f>
        <v>371.95849973474657</v>
      </c>
      <c r="CE13" s="60">
        <f t="shared" si="40"/>
        <v>233.32640143610547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2.84</v>
      </c>
      <c r="CT13" s="13">
        <f>IF('Données projet'!$A$140&gt;35,CT12+CS13-DB12,IF(A13&lt;'Données projet'!$A$140,$CQ$205^A13,IF(A13='Données projet'!$A$140,'Données projet'!$B$140,CT12+CS13-DB12)))</f>
        <v>5.5017815106427381</v>
      </c>
      <c r="CU13" s="18">
        <f>CT13*VLOOKUP('Données projet'!$B$13,Paramètres!$A$1:$I$89,3,0)*VLOOKUP('Données projet'!$B$13,Paramètres!$A$1:$I$89,5,0)</f>
        <v>5.3213230770936564</v>
      </c>
      <c r="CV13" s="14">
        <f t="shared" si="41"/>
        <v>2.0186592101856715</v>
      </c>
      <c r="CW13" s="22">
        <f t="shared" si="13"/>
        <v>12.783802483678164</v>
      </c>
      <c r="CX13" s="60">
        <f t="shared" si="14"/>
        <v>281.67269137256704</v>
      </c>
      <c r="CY13" s="60">
        <f ca="1">AVERAGE(OFFSET($CX$3,0,0,'Données projet'!$E$13+1,1))-AVERAGE(OFFSET($H$3,0,0,'Données projet'!$E$13+1,1))</f>
        <v>394.8445842828649</v>
      </c>
      <c r="CZ13" s="60">
        <f t="shared" si="42"/>
        <v>246.54010105494143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3.95</v>
      </c>
      <c r="DO13" s="13">
        <f>IF('Données projet'!$A$166&gt;35,DO12+DN13-DW12,IF(A13&lt;'Données projet'!$A$166,$DL$205^A13,IF(A13='Données projet'!$A$166,'Données projet'!$B$166,DO12+DN13-DW12)))</f>
        <v>8.8881944173155834</v>
      </c>
      <c r="DP13" s="18">
        <f>DO13*VLOOKUP('Données projet'!$B$14,Paramètres!$A$1:$I$89,3,0)*VLOOKUP('Données projet'!$B$14,Paramètres!$A$1:$I$89,5,0)</f>
        <v>7.7647266429668944</v>
      </c>
      <c r="DQ13" s="14">
        <f t="shared" si="43"/>
        <v>2.8188213327881941</v>
      </c>
      <c r="DR13" s="22">
        <f t="shared" si="16"/>
        <v>18.433012724440111</v>
      </c>
      <c r="DS13" s="60">
        <f t="shared" si="17"/>
        <v>287.32190161332898</v>
      </c>
      <c r="DT13" s="60">
        <f ca="1">AVERAGE(OFFSET($DS$3,0,0,'Données projet'!$E$14+1,1))-AVERAGE(OFFSET($H$3,0,0,'Données projet'!$E$14+1,1))</f>
        <v>266.98113257513319</v>
      </c>
      <c r="DU13" s="60">
        <f t="shared" si="44"/>
        <v>275.73257102713393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2.84</v>
      </c>
      <c r="EJ13" s="13">
        <f>IF('Données projet'!$A$192&gt;35,EJ12+EI13-ER12,IF(A13&lt;'Données projet'!$A$192,$EG$205^A13,IF(A13='Données projet'!$A$192,'Données projet'!$B$192,EJ12+EI13-ER12)))</f>
        <v>5.5017815106427381</v>
      </c>
      <c r="EK13" s="18">
        <f>EJ13*VLOOKUP('Données projet'!$B$15,Paramètres!$A$1:$I$89,3,0)*VLOOKUP('Données projet'!$B$15,Paramètres!$A$1:$I$89,5,0)</f>
        <v>6.2654287843199503</v>
      </c>
      <c r="EL13" s="14">
        <f t="shared" si="45"/>
        <v>2.3320496366340242</v>
      </c>
      <c r="EM13" s="22">
        <f t="shared" si="19"/>
        <v>14.973941583161505</v>
      </c>
      <c r="EN13" s="60">
        <f t="shared" si="20"/>
        <v>283.86283047205035</v>
      </c>
      <c r="EO13" s="60">
        <f ca="1">AVERAGE(OFFSET($EN$3,0,0,'Données projet'!$E$15+1,1))-AVERAGE(OFFSET($H$3,0,0,'Données projet'!$E$15+1,1))</f>
        <v>457.62828850677369</v>
      </c>
      <c r="EP13" s="60">
        <f t="shared" si="46"/>
        <v>282.78263556175563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2.84</v>
      </c>
      <c r="FE13" s="13">
        <f>IF('Données projet'!$A$218&gt;35,FE12+FD13-FM12,IF(A13&lt;'Données projet'!$A$218,$FB$205^A13,IF(A13='Données projet'!$A$218,'Données projet'!$B$218,FE12+FD13-FM12)))</f>
        <v>5.5017815106427381</v>
      </c>
      <c r="FF13" s="18">
        <f>FE13*VLOOKUP('Données projet'!$B$16,Paramètres!$A$1:$I$89,3,0)*VLOOKUP('Données projet'!$B$16,Paramètres!$A$1:$I$89,5,0)</f>
        <v>6.0079454096218692</v>
      </c>
      <c r="FG13" s="14">
        <f t="shared" si="47"/>
        <v>2.2471617757585696</v>
      </c>
      <c r="FH13" s="22">
        <f t="shared" si="22"/>
        <v>14.377645014537597</v>
      </c>
      <c r="FI13" s="60">
        <f t="shared" si="23"/>
        <v>283.26653390342648</v>
      </c>
      <c r="FJ13" s="60">
        <f ca="1">AVERAGE(OFFSET($FI$3,0,0,'Données projet'!$E$16+1,1))-AVERAGE(OFFSET($H$3,0,0,'Données projet'!$E$16+1,1))</f>
        <v>440.52623925652182</v>
      </c>
      <c r="FK13" s="60">
        <f t="shared" si="48"/>
        <v>272.91122662088918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6.5</v>
      </c>
      <c r="FZ13" s="13">
        <f>IF('Données projet'!$A$244&gt;35,FZ12+FY13-GH12,IF(A13&lt;'Données projet'!$A$244,$FW$205^A13,IF(A13='Données projet'!$A$244,'Données projet'!$B$244,FZ12+FY13-GH12)))</f>
        <v>5.7988899976489963</v>
      </c>
      <c r="GA13" s="18">
        <f>FZ13*VLOOKUP('Données projet'!$B$17,Paramètres!$A$1:$I$89,3,0)*VLOOKUP('Données projet'!$B$17,Paramètres!$A$1:$I$89,5,0)</f>
        <v>2.7138805188997304</v>
      </c>
      <c r="GB13" s="14">
        <f t="shared" si="49"/>
        <v>1.1134554059951043</v>
      </c>
      <c r="GC13" s="22">
        <f t="shared" si="25"/>
        <v>6.66594340252517</v>
      </c>
      <c r="GD13" s="60">
        <f t="shared" si="26"/>
        <v>275.55483229141402</v>
      </c>
      <c r="GE13" s="60">
        <f ca="1">AVERAGE(OFFSET($GD$3,0,0,'Données projet'!$E$17+1,1))-AVERAGE(OFFSET($H$3,0,0,'Données projet'!$E$17+1,1))</f>
        <v>317.54276561627643</v>
      </c>
      <c r="GF13" s="60">
        <f t="shared" si="50"/>
        <v>238.92443174298893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18.75</v>
      </c>
      <c r="GU13" s="13">
        <f>IF('Données projet'!$A$270&gt;35,GU12+GT13-HC12,IF(A13&lt;'Données projet'!$A$270,$GR$205^A13,IF(A13='Données projet'!$A$270,'Données projet'!$B$270,GU12+GT13-HC12)))</f>
        <v>35.334649214140306</v>
      </c>
      <c r="GV13" s="18">
        <f>GU13*VLOOKUP('Données projet'!$B$18,Paramètres!$A$1:$I$89,3,0)*VLOOKUP('Données projet'!$B$18,Paramètres!$A$1:$I$89,5,0)</f>
        <v>18.906864101502197</v>
      </c>
      <c r="GW13" s="14">
        <f t="shared" si="51"/>
        <v>6.1883241928114376</v>
      </c>
      <c r="GX13" s="22">
        <f t="shared" si="28"/>
        <v>43.707452945929582</v>
      </c>
      <c r="GY13" s="60">
        <f t="shared" si="29"/>
        <v>312.59634183481842</v>
      </c>
      <c r="GZ13" s="60">
        <f ca="1">AVERAGE(OFFSET($GY$3,0,0,'Données projet'!$E$18+1,1))-AVERAGE(OFFSET($H$3,0,0,'Données projet'!$E$18+1,1))</f>
        <v>79.868679770907136</v>
      </c>
      <c r="HA13" s="60">
        <f t="shared" si="52"/>
        <v>370.47471103028312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0">
        <f t="shared" si="0"/>
        <v>323.17039339202512</v>
      </c>
      <c r="S14" s="60">
        <f ca="1">AVERAGE(OFFSET($R$3,0,0,'Données projet'!$E$9+1,1))-AVERAGE(OFFSET($H$3,0,0,'Données projet'!$E$9+1,1))</f>
        <v>206.5885410269899</v>
      </c>
      <c r="T14" s="60">
        <f t="shared" si="34"/>
        <v>347.41156847586302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5.7692307692307692</v>
      </c>
      <c r="AI14" s="14">
        <f>IF('Données projet'!$A$62&gt;35,AI13+AH14-AQ13,IF(A14&lt;'Données projet'!$A$62,$AF$205^A14,IF(A14='Données projet'!$A$62,'Données projet'!$B$62,AI13+AH14-AQ13)))</f>
        <v>38.600266206646971</v>
      </c>
      <c r="AJ14" s="14">
        <f>AI14*VLOOKUP('Données projet'!$B$10,Paramètres!$A$1:$I$89,3,0)*VLOOKUP('Données projet'!$B$10,Paramètres!$A$1:$I$89,5,0)</f>
        <v>23.08295919157489</v>
      </c>
      <c r="AK14" s="14">
        <f t="shared" si="35"/>
        <v>7.3817004912465372</v>
      </c>
      <c r="AL14" s="22">
        <f t="shared" si="4"/>
        <v>53.059282280913983</v>
      </c>
      <c r="AM14" s="60">
        <f t="shared" si="5"/>
        <v>323.17039339202512</v>
      </c>
      <c r="AN14" s="60">
        <f ca="1">AVERAGE(OFFSET($AM$3,0,0,'Données projet'!$E$10+1,1))-AVERAGE(OFFSET($H$3,0,0,'Données projet'!$E$10+1,1))</f>
        <v>206.5885410269899</v>
      </c>
      <c r="AO14" s="60">
        <f t="shared" si="36"/>
        <v>347.41156847586302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2.84</v>
      </c>
      <c r="BD14" s="13">
        <f>IF('Données projet'!$A$88&gt;35,BD13+BC14-BL13,IF(A14&lt;'Données projet'!$A$88,$BA$205^A14,IF(A14='Données projet'!$A$88,'Données projet'!$B$88,BD13+BC14-BL13)))</f>
        <v>6.5245967197614414</v>
      </c>
      <c r="BE14" s="14">
        <f>BD14*VLOOKUP('Données projet'!$B$11,Paramètres!$A$1:$I$89,3,0)*VLOOKUP('Données projet'!$B$11,Paramètres!$A$1:$I$89,5,0)</f>
        <v>6.2088062385249874</v>
      </c>
      <c r="BF14" s="14">
        <f t="shared" si="37"/>
        <v>2.3134175614273764</v>
      </c>
      <c r="BG14" s="22">
        <f t="shared" si="7"/>
        <v>14.842873118250367</v>
      </c>
      <c r="BH14" s="60">
        <f t="shared" si="8"/>
        <v>284.95398422936148</v>
      </c>
      <c r="BI14" s="60">
        <f ca="1">AVERAGE(OFFSET($BH$3,0,0,'Données projet'!$E$11+1,1))-AVERAGE(OFFSET($H$3,0,0,'Données projet'!$E$11+1,1))</f>
        <v>389.12604446638119</v>
      </c>
      <c r="BJ14" s="60">
        <f t="shared" si="38"/>
        <v>243.23852967152732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2.84</v>
      </c>
      <c r="BY14" s="13">
        <f>IF('Données projet'!$A$114&gt;35,BY13+BX14-CG13,IF(A14&lt;'Données projet'!$A$114,$BV$205^A14,IF(A14='Données projet'!$A$114,'Données projet'!$B$114,BY13+BX14-CG13)))</f>
        <v>6.5245967197614414</v>
      </c>
      <c r="BZ14" s="14">
        <f>BY14*VLOOKUP('Données projet'!$B$12,Paramètres!$A$1:$I$89,3,0)*VLOOKUP('Données projet'!$B$12,Paramètres!$A$1:$I$89,5,0)</f>
        <v>5.9034551120401524</v>
      </c>
      <c r="CA14" s="14">
        <f t="shared" si="39"/>
        <v>2.2125931368425316</v>
      </c>
      <c r="CB14" s="22">
        <f t="shared" si="10"/>
        <v>14.135450700137341</v>
      </c>
      <c r="CC14" s="60">
        <f t="shared" si="11"/>
        <v>284.24656181124851</v>
      </c>
      <c r="CD14" s="60">
        <f ca="1">AVERAGE(OFFSET($CC$3,0,0,'Données projet'!$E$12+1,1))-AVERAGE(OFFSET($H$3,0,0,'Données projet'!$E$12+1,1))</f>
        <v>371.95849973474657</v>
      </c>
      <c r="CE14" s="60">
        <f t="shared" si="40"/>
        <v>233.32640143610547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2.84</v>
      </c>
      <c r="CT14" s="13">
        <f>IF('Données projet'!$A$140&gt;35,CT13+CS14-DB13,IF(A14&lt;'Données projet'!$A$140,$CQ$205^A14,IF(A14='Données projet'!$A$140,'Données projet'!$B$140,CT13+CS14-DB13)))</f>
        <v>6.5245967197614414</v>
      </c>
      <c r="CU14" s="18">
        <f>CT14*VLOOKUP('Données projet'!$B$13,Paramètres!$A$1:$I$89,3,0)*VLOOKUP('Données projet'!$B$13,Paramètres!$A$1:$I$89,5,0)</f>
        <v>6.3105899473532663</v>
      </c>
      <c r="CV14" s="14">
        <f t="shared" si="41"/>
        <v>2.3468962048123094</v>
      </c>
      <c r="CW14" s="22">
        <f t="shared" si="13"/>
        <v>15.078455048355044</v>
      </c>
      <c r="CX14" s="60">
        <f t="shared" si="14"/>
        <v>285.18956615946621</v>
      </c>
      <c r="CY14" s="60">
        <f ca="1">AVERAGE(OFFSET($CX$3,0,0,'Données projet'!$E$13+1,1))-AVERAGE(OFFSET($H$3,0,0,'Données projet'!$E$13+1,1))</f>
        <v>394.8445842828649</v>
      </c>
      <c r="CZ14" s="60">
        <f t="shared" si="42"/>
        <v>246.54010105494143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3.95</v>
      </c>
      <c r="DO14" s="13">
        <f>IF('Données projet'!$A$166&gt;35,DO13+DN14-DW13,IF(A14&lt;'Données projet'!$A$166,$DL$205^A14,IF(A14='Données projet'!$A$166,'Données projet'!$B$166,DO13+DN14-DW13)))</f>
        <v>11.058466336099752</v>
      </c>
      <c r="DP14" s="18">
        <f>DO14*VLOOKUP('Données projet'!$B$14,Paramètres!$A$1:$I$89,3,0)*VLOOKUP('Données projet'!$B$14,Paramètres!$A$1:$I$89,5,0)</f>
        <v>9.6606761912167443</v>
      </c>
      <c r="DQ14" s="14">
        <f t="shared" si="43"/>
        <v>3.4190441940945626</v>
      </c>
      <c r="DR14" s="22">
        <f t="shared" si="16"/>
        <v>22.780513004417188</v>
      </c>
      <c r="DS14" s="60">
        <f t="shared" si="17"/>
        <v>292.89162411552832</v>
      </c>
      <c r="DT14" s="60">
        <f ca="1">AVERAGE(OFFSET($DS$3,0,0,'Données projet'!$E$14+1,1))-AVERAGE(OFFSET($H$3,0,0,'Données projet'!$E$14+1,1))</f>
        <v>266.98113257513319</v>
      </c>
      <c r="DU14" s="60">
        <f t="shared" si="44"/>
        <v>275.73257102713393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2.84</v>
      </c>
      <c r="EJ14" s="13">
        <f>IF('Données projet'!$A$192&gt;35,EJ13+EI14-ER13,IF(A14&lt;'Données projet'!$A$192,$EG$205^A14,IF(A14='Données projet'!$A$192,'Données projet'!$B$192,EJ13+EI14-ER13)))</f>
        <v>6.5245967197614414</v>
      </c>
      <c r="EK14" s="18">
        <f>EJ14*VLOOKUP('Données projet'!$B$15,Paramètres!$A$1:$I$89,3,0)*VLOOKUP('Données projet'!$B$15,Paramètres!$A$1:$I$89,5,0)</f>
        <v>7.4302107444643299</v>
      </c>
      <c r="EL14" s="14">
        <f t="shared" si="45"/>
        <v>2.7112443814361891</v>
      </c>
      <c r="EM14" s="22">
        <f t="shared" si="19"/>
        <v>17.663034344276738</v>
      </c>
      <c r="EN14" s="60">
        <f t="shared" si="20"/>
        <v>287.7741454553879</v>
      </c>
      <c r="EO14" s="60">
        <f ca="1">AVERAGE(OFFSET($EN$3,0,0,'Données projet'!$E$15+1,1))-AVERAGE(OFFSET($H$3,0,0,'Données projet'!$E$15+1,1))</f>
        <v>457.62828850677369</v>
      </c>
      <c r="EP14" s="60">
        <f t="shared" si="46"/>
        <v>282.78263556175563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2.84</v>
      </c>
      <c r="FE14" s="13">
        <f>IF('Données projet'!$A$218&gt;35,FE13+FD14-FM13,IF(A14&lt;'Données projet'!$A$218,$FB$205^A14,IF(A14='Données projet'!$A$218,'Données projet'!$B$218,FE13+FD14-FM13)))</f>
        <v>6.5245967197614414</v>
      </c>
      <c r="FF14" s="18">
        <f>FE14*VLOOKUP('Données projet'!$B$16,Paramètres!$A$1:$I$89,3,0)*VLOOKUP('Données projet'!$B$16,Paramètres!$A$1:$I$89,5,0)</f>
        <v>7.1248596179794941</v>
      </c>
      <c r="FG14" s="14">
        <f t="shared" si="47"/>
        <v>2.6125536279310864</v>
      </c>
      <c r="FH14" s="22">
        <f t="shared" si="22"/>
        <v>16.959328069960929</v>
      </c>
      <c r="FI14" s="60">
        <f t="shared" si="23"/>
        <v>287.07043918107206</v>
      </c>
      <c r="FJ14" s="60">
        <f ca="1">AVERAGE(OFFSET($FI$3,0,0,'Données projet'!$E$16+1,1))-AVERAGE(OFFSET($H$3,0,0,'Données projet'!$E$16+1,1))</f>
        <v>440.52623925652182</v>
      </c>
      <c r="FK14" s="60">
        <f t="shared" si="48"/>
        <v>272.91122662088918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6.5</v>
      </c>
      <c r="FZ14" s="13">
        <f>IF('Données projet'!$A$244&gt;35,FZ13+FY14-GH13,IF(A14&lt;'Données projet'!$A$244,$FW$205^A14,IF(A14='Données projet'!$A$244,'Données projet'!$B$244,FZ13+FY14-GH13)))</f>
        <v>6.9132037602921814</v>
      </c>
      <c r="GA14" s="18">
        <f>FZ14*VLOOKUP('Données projet'!$B$17,Paramètres!$A$1:$I$89,3,0)*VLOOKUP('Données projet'!$B$17,Paramètres!$A$1:$I$89,5,0)</f>
        <v>3.2353793598167409</v>
      </c>
      <c r="GB14" s="14">
        <f t="shared" si="49"/>
        <v>1.3005348098719234</v>
      </c>
      <c r="GC14" s="22">
        <f t="shared" si="25"/>
        <v>7.9000505122077564</v>
      </c>
      <c r="GD14" s="60">
        <f t="shared" si="26"/>
        <v>278.01116162331891</v>
      </c>
      <c r="GE14" s="60">
        <f ca="1">AVERAGE(OFFSET($GD$3,0,0,'Données projet'!$E$17+1,1))-AVERAGE(OFFSET($H$3,0,0,'Données projet'!$E$17+1,1))</f>
        <v>317.54276561627643</v>
      </c>
      <c r="GF14" s="60">
        <f t="shared" si="50"/>
        <v>238.92443174298893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18.75</v>
      </c>
      <c r="GU14" s="13">
        <f>IF('Données projet'!$A$270&gt;35,GU13+GT14-HC13,IF(A14&lt;'Données projet'!$A$270,$GR$205^A14,IF(A14='Données projet'!$A$270,'Données projet'!$B$270,GU13+GT14-HC13)))</f>
        <v>50.468554104367996</v>
      </c>
      <c r="GV14" s="18">
        <f>GU14*VLOOKUP('Données projet'!$B$18,Paramètres!$A$1:$I$89,3,0)*VLOOKUP('Données projet'!$B$18,Paramètres!$A$1:$I$89,5,0)</f>
        <v>27.004713930165234</v>
      </c>
      <c r="GW14" s="14">
        <f t="shared" si="51"/>
        <v>8.4795358112450803</v>
      </c>
      <c r="GX14" s="22">
        <f t="shared" si="28"/>
        <v>61.801734966289636</v>
      </c>
      <c r="GY14" s="60">
        <f t="shared" si="29"/>
        <v>331.91284607740079</v>
      </c>
      <c r="GZ14" s="60">
        <f ca="1">AVERAGE(OFFSET($GY$3,0,0,'Données projet'!$E$18+1,1))-AVERAGE(OFFSET($H$3,0,0,'Données projet'!$E$18+1,1))</f>
        <v>79.868679770907136</v>
      </c>
      <c r="HA14" s="60">
        <f t="shared" si="52"/>
        <v>370.47471103028312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0">
        <f t="shared" si="0"/>
        <v>344.61376105404327</v>
      </c>
      <c r="S15" s="60">
        <f ca="1">AVERAGE(OFFSET($R$3,0,0,'Données projet'!$E$9+1,1))-AVERAGE(OFFSET($H$3,0,0,'Données projet'!$E$9+1,1))</f>
        <v>206.5885410269899</v>
      </c>
      <c r="T15" s="60">
        <f t="shared" si="34"/>
        <v>347.41156847586302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5.7692307692307692</v>
      </c>
      <c r="AI15" s="14">
        <f>IF('Données projet'!$A$62&gt;35,AI14+AH15-AQ14,IF(A15&lt;'Données projet'!$A$62,$AF$205^A15,IF(A15='Données projet'!$A$62,'Données projet'!$B$62,AI14+AH15-AQ14)))</f>
        <v>53.805389743951515</v>
      </c>
      <c r="AJ15" s="14">
        <f>AI15*VLOOKUP('Données projet'!$B$10,Paramètres!$A$1:$I$89,3,0)*VLOOKUP('Données projet'!$B$10,Paramètres!$A$1:$I$89,5,0)</f>
        <v>32.175623066883006</v>
      </c>
      <c r="AK15" s="14">
        <f t="shared" si="35"/>
        <v>9.8992636627112418</v>
      </c>
      <c r="AL15" s="22">
        <f t="shared" si="4"/>
        <v>73.28042772070998</v>
      </c>
      <c r="AM15" s="60">
        <f t="shared" si="5"/>
        <v>344.61376105404327</v>
      </c>
      <c r="AN15" s="60">
        <f ca="1">AVERAGE(OFFSET($AM$3,0,0,'Données projet'!$E$10+1,1))-AVERAGE(OFFSET($H$3,0,0,'Données projet'!$E$10+1,1))</f>
        <v>206.5885410269899</v>
      </c>
      <c r="AO15" s="60">
        <f t="shared" si="36"/>
        <v>347.41156847586302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2.84</v>
      </c>
      <c r="BD15" s="13">
        <f>IF('Données projet'!$A$88&gt;35,BD14+BC15-BL14,IF(A15&lt;'Données projet'!$A$88,$BA$205^A15,IF(A15='Données projet'!$A$88,'Données projet'!$B$88,BD14+BC15-BL14)))</f>
        <v>7.7375596019531026</v>
      </c>
      <c r="BE15" s="14">
        <f>BD15*VLOOKUP('Données projet'!$B$11,Paramètres!$A$1:$I$89,3,0)*VLOOKUP('Données projet'!$B$11,Paramètres!$A$1:$I$89,5,0)</f>
        <v>7.3630617172185726</v>
      </c>
      <c r="BF15" s="14">
        <f t="shared" si="37"/>
        <v>2.6895827030460873</v>
      </c>
      <c r="BG15" s="22">
        <f t="shared" si="7"/>
        <v>17.508355698627614</v>
      </c>
      <c r="BH15" s="60">
        <f t="shared" si="8"/>
        <v>288.84168903196093</v>
      </c>
      <c r="BI15" s="60">
        <f ca="1">AVERAGE(OFFSET($BH$3,0,0,'Données projet'!$E$11+1,1))-AVERAGE(OFFSET($H$3,0,0,'Données projet'!$E$11+1,1))</f>
        <v>389.12604446638119</v>
      </c>
      <c r="BJ15" s="60">
        <f t="shared" si="38"/>
        <v>243.23852967152732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2.84</v>
      </c>
      <c r="BY15" s="13">
        <f>IF('Données projet'!$A$114&gt;35,BY14+BX15-CG14,IF(A15&lt;'Données projet'!$A$114,$BV$205^A15,IF(A15='Données projet'!$A$114,'Données projet'!$B$114,BY14+BX15-CG14)))</f>
        <v>7.7375596019531026</v>
      </c>
      <c r="BZ15" s="14">
        <f>BY15*VLOOKUP('Données projet'!$B$12,Paramètres!$A$1:$I$89,3,0)*VLOOKUP('Données projet'!$B$12,Paramètres!$A$1:$I$89,5,0)</f>
        <v>7.0009439278471666</v>
      </c>
      <c r="CA15" s="14">
        <f t="shared" si="39"/>
        <v>2.5723640768329017</v>
      </c>
      <c r="CB15" s="22">
        <f t="shared" si="10"/>
        <v>16.673511441484454</v>
      </c>
      <c r="CC15" s="60">
        <f t="shared" si="11"/>
        <v>288.00684477481775</v>
      </c>
      <c r="CD15" s="60">
        <f ca="1">AVERAGE(OFFSET($CC$3,0,0,'Données projet'!$E$12+1,1))-AVERAGE(OFFSET($H$3,0,0,'Données projet'!$E$12+1,1))</f>
        <v>371.95849973474657</v>
      </c>
      <c r="CE15" s="60">
        <f t="shared" si="40"/>
        <v>233.32640143610547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2.84</v>
      </c>
      <c r="CT15" s="13">
        <f>IF('Données projet'!$A$140&gt;35,CT14+CS15-DB14,IF(A15&lt;'Données projet'!$A$140,$CQ$205^A15,IF(A15='Données projet'!$A$140,'Données projet'!$B$140,CT14+CS15-DB14)))</f>
        <v>7.7375596019531026</v>
      </c>
      <c r="CU15" s="18">
        <f>CT15*VLOOKUP('Données projet'!$B$13,Paramètres!$A$1:$I$89,3,0)*VLOOKUP('Données projet'!$B$13,Paramètres!$A$1:$I$89,5,0)</f>
        <v>7.4837676470090404</v>
      </c>
      <c r="CV15" s="14">
        <f t="shared" si="41"/>
        <v>2.7285050237161208</v>
      </c>
      <c r="CW15" s="22">
        <f t="shared" si="13"/>
        <v>17.786374901512989</v>
      </c>
      <c r="CX15" s="60">
        <f t="shared" si="14"/>
        <v>289.11970823484631</v>
      </c>
      <c r="CY15" s="60">
        <f ca="1">AVERAGE(OFFSET($CX$3,0,0,'Données projet'!$E$13+1,1))-AVERAGE(OFFSET($H$3,0,0,'Données projet'!$E$13+1,1))</f>
        <v>394.8445842828649</v>
      </c>
      <c r="CZ15" s="60">
        <f t="shared" si="42"/>
        <v>246.54010105494143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3.95</v>
      </c>
      <c r="DO15" s="13">
        <f>IF('Données projet'!$A$166&gt;35,DO14+DN15-DW14,IF(A15&lt;'Données projet'!$A$166,$DL$205^A15,IF(A15='Données projet'!$A$166,'Données projet'!$B$166,DO14+DN15-DW14)))</f>
        <v>13.758663679589656</v>
      </c>
      <c r="DP15" s="18">
        <f>DO15*VLOOKUP('Données projet'!$B$14,Paramètres!$A$1:$I$89,3,0)*VLOOKUP('Données projet'!$B$14,Paramètres!$A$1:$I$89,5,0)</f>
        <v>12.019568590489525</v>
      </c>
      <c r="DQ15" s="14">
        <f t="shared" si="43"/>
        <v>4.1470749015542889</v>
      </c>
      <c r="DR15" s="22">
        <f t="shared" si="16"/>
        <v>28.156904081976307</v>
      </c>
      <c r="DS15" s="60">
        <f t="shared" si="17"/>
        <v>299.49023741530959</v>
      </c>
      <c r="DT15" s="60">
        <f ca="1">AVERAGE(OFFSET($DS$3,0,0,'Données projet'!$E$14+1,1))-AVERAGE(OFFSET($H$3,0,0,'Données projet'!$E$14+1,1))</f>
        <v>266.98113257513319</v>
      </c>
      <c r="DU15" s="60">
        <f t="shared" si="44"/>
        <v>275.73257102713393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2.84</v>
      </c>
      <c r="EJ15" s="13">
        <f>IF('Données projet'!$A$192&gt;35,EJ14+EI15-ER14,IF(A15&lt;'Données projet'!$A$192,$EG$205^A15,IF(A15='Données projet'!$A$192,'Données projet'!$B$192,EJ14+EI15-ER14)))</f>
        <v>7.7375596019531026</v>
      </c>
      <c r="EK15" s="18">
        <f>EJ15*VLOOKUP('Données projet'!$B$15,Paramètres!$A$1:$I$89,3,0)*VLOOKUP('Données projet'!$B$15,Paramètres!$A$1:$I$89,5,0)</f>
        <v>8.8115328747041932</v>
      </c>
      <c r="EL15" s="14">
        <f t="shared" si="45"/>
        <v>3.1520967566021385</v>
      </c>
      <c r="EM15" s="22">
        <f t="shared" si="19"/>
        <v>20.83665494119186</v>
      </c>
      <c r="EN15" s="60">
        <f t="shared" si="20"/>
        <v>292.16998827452517</v>
      </c>
      <c r="EO15" s="60">
        <f ca="1">AVERAGE(OFFSET($EN$3,0,0,'Données projet'!$E$15+1,1))-AVERAGE(OFFSET($H$3,0,0,'Données projet'!$E$15+1,1))</f>
        <v>457.62828850677369</v>
      </c>
      <c r="EP15" s="60">
        <f t="shared" si="46"/>
        <v>282.78263556175563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2.84</v>
      </c>
      <c r="FE15" s="13">
        <f>IF('Données projet'!$A$218&gt;35,FE14+FD15-FM14,IF(A15&lt;'Données projet'!$A$218,$FB$205^A15,IF(A15='Données projet'!$A$218,'Données projet'!$B$218,FE14+FD15-FM14)))</f>
        <v>7.7375596019531026</v>
      </c>
      <c r="FF15" s="18">
        <f>FE15*VLOOKUP('Données projet'!$B$16,Paramètres!$A$1:$I$89,3,0)*VLOOKUP('Données projet'!$B$16,Paramètres!$A$1:$I$89,5,0)</f>
        <v>8.4494150853327881</v>
      </c>
      <c r="FG15" s="14">
        <f t="shared" si="47"/>
        <v>3.0373587395646373</v>
      </c>
      <c r="FH15" s="22">
        <f t="shared" si="22"/>
        <v>20.006131078363016</v>
      </c>
      <c r="FI15" s="60">
        <f t="shared" si="23"/>
        <v>291.33946441169633</v>
      </c>
      <c r="FJ15" s="60">
        <f ca="1">AVERAGE(OFFSET($FI$3,0,0,'Données projet'!$E$16+1,1))-AVERAGE(OFFSET($H$3,0,0,'Données projet'!$E$16+1,1))</f>
        <v>440.52623925652182</v>
      </c>
      <c r="FK15" s="60">
        <f t="shared" si="48"/>
        <v>272.91122662088918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6.5</v>
      </c>
      <c r="FZ15" s="13">
        <f>IF('Données projet'!$A$244&gt;35,FZ14+FY15-GH14,IF(A15&lt;'Données projet'!$A$244,$FW$205^A15,IF(A15='Données projet'!$A$244,'Données projet'!$B$244,FZ14+FY15-GH14)))</f>
        <v>8.2416438750681742</v>
      </c>
      <c r="GA15" s="18">
        <f>FZ15*VLOOKUP('Données projet'!$B$17,Paramètres!$A$1:$I$89,3,0)*VLOOKUP('Données projet'!$B$17,Paramètres!$A$1:$I$89,5,0)</f>
        <v>3.8570893335319059</v>
      </c>
      <c r="GB15" s="14">
        <f t="shared" si="49"/>
        <v>1.5190467283932132</v>
      </c>
      <c r="GC15" s="22">
        <f t="shared" si="25"/>
        <v>9.3634369745195816</v>
      </c>
      <c r="GD15" s="60">
        <f t="shared" si="26"/>
        <v>280.69677030785289</v>
      </c>
      <c r="GE15" s="60">
        <f ca="1">AVERAGE(OFFSET($GD$3,0,0,'Données projet'!$E$17+1,1))-AVERAGE(OFFSET($H$3,0,0,'Données projet'!$E$17+1,1))</f>
        <v>317.54276561627643</v>
      </c>
      <c r="GF15" s="60">
        <f t="shared" si="50"/>
        <v>238.92443174298893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18.75</v>
      </c>
      <c r="GU15" s="13">
        <f>IF('Données projet'!$A$270&gt;35,GU14+GT15-HC14,IF(A15&lt;'Données projet'!$A$270,$GR$205^A15,IF(A15='Données projet'!$A$270,'Données projet'!$B$270,GU14+GT15-HC14)))</f>
        <v>72.08434242404266</v>
      </c>
      <c r="GV15" s="18">
        <f>GU15*VLOOKUP('Données projet'!$B$18,Paramètres!$A$1:$I$89,3,0)*VLOOKUP('Données projet'!$B$18,Paramètres!$A$1:$I$89,5,0)</f>
        <v>38.570889944256749</v>
      </c>
      <c r="GW15" s="14">
        <f t="shared" si="51"/>
        <v>11.619062824425413</v>
      </c>
      <c r="GX15" s="22">
        <f t="shared" si="28"/>
        <v>87.414167738788095</v>
      </c>
      <c r="GY15" s="60">
        <f t="shared" si="29"/>
        <v>358.74750107212139</v>
      </c>
      <c r="GZ15" s="60">
        <f ca="1">AVERAGE(OFFSET($GY$3,0,0,'Données projet'!$E$18+1,1))-AVERAGE(OFFSET($H$3,0,0,'Données projet'!$E$18+1,1))</f>
        <v>79.868679770907136</v>
      </c>
      <c r="HA15" s="60">
        <f t="shared" si="52"/>
        <v>370.47471103028312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0">
        <f t="shared" si="0"/>
        <v>373.79072026959176</v>
      </c>
      <c r="S16" s="60">
        <f ca="1">AVERAGE(OFFSET($R$3,0,0,'Données projet'!$E$9+1,1))-AVERAGE(OFFSET($H$3,0,0,'Données projet'!$E$9+1,1))</f>
        <v>206.5885410269899</v>
      </c>
      <c r="T16" s="60">
        <f t="shared" si="34"/>
        <v>347.41156847586302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75</v>
      </c>
      <c r="AG16" s="13">
        <f>VLOOKUP(A16,'Données projet'!$A$61:$I$81,9,0)</f>
        <v>5.7692307692307692</v>
      </c>
      <c r="AH16" s="13">
        <f t="array" ref="AH16">INDEX(AG:AG,MIN(IF(ISNUMBER(AG16:AG212),ROW(AG16:AG212),"")))</f>
        <v>5.7692307692307692</v>
      </c>
      <c r="AI16" s="14">
        <f>IF('Données projet'!$A$62&gt;35,AI15+AH16-AQ15,IF(A16&lt;'Données projet'!$A$62,$AF$205^A16,IF(A16='Données projet'!$A$62,'Données projet'!$B$62,AI15+AH16-AQ15)))</f>
        <v>75</v>
      </c>
      <c r="AJ16" s="14">
        <f>AI16*VLOOKUP('Données projet'!$B$10,Paramètres!$A$1:$I$89,3,0)*VLOOKUP('Données projet'!$B$10,Paramètres!$A$1:$I$89,5,0)</f>
        <v>44.85</v>
      </c>
      <c r="AK16" s="14">
        <f t="shared" si="35"/>
        <v>13.275453424327006</v>
      </c>
      <c r="AL16" s="22">
        <f t="shared" si="4"/>
        <v>101.2351647140362</v>
      </c>
      <c r="AM16" s="60">
        <f t="shared" si="5"/>
        <v>373.79072026959176</v>
      </c>
      <c r="AN16" s="60">
        <f ca="1">AVERAGE(OFFSET($AM$3,0,0,'Données projet'!$E$10+1,1))-AVERAGE(OFFSET($H$3,0,0,'Données projet'!$E$10+1,1))</f>
        <v>206.5885410269899</v>
      </c>
      <c r="AO16" s="60">
        <f t="shared" si="36"/>
        <v>347.41156847586302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15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10.1561237088124</v>
      </c>
      <c r="AX16" s="23">
        <f t="shared" si="6"/>
        <v>10.1561237088124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2.84</v>
      </c>
      <c r="BD16" s="13">
        <f>IF('Données projet'!$A$88&gt;35,BD15+BC16-BL15,IF(A16&lt;'Données projet'!$A$88,$BA$205^A16,IF(A16='Données projet'!$A$88,'Données projet'!$B$88,BD15+BC16-BL15)))</f>
        <v>9.1760197856283234</v>
      </c>
      <c r="BE16" s="14">
        <f>BD16*VLOOKUP('Données projet'!$B$11,Paramètres!$A$1:$I$89,3,0)*VLOOKUP('Données projet'!$B$11,Paramètres!$A$1:$I$89,5,0)</f>
        <v>8.7319004280039128</v>
      </c>
      <c r="BF16" s="14">
        <f t="shared" si="37"/>
        <v>3.1269128570379721</v>
      </c>
      <c r="BG16" s="22">
        <f t="shared" si="7"/>
        <v>20.654099804781278</v>
      </c>
      <c r="BH16" s="60">
        <f t="shared" si="8"/>
        <v>293.2096553603368</v>
      </c>
      <c r="BI16" s="60">
        <f ca="1">AVERAGE(OFFSET($BH$3,0,0,'Données projet'!$E$11+1,1))-AVERAGE(OFFSET($H$3,0,0,'Données projet'!$E$11+1,1))</f>
        <v>389.12604446638119</v>
      </c>
      <c r="BJ16" s="60">
        <f t="shared" si="38"/>
        <v>243.23852967152732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2.84</v>
      </c>
      <c r="BY16" s="13">
        <f>IF('Données projet'!$A$114&gt;35,BY15+BX16-CG15,IF(A16&lt;'Données projet'!$A$114,$BV$205^A16,IF(A16='Données projet'!$A$114,'Données projet'!$B$114,BY15+BX16-CG15)))</f>
        <v>9.1760197856283234</v>
      </c>
      <c r="BZ16" s="14">
        <f>BY16*VLOOKUP('Données projet'!$B$12,Paramètres!$A$1:$I$89,3,0)*VLOOKUP('Données projet'!$B$12,Paramètres!$A$1:$I$89,5,0)</f>
        <v>8.3024627020365074</v>
      </c>
      <c r="CA16" s="14">
        <f t="shared" si="39"/>
        <v>2.9906343075904238</v>
      </c>
      <c r="CB16" s="22">
        <f t="shared" si="10"/>
        <v>19.668810625100239</v>
      </c>
      <c r="CC16" s="60">
        <f t="shared" si="11"/>
        <v>292.22436618065581</v>
      </c>
      <c r="CD16" s="60">
        <f ca="1">AVERAGE(OFFSET($CC$3,0,0,'Données projet'!$E$12+1,1))-AVERAGE(OFFSET($H$3,0,0,'Données projet'!$E$12+1,1))</f>
        <v>371.95849973474657</v>
      </c>
      <c r="CE16" s="60">
        <f t="shared" si="40"/>
        <v>233.32640143610547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2.84</v>
      </c>
      <c r="CT16" s="13">
        <f>IF('Données projet'!$A$140&gt;35,CT15+CS16-DB15,IF(A16&lt;'Données projet'!$A$140,$CQ$205^A16,IF(A16='Données projet'!$A$140,'Données projet'!$B$140,CT15+CS16-DB15)))</f>
        <v>9.1760197856283234</v>
      </c>
      <c r="CU16" s="18">
        <f>CT16*VLOOKUP('Données projet'!$B$13,Paramètres!$A$1:$I$89,3,0)*VLOOKUP('Données projet'!$B$13,Paramètres!$A$1:$I$89,5,0)</f>
        <v>8.8750463366597145</v>
      </c>
      <c r="CV16" s="14">
        <f t="shared" si="41"/>
        <v>3.1721640050287161</v>
      </c>
      <c r="CW16" s="22">
        <f t="shared" si="13"/>
        <v>20.98222467844068</v>
      </c>
      <c r="CX16" s="60">
        <f t="shared" si="14"/>
        <v>293.53778023399622</v>
      </c>
      <c r="CY16" s="60">
        <f ca="1">AVERAGE(OFFSET($CX$3,0,0,'Données projet'!$E$13+1,1))-AVERAGE(OFFSET($H$3,0,0,'Données projet'!$E$13+1,1))</f>
        <v>394.8445842828649</v>
      </c>
      <c r="CZ16" s="60">
        <f t="shared" si="42"/>
        <v>246.54010105494143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3.95</v>
      </c>
      <c r="DO16" s="13">
        <f>IF('Données projet'!$A$166&gt;35,DO15+DN16-DW15,IF(A16&lt;'Données projet'!$A$166,$DL$205^A16,IF(A16='Données projet'!$A$166,'Données projet'!$B$166,DO15+DN16-DW15)))</f>
        <v>17.118180812297407</v>
      </c>
      <c r="DP16" s="18">
        <f>DO16*VLOOKUP('Données projet'!$B$14,Paramètres!$A$1:$I$89,3,0)*VLOOKUP('Données projet'!$B$14,Paramètres!$A$1:$I$89,5,0)</f>
        <v>14.954442757623017</v>
      </c>
      <c r="DQ16" s="14">
        <f t="shared" si="43"/>
        <v>5.0301280892498079</v>
      </c>
      <c r="DR16" s="22">
        <f t="shared" si="16"/>
        <v>34.806460891636839</v>
      </c>
      <c r="DS16" s="60">
        <f t="shared" si="17"/>
        <v>307.36201644719239</v>
      </c>
      <c r="DT16" s="60">
        <f ca="1">AVERAGE(OFFSET($DS$3,0,0,'Données projet'!$E$14+1,1))-AVERAGE(OFFSET($H$3,0,0,'Données projet'!$E$14+1,1))</f>
        <v>266.98113257513319</v>
      </c>
      <c r="DU16" s="60">
        <f t="shared" si="44"/>
        <v>275.73257102713393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2.84</v>
      </c>
      <c r="EJ16" s="13">
        <f>IF('Données projet'!$A$192&gt;35,EJ15+EI16-ER15,IF(A16&lt;'Données projet'!$A$192,$EG$205^A16,IF(A16='Données projet'!$A$192,'Données projet'!$B$192,EJ15+EI16-ER15)))</f>
        <v>9.1760197856283234</v>
      </c>
      <c r="EK16" s="18">
        <f>EJ16*VLOOKUP('Données projet'!$B$15,Paramètres!$A$1:$I$89,3,0)*VLOOKUP('Données projet'!$B$15,Paramètres!$A$1:$I$89,5,0)</f>
        <v>10.449651331873536</v>
      </c>
      <c r="EL16" s="14">
        <f t="shared" si="45"/>
        <v>3.6646323846759299</v>
      </c>
      <c r="EM16" s="22">
        <f t="shared" si="19"/>
        <v>24.582377472990316</v>
      </c>
      <c r="EN16" s="60">
        <f t="shared" si="20"/>
        <v>297.13793302854583</v>
      </c>
      <c r="EO16" s="60">
        <f ca="1">AVERAGE(OFFSET($EN$3,0,0,'Données projet'!$E$15+1,1))-AVERAGE(OFFSET($H$3,0,0,'Données projet'!$E$15+1,1))</f>
        <v>457.62828850677369</v>
      </c>
      <c r="EP16" s="60">
        <f t="shared" si="46"/>
        <v>282.78263556175563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2.84</v>
      </c>
      <c r="FE16" s="13">
        <f>IF('Données projet'!$A$218&gt;35,FE15+FD16-FM15,IF(A16&lt;'Données projet'!$A$218,$FB$205^A16,IF(A16='Données projet'!$A$218,'Données projet'!$B$218,FE15+FD16-FM15)))</f>
        <v>9.1760197856283234</v>
      </c>
      <c r="FF16" s="18">
        <f>FE16*VLOOKUP('Données projet'!$B$16,Paramètres!$A$1:$I$89,3,0)*VLOOKUP('Données projet'!$B$16,Paramètres!$A$1:$I$89,5,0)</f>
        <v>10.020213605906129</v>
      </c>
      <c r="FG16" s="14">
        <f t="shared" si="47"/>
        <v>3.5312377951512151</v>
      </c>
      <c r="FH16" s="22">
        <f t="shared" si="22"/>
        <v>23.60211119017487</v>
      </c>
      <c r="FI16" s="60">
        <f t="shared" si="23"/>
        <v>296.15766674573041</v>
      </c>
      <c r="FJ16" s="60">
        <f ca="1">AVERAGE(OFFSET($FI$3,0,0,'Données projet'!$E$16+1,1))-AVERAGE(OFFSET($H$3,0,0,'Données projet'!$E$16+1,1))</f>
        <v>440.52623925652182</v>
      </c>
      <c r="FK16" s="60">
        <f t="shared" si="48"/>
        <v>272.91122662088918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6.5</v>
      </c>
      <c r="FZ16" s="13">
        <f>IF('Données projet'!$A$244&gt;35,FZ15+FY16-GH15,IF(A16&lt;'Données projet'!$A$244,$FW$205^A16,IF(A16='Données projet'!$A$244,'Données projet'!$B$244,FZ15+FY16-GH15)))</f>
        <v>9.8253568271186005</v>
      </c>
      <c r="GA16" s="18">
        <f>FZ16*VLOOKUP('Données projet'!$B$17,Paramètres!$A$1:$I$89,3,0)*VLOOKUP('Données projet'!$B$17,Paramètres!$A$1:$I$89,5,0)</f>
        <v>4.5982669950915049</v>
      </c>
      <c r="GB16" s="14">
        <f t="shared" si="49"/>
        <v>1.7742723574383734</v>
      </c>
      <c r="GC16" s="22">
        <f t="shared" si="25"/>
        <v>11.098839372322871</v>
      </c>
      <c r="GD16" s="60">
        <f t="shared" si="26"/>
        <v>283.6543949278784</v>
      </c>
      <c r="GE16" s="60">
        <f ca="1">AVERAGE(OFFSET($GD$3,0,0,'Données projet'!$E$17+1,1))-AVERAGE(OFFSET($H$3,0,0,'Données projet'!$E$17+1,1))</f>
        <v>317.54276561627643</v>
      </c>
      <c r="GF16" s="60">
        <f t="shared" si="50"/>
        <v>238.92443174298893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18.75</v>
      </c>
      <c r="GU16" s="13">
        <f>IF('Données projet'!$A$270&gt;35,GU15+GT16-HC15,IF(A16&lt;'Données projet'!$A$270,$GR$205^A16,IF(A16='Données projet'!$A$270,'Données projet'!$B$270,GU15+GT16-HC15)))</f>
        <v>102.95821853665738</v>
      </c>
      <c r="GV16" s="18">
        <f>GU16*VLOOKUP('Données projet'!$B$18,Paramètres!$A$1:$I$89,3,0)*VLOOKUP('Données projet'!$B$18,Paramètres!$A$1:$I$89,5,0)</f>
        <v>55.090883574594635</v>
      </c>
      <c r="GW16" s="14">
        <f t="shared" si="51"/>
        <v>15.920991894262862</v>
      </c>
      <c r="GX16" s="22">
        <f t="shared" si="28"/>
        <v>123.67901644159345</v>
      </c>
      <c r="GY16" s="60">
        <f t="shared" si="29"/>
        <v>396.23457199714898</v>
      </c>
      <c r="GZ16" s="60">
        <f ca="1">AVERAGE(OFFSET($GY$3,0,0,'Données projet'!$E$18+1,1))-AVERAGE(OFFSET($H$3,0,0,'Données projet'!$E$18+1,1))</f>
        <v>79.868679770907136</v>
      </c>
      <c r="HA16" s="60">
        <f t="shared" si="52"/>
        <v>370.47471103028312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0">
        <f t="shared" si="0"/>
        <v>377.8587824872688</v>
      </c>
      <c r="S17" s="60">
        <f ca="1">AVERAGE(OFFSET($R$3,0,0,'Données projet'!$E$9+1,1))-AVERAGE(OFFSET($H$3,0,0,'Données projet'!$E$9+1,1))</f>
        <v>206.5885410269899</v>
      </c>
      <c r="T17" s="60">
        <f t="shared" si="34"/>
        <v>347.41156847586302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17.166666666666668</v>
      </c>
      <c r="AI17" s="14">
        <f>IF('Données projet'!$A$62&gt;35,AI16+AH17-AQ16,IF(A17&lt;'Données projet'!$A$62,$AF$205^A17,IF(A17='Données projet'!$A$62,'Données projet'!$B$62,AI16+AH17-AQ16)))</f>
        <v>77.166666666666671</v>
      </c>
      <c r="AJ17" s="14">
        <f>AI17*VLOOKUP('Données projet'!$B$10,Paramètres!$A$1:$I$89,3,0)*VLOOKUP('Données projet'!$B$10,Paramètres!$A$1:$I$89,5,0)</f>
        <v>46.145666666666671</v>
      </c>
      <c r="AK17" s="14">
        <f t="shared" si="35"/>
        <v>13.613761874667908</v>
      </c>
      <c r="AL17" s="22">
        <f t="shared" si="4"/>
        <v>104.08100470949104</v>
      </c>
      <c r="AM17" s="60">
        <f t="shared" si="5"/>
        <v>377.8587824872688</v>
      </c>
      <c r="AN17" s="60">
        <f ca="1">AVERAGE(OFFSET($AM$3,0,0,'Données projet'!$E$10+1,1))-AVERAGE(OFFSET($H$3,0,0,'Données projet'!$E$10+1,1))</f>
        <v>206.5885410269899</v>
      </c>
      <c r="AO17" s="60">
        <f t="shared" si="36"/>
        <v>347.41156847586302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7.1814639450707176</v>
      </c>
      <c r="AX17" s="23">
        <f t="shared" si="6"/>
        <v>7.1814639450707176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2.84</v>
      </c>
      <c r="BD17" s="13">
        <f>IF('Données projet'!$A$88&gt;35,BD16+BC17-BL16,IF(A17&lt;'Données projet'!$A$88,$BA$205^A17,IF(A17='Données projet'!$A$88,'Données projet'!$B$88,BD16+BC17-BL16)))</f>
        <v>10.881898613742376</v>
      </c>
      <c r="BE17" s="14">
        <f>BD17*VLOOKUP('Données projet'!$B$11,Paramètres!$A$1:$I$89,3,0)*VLOOKUP('Données projet'!$B$11,Paramètres!$A$1:$I$89,5,0)</f>
        <v>10.355214720837244</v>
      </c>
      <c r="BF17" s="14">
        <f t="shared" si="37"/>
        <v>3.6353535455279977</v>
      </c>
      <c r="BG17" s="22">
        <f t="shared" si="7"/>
        <v>24.366906397252794</v>
      </c>
      <c r="BH17" s="60">
        <f t="shared" si="8"/>
        <v>298.14468417503059</v>
      </c>
      <c r="BI17" s="60">
        <f ca="1">AVERAGE(OFFSET($BH$3,0,0,'Données projet'!$E$11+1,1))-AVERAGE(OFFSET($H$3,0,0,'Données projet'!$E$11+1,1))</f>
        <v>389.12604446638119</v>
      </c>
      <c r="BJ17" s="60">
        <f t="shared" si="38"/>
        <v>243.23852967152732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2.84</v>
      </c>
      <c r="BY17" s="13">
        <f>IF('Données projet'!$A$114&gt;35,BY16+BX17-CG16,IF(A17&lt;'Données projet'!$A$114,$BV$205^A17,IF(A17='Données projet'!$A$114,'Données projet'!$B$114,BY16+BX17-CG16)))</f>
        <v>10.881898613742376</v>
      </c>
      <c r="BZ17" s="14">
        <f>BY17*VLOOKUP('Données projet'!$B$12,Paramètres!$A$1:$I$89,3,0)*VLOOKUP('Données projet'!$B$12,Paramètres!$A$1:$I$89,5,0)</f>
        <v>9.8459418657141011</v>
      </c>
      <c r="CA17" s="14">
        <f t="shared" si="39"/>
        <v>3.4769159009359916</v>
      </c>
      <c r="CB17" s="22">
        <f t="shared" si="10"/>
        <v>23.203977276915577</v>
      </c>
      <c r="CC17" s="60">
        <f t="shared" si="11"/>
        <v>296.98175505469334</v>
      </c>
      <c r="CD17" s="60">
        <f ca="1">AVERAGE(OFFSET($CC$3,0,0,'Données projet'!$E$12+1,1))-AVERAGE(OFFSET($H$3,0,0,'Données projet'!$E$12+1,1))</f>
        <v>371.95849973474657</v>
      </c>
      <c r="CE17" s="60">
        <f t="shared" si="40"/>
        <v>233.32640143610547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2.84</v>
      </c>
      <c r="CT17" s="13">
        <f>IF('Données projet'!$A$140&gt;35,CT16+CS17-DB16,IF(A17&lt;'Données projet'!$A$140,$CQ$205^A17,IF(A17='Données projet'!$A$140,'Données projet'!$B$140,CT16+CS17-DB16)))</f>
        <v>10.881898613742376</v>
      </c>
      <c r="CU17" s="18">
        <f>CT17*VLOOKUP('Données projet'!$B$13,Paramètres!$A$1:$I$89,3,0)*VLOOKUP('Données projet'!$B$13,Paramètres!$A$1:$I$89,5,0)</f>
        <v>10.524972339211626</v>
      </c>
      <c r="CV17" s="14">
        <f t="shared" si="41"/>
        <v>3.6879625975893942</v>
      </c>
      <c r="CW17" s="22">
        <f t="shared" si="13"/>
        <v>24.754195014928442</v>
      </c>
      <c r="CX17" s="60">
        <f t="shared" si="14"/>
        <v>298.5319727927062</v>
      </c>
      <c r="CY17" s="60">
        <f ca="1">AVERAGE(OFFSET($CX$3,0,0,'Données projet'!$E$13+1,1))-AVERAGE(OFFSET($H$3,0,0,'Données projet'!$E$13+1,1))</f>
        <v>394.8445842828649</v>
      </c>
      <c r="CZ17" s="60">
        <f t="shared" si="42"/>
        <v>246.54010105494143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3.95</v>
      </c>
      <c r="DO17" s="13">
        <f>IF('Données projet'!$A$166&gt;35,DO16+DN17-DW16,IF(A17&lt;'Données projet'!$A$166,$DL$205^A17,IF(A17='Données projet'!$A$166,'Données projet'!$B$166,DO16+DN17-DW16)))</f>
        <v>21.298006924699145</v>
      </c>
      <c r="DP17" s="18">
        <f>DO17*VLOOKUP('Données projet'!$B$14,Paramètres!$A$1:$I$89,3,0)*VLOOKUP('Données projet'!$B$14,Paramètres!$A$1:$I$89,5,0)</f>
        <v>18.605938849417175</v>
      </c>
      <c r="DQ17" s="14">
        <f t="shared" si="43"/>
        <v>6.1012133117674976</v>
      </c>
      <c r="DR17" s="22">
        <f t="shared" si="16"/>
        <v>43.031623347396639</v>
      </c>
      <c r="DS17" s="60">
        <f t="shared" si="17"/>
        <v>316.80940112517442</v>
      </c>
      <c r="DT17" s="60">
        <f ca="1">AVERAGE(OFFSET($DS$3,0,0,'Données projet'!$E$14+1,1))-AVERAGE(OFFSET($H$3,0,0,'Données projet'!$E$14+1,1))</f>
        <v>266.98113257513319</v>
      </c>
      <c r="DU17" s="60">
        <f t="shared" si="44"/>
        <v>275.73257102713393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2.84</v>
      </c>
      <c r="EJ17" s="13">
        <f>IF('Données projet'!$A$192&gt;35,EJ16+EI17-ER16,IF(A17&lt;'Données projet'!$A$192,$EG$205^A17,IF(A17='Données projet'!$A$192,'Données projet'!$B$192,EJ16+EI17-ER16)))</f>
        <v>10.881898613742376</v>
      </c>
      <c r="EK17" s="18">
        <f>EJ17*VLOOKUP('Données projet'!$B$15,Paramètres!$A$1:$I$89,3,0)*VLOOKUP('Données projet'!$B$15,Paramètres!$A$1:$I$89,5,0)</f>
        <v>12.392306141329817</v>
      </c>
      <c r="EL17" s="14">
        <f t="shared" si="45"/>
        <v>4.2605070693617311</v>
      </c>
      <c r="EM17" s="22">
        <f t="shared" si="19"/>
        <v>29.003649675287779</v>
      </c>
      <c r="EN17" s="60">
        <f t="shared" si="20"/>
        <v>302.78142745306553</v>
      </c>
      <c r="EO17" s="60">
        <f ca="1">AVERAGE(OFFSET($EN$3,0,0,'Données projet'!$E$15+1,1))-AVERAGE(OFFSET($H$3,0,0,'Données projet'!$E$15+1,1))</f>
        <v>457.62828850677369</v>
      </c>
      <c r="EP17" s="60">
        <f t="shared" si="46"/>
        <v>282.78263556175563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2.84</v>
      </c>
      <c r="FE17" s="13">
        <f>IF('Données projet'!$A$218&gt;35,FE16+FD17-FM16,IF(A17&lt;'Données projet'!$A$218,$FB$205^A17,IF(A17='Données projet'!$A$218,'Données projet'!$B$218,FE16+FD17-FM16)))</f>
        <v>10.881898613742376</v>
      </c>
      <c r="FF17" s="18">
        <f>FE17*VLOOKUP('Données projet'!$B$16,Paramètres!$A$1:$I$89,3,0)*VLOOKUP('Données projet'!$B$16,Paramètres!$A$1:$I$89,5,0)</f>
        <v>11.883033286206674</v>
      </c>
      <c r="FG17" s="14">
        <f t="shared" si="47"/>
        <v>4.1054223208720391</v>
      </c>
      <c r="FH17" s="22">
        <f t="shared" si="22"/>
        <v>27.846560182328759</v>
      </c>
      <c r="FI17" s="60">
        <f t="shared" si="23"/>
        <v>301.62433796010652</v>
      </c>
      <c r="FJ17" s="60">
        <f ca="1">AVERAGE(OFFSET($FI$3,0,0,'Données projet'!$E$16+1,1))-AVERAGE(OFFSET($H$3,0,0,'Données projet'!$E$16+1,1))</f>
        <v>440.52623925652182</v>
      </c>
      <c r="FK17" s="60">
        <f t="shared" si="48"/>
        <v>272.91122662088918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6.5</v>
      </c>
      <c r="FZ17" s="13">
        <f>IF('Données projet'!$A$244&gt;35,FZ16+FY17-GH16,IF(A17&lt;'Données projet'!$A$244,$FW$205^A17,IF(A17='Données projet'!$A$244,'Données projet'!$B$244,FZ16+FY17-GH16)))</f>
        <v>11.71339580350498</v>
      </c>
      <c r="GA17" s="18">
        <f>FZ17*VLOOKUP('Données projet'!$B$17,Paramètres!$A$1:$I$89,3,0)*VLOOKUP('Données projet'!$B$17,Paramètres!$A$1:$I$89,5,0)</f>
        <v>5.4818692360403301</v>
      </c>
      <c r="GB17" s="14">
        <f t="shared" si="49"/>
        <v>2.0723802234180093</v>
      </c>
      <c r="GC17" s="22">
        <f t="shared" si="25"/>
        <v>13.156984475223274</v>
      </c>
      <c r="GD17" s="60">
        <f t="shared" si="26"/>
        <v>286.93476225300105</v>
      </c>
      <c r="GE17" s="60">
        <f ca="1">AVERAGE(OFFSET($GD$3,0,0,'Données projet'!$E$17+1,1))-AVERAGE(OFFSET($H$3,0,0,'Données projet'!$E$17+1,1))</f>
        <v>317.54276561627643</v>
      </c>
      <c r="GF17" s="60">
        <f t="shared" si="50"/>
        <v>238.92443174298893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18.75</v>
      </c>
      <c r="GU17" s="13">
        <f>IF('Données projet'!$A$270&gt;35,GU16+GT17-HC16,IF(A17&lt;'Données projet'!$A$270,$GR$205^A17,IF(A17='Données projet'!$A$270,'Données projet'!$B$270,GU16+GT17-HC16)))</f>
        <v>147.05544099832827</v>
      </c>
      <c r="GV17" s="18">
        <f>GU17*VLOOKUP('Données projet'!$B$18,Paramètres!$A$1:$I$89,3,0)*VLOOKUP('Données projet'!$B$18,Paramètres!$A$1:$I$89,5,0)</f>
        <v>78.686425369385489</v>
      </c>
      <c r="GW17" s="14">
        <f t="shared" si="51"/>
        <v>21.815699486909246</v>
      </c>
      <c r="GX17" s="22">
        <f t="shared" si="28"/>
        <v>175.04120079137996</v>
      </c>
      <c r="GY17" s="60">
        <f t="shared" si="29"/>
        <v>448.81897856915771</v>
      </c>
      <c r="GZ17" s="60">
        <f ca="1">AVERAGE(OFFSET($GY$3,0,0,'Données projet'!$E$18+1,1))-AVERAGE(OFFSET($H$3,0,0,'Données projet'!$E$18+1,1))</f>
        <v>79.868679770907136</v>
      </c>
      <c r="HA17" s="60">
        <f t="shared" si="52"/>
        <v>370.47471103028312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0">
        <f t="shared" si="0"/>
        <v>401.56525127580693</v>
      </c>
      <c r="S18" s="60">
        <f ca="1">AVERAGE(OFFSET($R$3,0,0,'Données projet'!$E$9+1,1))-AVERAGE(OFFSET($H$3,0,0,'Données projet'!$E$9+1,1))</f>
        <v>206.5885410269899</v>
      </c>
      <c r="T18" s="60">
        <f t="shared" si="34"/>
        <v>347.41156847586302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17.166666666666668</v>
      </c>
      <c r="AI18" s="14">
        <f>IF('Données projet'!$A$62&gt;35,AI17+AH18-AQ17,IF(A18&lt;'Données projet'!$A$62,$AF$205^A18,IF(A18='Données projet'!$A$62,'Données projet'!$B$62,AI17+AH18-AQ17)))</f>
        <v>94.333333333333343</v>
      </c>
      <c r="AJ18" s="14">
        <f>AI18*VLOOKUP('Données projet'!$B$10,Paramètres!$A$1:$I$89,3,0)*VLOOKUP('Données projet'!$B$10,Paramètres!$A$1:$I$89,5,0)</f>
        <v>56.411333333333339</v>
      </c>
      <c r="AK18" s="14">
        <f t="shared" si="35"/>
        <v>16.257710461388346</v>
      </c>
      <c r="AL18" s="22">
        <f t="shared" si="4"/>
        <v>126.56525127580693</v>
      </c>
      <c r="AM18" s="60">
        <f t="shared" si="5"/>
        <v>401.56525127580693</v>
      </c>
      <c r="AN18" s="60">
        <f ca="1">AVERAGE(OFFSET($AM$3,0,0,'Données projet'!$E$10+1,1))-AVERAGE(OFFSET($H$3,0,0,'Données projet'!$E$10+1,1))</f>
        <v>206.5885410269899</v>
      </c>
      <c r="AO18" s="60">
        <f t="shared" si="36"/>
        <v>347.41156847586302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5.0780618544062008</v>
      </c>
      <c r="AX18" s="23">
        <f t="shared" si="6"/>
        <v>5.0780618544062008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2.84</v>
      </c>
      <c r="BD18" s="13">
        <f>IF('Données projet'!$A$88&gt;35,BD17+BC18-BL17,IF(A18&lt;'Données projet'!$A$88,$BA$205^A18,IF(A18='Données projet'!$A$88,'Données projet'!$B$88,BD17+BC18-BL17)))</f>
        <v>12.904910866172436</v>
      </c>
      <c r="BE18" s="14">
        <f>BD18*VLOOKUP('Données projet'!$B$11,Paramètres!$A$1:$I$89,3,0)*VLOOKUP('Données projet'!$B$11,Paramètres!$A$1:$I$89,5,0)</f>
        <v>12.28031318024969</v>
      </c>
      <c r="BF18" s="14">
        <f t="shared" si="37"/>
        <v>4.2264674473537802</v>
      </c>
      <c r="BG18" s="22">
        <f t="shared" si="7"/>
        <v>28.749309593076038</v>
      </c>
      <c r="BH18" s="60">
        <f t="shared" si="8"/>
        <v>303.74930959307602</v>
      </c>
      <c r="BI18" s="60">
        <f ca="1">AVERAGE(OFFSET($BH$3,0,0,'Données projet'!$E$11+1,1))-AVERAGE(OFFSET($H$3,0,0,'Données projet'!$E$11+1,1))</f>
        <v>389.12604446638119</v>
      </c>
      <c r="BJ18" s="60">
        <f t="shared" si="38"/>
        <v>243.23852967152732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2.84</v>
      </c>
      <c r="BY18" s="13">
        <f>IF('Données projet'!$A$114&gt;35,BY17+BX18-CG17,IF(A18&lt;'Données projet'!$A$114,$BV$205^A18,IF(A18='Données projet'!$A$114,'Données projet'!$B$114,BY17+BX18-CG17)))</f>
        <v>12.904910866172436</v>
      </c>
      <c r="BZ18" s="14">
        <f>BY18*VLOOKUP('Données projet'!$B$12,Paramètres!$A$1:$I$89,3,0)*VLOOKUP('Données projet'!$B$12,Paramètres!$A$1:$I$89,5,0)</f>
        <v>11.676363351712819</v>
      </c>
      <c r="CA18" s="14">
        <f t="shared" si="39"/>
        <v>4.0422676057380276</v>
      </c>
      <c r="CB18" s="22">
        <f t="shared" si="10"/>
        <v>27.376615584226887</v>
      </c>
      <c r="CC18" s="60">
        <f t="shared" si="11"/>
        <v>302.3766155842269</v>
      </c>
      <c r="CD18" s="60">
        <f ca="1">AVERAGE(OFFSET($CC$3,0,0,'Données projet'!$E$12+1,1))-AVERAGE(OFFSET($H$3,0,0,'Données projet'!$E$12+1,1))</f>
        <v>371.95849973474657</v>
      </c>
      <c r="CE18" s="60">
        <f t="shared" si="40"/>
        <v>233.32640143610547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2.84</v>
      </c>
      <c r="CT18" s="13">
        <f>IF('Données projet'!$A$140&gt;35,CT17+CS18-DB17,IF(A18&lt;'Données projet'!$A$140,$CQ$205^A18,IF(A18='Données projet'!$A$140,'Données projet'!$B$140,CT17+CS18-DB17)))</f>
        <v>12.904910866172436</v>
      </c>
      <c r="CU18" s="18">
        <f>CT18*VLOOKUP('Données projet'!$B$13,Paramètres!$A$1:$I$89,3,0)*VLOOKUP('Données projet'!$B$13,Paramètres!$A$1:$I$89,5,0)</f>
        <v>12.481629789761982</v>
      </c>
      <c r="CV18" s="14">
        <f t="shared" si="41"/>
        <v>4.2876308096482552</v>
      </c>
      <c r="CW18" s="22">
        <f t="shared" si="13"/>
        <v>29.206462210639497</v>
      </c>
      <c r="CX18" s="60">
        <f t="shared" si="14"/>
        <v>304.20646221063947</v>
      </c>
      <c r="CY18" s="60">
        <f ca="1">AVERAGE(OFFSET($CX$3,0,0,'Données projet'!$E$13+1,1))-AVERAGE(OFFSET($H$3,0,0,'Données projet'!$E$13+1,1))</f>
        <v>394.8445842828649</v>
      </c>
      <c r="CZ18" s="60">
        <f t="shared" si="42"/>
        <v>246.54010105494143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3.95</v>
      </c>
      <c r="DO18" s="13">
        <f>IF('Données projet'!$A$166&gt;35,DO17+DN18-DW17,IF(A18&lt;'Données projet'!$A$166,$DL$205^A18,IF(A18='Données projet'!$A$166,'Données projet'!$B$166,DO17+DN18-DW17)))</f>
        <v>26.498440689367563</v>
      </c>
      <c r="DP18" s="18">
        <f>DO18*VLOOKUP('Données projet'!$B$14,Paramètres!$A$1:$I$89,3,0)*VLOOKUP('Données projet'!$B$14,Paramètres!$A$1:$I$89,5,0)</f>
        <v>23.149037786231506</v>
      </c>
      <c r="DQ18" s="14">
        <f t="shared" si="43"/>
        <v>7.4003689797172942</v>
      </c>
      <c r="DR18" s="22">
        <f t="shared" si="16"/>
        <v>53.206883450694164</v>
      </c>
      <c r="DS18" s="60">
        <f t="shared" si="17"/>
        <v>328.20688345069414</v>
      </c>
      <c r="DT18" s="60">
        <f ca="1">AVERAGE(OFFSET($DS$3,0,0,'Données projet'!$E$14+1,1))-AVERAGE(OFFSET($H$3,0,0,'Données projet'!$E$14+1,1))</f>
        <v>266.98113257513319</v>
      </c>
      <c r="DU18" s="60">
        <f t="shared" si="44"/>
        <v>275.73257102713393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2.84</v>
      </c>
      <c r="EJ18" s="13">
        <f>IF('Données projet'!$A$192&gt;35,EJ17+EI18-ER17,IF(A18&lt;'Données projet'!$A$192,$EG$205^A18,IF(A18='Données projet'!$A$192,'Données projet'!$B$192,EJ17+EI18-ER17)))</f>
        <v>12.904910866172436</v>
      </c>
      <c r="EK18" s="18">
        <f>EJ18*VLOOKUP('Données projet'!$B$15,Paramètres!$A$1:$I$89,3,0)*VLOOKUP('Données projet'!$B$15,Paramètres!$A$1:$I$89,5,0)</f>
        <v>14.696112494397171</v>
      </c>
      <c r="EL18" s="14">
        <f t="shared" si="45"/>
        <v>4.953271865408813</v>
      </c>
      <c r="EM18" s="22">
        <f t="shared" si="19"/>
        <v>34.222677759995427</v>
      </c>
      <c r="EN18" s="60">
        <f t="shared" si="20"/>
        <v>309.22267775999541</v>
      </c>
      <c r="EO18" s="60">
        <f ca="1">AVERAGE(OFFSET($EN$3,0,0,'Données projet'!$E$15+1,1))-AVERAGE(OFFSET($H$3,0,0,'Données projet'!$E$15+1,1))</f>
        <v>457.62828850677369</v>
      </c>
      <c r="EP18" s="60">
        <f t="shared" si="46"/>
        <v>282.78263556175563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2.84</v>
      </c>
      <c r="FE18" s="13">
        <f>IF('Données projet'!$A$218&gt;35,FE17+FD18-FM17,IF(A18&lt;'Données projet'!$A$218,$FB$205^A18,IF(A18='Données projet'!$A$218,'Données projet'!$B$218,FE17+FD18-FM17)))</f>
        <v>12.904910866172436</v>
      </c>
      <c r="FF18" s="18">
        <f>FE18*VLOOKUP('Données projet'!$B$16,Paramètres!$A$1:$I$89,3,0)*VLOOKUP('Données projet'!$B$16,Paramètres!$A$1:$I$89,5,0)</f>
        <v>14.0921626658603</v>
      </c>
      <c r="FG18" s="14">
        <f t="shared" si="47"/>
        <v>4.7729701057961735</v>
      </c>
      <c r="FH18" s="22">
        <f t="shared" si="22"/>
        <v>32.856772910635023</v>
      </c>
      <c r="FI18" s="60">
        <f t="shared" si="23"/>
        <v>307.85677291063502</v>
      </c>
      <c r="FJ18" s="60">
        <f ca="1">AVERAGE(OFFSET($FI$3,0,0,'Données projet'!$E$16+1,1))-AVERAGE(OFFSET($H$3,0,0,'Données projet'!$E$16+1,1))</f>
        <v>440.52623925652182</v>
      </c>
      <c r="FK18" s="60">
        <f t="shared" si="48"/>
        <v>272.91122662088918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6.5</v>
      </c>
      <c r="FZ18" s="13">
        <f>IF('Données projet'!$A$244&gt;35,FZ17+FY18-GH17,IF(A18&lt;'Données projet'!$A$244,$FW$205^A18,IF(A18='Données projet'!$A$244,'Données projet'!$B$244,FZ17+FY18-GH17)))</f>
        <v>13.964240043768939</v>
      </c>
      <c r="GA18" s="18">
        <f>FZ18*VLOOKUP('Données projet'!$B$17,Paramètres!$A$1:$I$89,3,0)*VLOOKUP('Données projet'!$B$17,Paramètres!$A$1:$I$89,5,0)</f>
        <v>6.5352643404838631</v>
      </c>
      <c r="GB18" s="14">
        <f t="shared" si="49"/>
        <v>2.4205752698614362</v>
      </c>
      <c r="GC18" s="22">
        <f t="shared" si="25"/>
        <v>15.598087321351393</v>
      </c>
      <c r="GD18" s="60">
        <f t="shared" si="26"/>
        <v>290.59808732135139</v>
      </c>
      <c r="GE18" s="60">
        <f ca="1">AVERAGE(OFFSET($GD$3,0,0,'Données projet'!$E$17+1,1))-AVERAGE(OFFSET($H$3,0,0,'Données projet'!$E$17+1,1))</f>
        <v>317.54276561627643</v>
      </c>
      <c r="GF18" s="60">
        <f t="shared" si="50"/>
        <v>238.92443174298893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18.75</v>
      </c>
      <c r="GU18" s="13">
        <f>IF('Données projet'!$A$270&gt;35,GU17+GT18-HC17,IF(A18&lt;'Données projet'!$A$270,$GR$205^A18,IF(A18='Données projet'!$A$270,'Données projet'!$B$270,GU17+GT18-HC17)))</f>
        <v>210.03959697994688</v>
      </c>
      <c r="GV18" s="18">
        <f>GU18*VLOOKUP('Données projet'!$B$18,Paramètres!$A$1:$I$89,3,0)*VLOOKUP('Données projet'!$B$18,Paramètres!$A$1:$I$89,5,0)</f>
        <v>112.38798755202998</v>
      </c>
      <c r="GW18" s="14">
        <f t="shared" si="51"/>
        <v>29.892907883122046</v>
      </c>
      <c r="GX18" s="22">
        <f t="shared" si="28"/>
        <v>247.80589288288971</v>
      </c>
      <c r="GY18" s="60">
        <f t="shared" si="29"/>
        <v>522.80589288288968</v>
      </c>
      <c r="GZ18" s="60">
        <f ca="1">AVERAGE(OFFSET($GY$3,0,0,'Données projet'!$E$18+1,1))-AVERAGE(OFFSET($H$3,0,0,'Données projet'!$E$18+1,1))</f>
        <v>79.868679770907136</v>
      </c>
      <c r="HA18" s="60">
        <f t="shared" si="52"/>
        <v>370.47471103028312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0">
        <f t="shared" si="0"/>
        <v>425.17463824707193</v>
      </c>
      <c r="S19" s="60">
        <f ca="1">AVERAGE(OFFSET($R$3,0,0,'Données projet'!$E$9+1,1))-AVERAGE(OFFSET($H$3,0,0,'Données projet'!$E$9+1,1))</f>
        <v>206.5885410269899</v>
      </c>
      <c r="T19" s="60">
        <f t="shared" si="34"/>
        <v>347.41156847586302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17.166666666666668</v>
      </c>
      <c r="AI19" s="14">
        <f>IF('Données projet'!$A$62&gt;35,AI18+AH19-AQ18,IF(A19&lt;'Données projet'!$A$62,$AF$205^A19,IF(A19='Données projet'!$A$62,'Données projet'!$B$62,AI18+AH19-AQ18)))</f>
        <v>111.50000000000001</v>
      </c>
      <c r="AJ19" s="14">
        <f>AI19*VLOOKUP('Données projet'!$B$10,Paramètres!$A$1:$I$89,3,0)*VLOOKUP('Données projet'!$B$10,Paramètres!$A$1:$I$89,5,0)</f>
        <v>66.677000000000007</v>
      </c>
      <c r="AK19" s="14">
        <f t="shared" si="35"/>
        <v>18.845918291779732</v>
      </c>
      <c r="AL19" s="22">
        <f t="shared" si="4"/>
        <v>148.95241602484973</v>
      </c>
      <c r="AM19" s="60">
        <f t="shared" si="5"/>
        <v>425.17463824707193</v>
      </c>
      <c r="AN19" s="60">
        <f ca="1">AVERAGE(OFFSET($AM$3,0,0,'Données projet'!$E$10+1,1))-AVERAGE(OFFSET($H$3,0,0,'Données projet'!$E$10+1,1))</f>
        <v>206.5885410269899</v>
      </c>
      <c r="AO19" s="60">
        <f t="shared" si="36"/>
        <v>347.41156847586302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3.5907319725353593</v>
      </c>
      <c r="AX19" s="23">
        <f t="shared" si="6"/>
        <v>3.5907319725353593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2.84</v>
      </c>
      <c r="BD19" s="13">
        <f>IF('Données projet'!$A$88&gt;35,BD18+BC19-BL18,IF(A19&lt;'Données projet'!$A$88,$BA$205^A19,IF(A19='Données projet'!$A$88,'Données projet'!$B$88,BD18+BC19-BL18)))</f>
        <v>15.304013607840634</v>
      </c>
      <c r="BE19" s="14">
        <f>BD19*VLOOKUP('Données projet'!$B$11,Paramètres!$A$1:$I$89,3,0)*VLOOKUP('Données projet'!$B$11,Paramètres!$A$1:$I$89,5,0)</f>
        <v>14.563299349221147</v>
      </c>
      <c r="BF19" s="14">
        <f t="shared" si="37"/>
        <v>4.9136973501560082</v>
      </c>
      <c r="BG19" s="22">
        <f t="shared" si="7"/>
        <v>33.922435918081874</v>
      </c>
      <c r="BH19" s="60">
        <f t="shared" si="8"/>
        <v>310.1446581403041</v>
      </c>
      <c r="BI19" s="60">
        <f ca="1">AVERAGE(OFFSET($BH$3,0,0,'Données projet'!$E$11+1,1))-AVERAGE(OFFSET($H$3,0,0,'Données projet'!$E$11+1,1))</f>
        <v>389.12604446638119</v>
      </c>
      <c r="BJ19" s="60">
        <f t="shared" si="38"/>
        <v>243.23852967152732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2.84</v>
      </c>
      <c r="BY19" s="13">
        <f>IF('Données projet'!$A$114&gt;35,BY18+BX19-CG18,IF(A19&lt;'Données projet'!$A$114,$BV$205^A19,IF(A19='Données projet'!$A$114,'Données projet'!$B$114,BY18+BX19-CG18)))</f>
        <v>15.304013607840634</v>
      </c>
      <c r="BZ19" s="14">
        <f>BY19*VLOOKUP('Données projet'!$B$12,Paramètres!$A$1:$I$89,3,0)*VLOOKUP('Données projet'!$B$12,Paramètres!$A$1:$I$89,5,0)</f>
        <v>13.847071512374203</v>
      </c>
      <c r="CA19" s="14">
        <f t="shared" si="39"/>
        <v>4.6995463399043667</v>
      </c>
      <c r="CB19" s="22">
        <f t="shared" si="10"/>
        <v>32.302026092718499</v>
      </c>
      <c r="CC19" s="60">
        <f t="shared" si="11"/>
        <v>308.52424831494073</v>
      </c>
      <c r="CD19" s="60">
        <f ca="1">AVERAGE(OFFSET($CC$3,0,0,'Données projet'!$E$12+1,1))-AVERAGE(OFFSET($H$3,0,0,'Données projet'!$E$12+1,1))</f>
        <v>371.95849973474657</v>
      </c>
      <c r="CE19" s="60">
        <f t="shared" si="40"/>
        <v>233.32640143610547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2.84</v>
      </c>
      <c r="CT19" s="13">
        <f>IF('Données projet'!$A$140&gt;35,CT18+CS19-DB18,IF(A19&lt;'Données projet'!$A$140,$CQ$205^A19,IF(A19='Données projet'!$A$140,'Données projet'!$B$140,CT18+CS19-DB18)))</f>
        <v>15.304013607840634</v>
      </c>
      <c r="CU19" s="18">
        <f>CT19*VLOOKUP('Données projet'!$B$13,Paramètres!$A$1:$I$89,3,0)*VLOOKUP('Données projet'!$B$13,Paramètres!$A$1:$I$89,5,0)</f>
        <v>14.802041961503461</v>
      </c>
      <c r="CV19" s="14">
        <f t="shared" si="41"/>
        <v>4.984805966270196</v>
      </c>
      <c r="CW19" s="22">
        <f t="shared" si="13"/>
        <v>34.462093474205787</v>
      </c>
      <c r="CX19" s="60">
        <f t="shared" si="14"/>
        <v>310.68431569642803</v>
      </c>
      <c r="CY19" s="60">
        <f ca="1">AVERAGE(OFFSET($CX$3,0,0,'Données projet'!$E$13+1,1))-AVERAGE(OFFSET($H$3,0,0,'Données projet'!$E$13+1,1))</f>
        <v>394.8445842828649</v>
      </c>
      <c r="CZ19" s="60">
        <f t="shared" si="42"/>
        <v>246.54010105494143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3.95</v>
      </c>
      <c r="DO19" s="13">
        <f>IF('Données projet'!$A$166&gt;35,DO18+DN19-DW18,IF(A19&lt;'Données projet'!$A$166,$DL$205^A19,IF(A19='Données projet'!$A$166,'Données projet'!$B$166,DO18+DN19-DW18)))</f>
        <v>32.968688640702432</v>
      </c>
      <c r="DP19" s="18">
        <f>DO19*VLOOKUP('Données projet'!$B$14,Paramètres!$A$1:$I$89,3,0)*VLOOKUP('Données projet'!$B$14,Paramètres!$A$1:$I$89,5,0)</f>
        <v>28.801446396517651</v>
      </c>
      <c r="DQ19" s="14">
        <f t="shared" si="43"/>
        <v>8.9761590420605479</v>
      </c>
      <c r="DR19" s="22">
        <f t="shared" si="16"/>
        <v>65.795996138857035</v>
      </c>
      <c r="DS19" s="60">
        <f t="shared" si="17"/>
        <v>342.01821836107928</v>
      </c>
      <c r="DT19" s="60">
        <f ca="1">AVERAGE(OFFSET($DS$3,0,0,'Données projet'!$E$14+1,1))-AVERAGE(OFFSET($H$3,0,0,'Données projet'!$E$14+1,1))</f>
        <v>266.98113257513319</v>
      </c>
      <c r="DU19" s="60">
        <f t="shared" si="44"/>
        <v>275.73257102713393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2.84</v>
      </c>
      <c r="EJ19" s="13">
        <f>IF('Données projet'!$A$192&gt;35,EJ18+EI19-ER18,IF(A19&lt;'Données projet'!$A$192,$EG$205^A19,IF(A19='Données projet'!$A$192,'Données projet'!$B$192,EJ18+EI19-ER18)))</f>
        <v>15.304013607840634</v>
      </c>
      <c r="EK19" s="18">
        <f>EJ19*VLOOKUP('Données projet'!$B$15,Paramètres!$A$1:$I$89,3,0)*VLOOKUP('Données projet'!$B$15,Paramètres!$A$1:$I$89,5,0)</f>
        <v>17.428210696608915</v>
      </c>
      <c r="EL19" s="14">
        <f t="shared" si="45"/>
        <v>5.7586812492547006</v>
      </c>
      <c r="EM19" s="22">
        <f t="shared" si="19"/>
        <v>40.383836805712463</v>
      </c>
      <c r="EN19" s="60">
        <f t="shared" si="20"/>
        <v>316.60605902793469</v>
      </c>
      <c r="EO19" s="60">
        <f ca="1">AVERAGE(OFFSET($EN$3,0,0,'Données projet'!$E$15+1,1))-AVERAGE(OFFSET($H$3,0,0,'Données projet'!$E$15+1,1))</f>
        <v>457.62828850677369</v>
      </c>
      <c r="EP19" s="60">
        <f t="shared" si="46"/>
        <v>282.78263556175563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2.84</v>
      </c>
      <c r="FE19" s="13">
        <f>IF('Données projet'!$A$218&gt;35,FE18+FD19-FM18,IF(A19&lt;'Données projet'!$A$218,$FB$205^A19,IF(A19='Données projet'!$A$218,'Données projet'!$B$218,FE18+FD19-FM18)))</f>
        <v>15.304013607840634</v>
      </c>
      <c r="FF19" s="18">
        <f>FE19*VLOOKUP('Données projet'!$B$16,Paramètres!$A$1:$I$89,3,0)*VLOOKUP('Données projet'!$B$16,Paramètres!$A$1:$I$89,5,0)</f>
        <v>16.711982859761974</v>
      </c>
      <c r="FG19" s="14">
        <f t="shared" si="47"/>
        <v>5.5490621549465748</v>
      </c>
      <c r="FH19" s="22">
        <f t="shared" si="22"/>
        <v>38.771320067284059</v>
      </c>
      <c r="FI19" s="60">
        <f t="shared" si="23"/>
        <v>314.99354228950631</v>
      </c>
      <c r="FJ19" s="60">
        <f ca="1">AVERAGE(OFFSET($FI$3,0,0,'Données projet'!$E$16+1,1))-AVERAGE(OFFSET($H$3,0,0,'Données projet'!$E$16+1,1))</f>
        <v>440.52623925652182</v>
      </c>
      <c r="FK19" s="60">
        <f t="shared" si="48"/>
        <v>272.91122662088918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6.5</v>
      </c>
      <c r="FZ19" s="13">
        <f>IF('Données projet'!$A$244&gt;35,FZ18+FY19-GH18,IF(A19&lt;'Données projet'!$A$244,$FW$205^A19,IF(A19='Données projet'!$A$244,'Données projet'!$B$244,FZ18+FY19-GH18)))</f>
        <v>16.647606148649942</v>
      </c>
      <c r="GA19" s="18">
        <f>FZ19*VLOOKUP('Données projet'!$B$17,Paramètres!$A$1:$I$89,3,0)*VLOOKUP('Données projet'!$B$17,Paramètres!$A$1:$I$89,5,0)</f>
        <v>7.791079677568173</v>
      </c>
      <c r="GB19" s="14">
        <f t="shared" si="49"/>
        <v>2.8272729930809319</v>
      </c>
      <c r="GC19" s="22">
        <f t="shared" si="25"/>
        <v>18.493630901380524</v>
      </c>
      <c r="GD19" s="60">
        <f t="shared" si="26"/>
        <v>294.71585312360276</v>
      </c>
      <c r="GE19" s="60">
        <f ca="1">AVERAGE(OFFSET($GD$3,0,0,'Données projet'!$E$17+1,1))-AVERAGE(OFFSET($H$3,0,0,'Données projet'!$E$17+1,1))</f>
        <v>317.54276561627643</v>
      </c>
      <c r="GF19" s="60">
        <f t="shared" si="50"/>
        <v>238.92443174298893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>
        <f>VLOOKUP(A19,'Données projet'!$A$269:$I$289,2,0)</f>
        <v>300</v>
      </c>
      <c r="GS19" s="13">
        <f>VLOOKUP(A19,'Données projet'!$A$269:$I$289,9,0)</f>
        <v>18.75</v>
      </c>
      <c r="GT19" s="13">
        <f t="array" ref="GT19">INDEX(GS:GS,MIN(IF(ISNUMBER(GS19:GS215),ROW(GS19:GS215),"")))</f>
        <v>18.75</v>
      </c>
      <c r="GU19" s="13">
        <f>IF('Données projet'!$A$270&gt;35,GU18+GT19-HC18,IF(A19&lt;'Données projet'!$A$270,$GR$205^A19,IF(A19='Données projet'!$A$270,'Données projet'!$B$270,GU18+GT19-HC18)))</f>
        <v>300</v>
      </c>
      <c r="GV19" s="18">
        <f>GU19*VLOOKUP('Données projet'!$B$18,Paramètres!$A$1:$I$89,3,0)*VLOOKUP('Données projet'!$B$18,Paramètres!$A$1:$I$89,5,0)</f>
        <v>160.524</v>
      </c>
      <c r="GW19" s="14">
        <f t="shared" si="51"/>
        <v>40.960682569221582</v>
      </c>
      <c r="GX19" s="22">
        <f t="shared" si="28"/>
        <v>350.91915547472757</v>
      </c>
      <c r="GY19" s="60">
        <f t="shared" si="29"/>
        <v>627.1413776969498</v>
      </c>
      <c r="GZ19" s="60">
        <f ca="1">AVERAGE(OFFSET($GY$3,0,0,'Données projet'!$E$18+1,1))-AVERAGE(OFFSET($H$3,0,0,'Données projet'!$E$18+1,1))</f>
        <v>79.868679770907136</v>
      </c>
      <c r="HA19" s="60">
        <f t="shared" si="52"/>
        <v>370.47471103028312</v>
      </c>
      <c r="HB19" s="16">
        <f>IF(ISNA(VLOOKUP(A19,'Données projet'!$A$269:$I$289,3,0)),0,VLOOKUP(A19,'Données projet'!$A$269:$I$289,3,0))</f>
        <v>1</v>
      </c>
      <c r="HC19" s="16">
        <f>IF(ISNA(VLOOKUP(A19,'Données projet'!$A$269:$I$289,4,0)),0,VLOOKUP(A19,'Données projet'!$A$269:$I$289,4,0))</f>
        <v>300</v>
      </c>
      <c r="HD19" s="17">
        <f>IF(ISNA(VLOOKUP(A19,'Données projet'!$A$269:$I$289,5,0)),0%,VLOOKUP(A19,'Données projet'!$A$269:$I$289,5,0)*VLOOKUP('Données projet'!$B$18,Paramètres!$A$1:$I$89,7,0))</f>
        <v>0.46199999999999997</v>
      </c>
      <c r="HE19" s="17">
        <f>IF(ISNA(VLOOKUP(A19,'Données projet'!$A$269:$I$289,6,0)),0%,VLOOKUP(A19,'Données projet'!$A$269:$I$289,6,0)*VLOOKUP('Données projet'!$B$18,Paramètres!$A$1:$I$89,7,0))</f>
        <v>0.126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81.983991568316057</v>
      </c>
      <c r="HH19" s="23">
        <f>EXP(-LN(2)/25)*HH18+(1-EXP(-LN(2)/25))/(LN(2)/25)*Calculateur!HC19*Calculateur!HE19*VLOOKUP('Données projet'!$B$18,Paramètres!$A$1:$I$89,3,0)*0.475*44/12</f>
        <v>22.27123346049866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104.25522502881472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0">
        <f t="shared" si="0"/>
        <v>448.70362518967272</v>
      </c>
      <c r="S20" s="60">
        <f ca="1">AVERAGE(OFFSET($R$3,0,0,'Données projet'!$E$9+1,1))-AVERAGE(OFFSET($H$3,0,0,'Données projet'!$E$9+1,1))</f>
        <v>206.5885410269899</v>
      </c>
      <c r="T20" s="60">
        <f t="shared" si="34"/>
        <v>347.41156847586302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17.166666666666668</v>
      </c>
      <c r="AI20" s="14">
        <f>IF('Données projet'!$A$62&gt;35,AI19+AH20-AQ19,IF(A20&lt;'Données projet'!$A$62,$AF$205^A20,IF(A20='Données projet'!$A$62,'Données projet'!$B$62,AI19+AH20-AQ19)))</f>
        <v>128.66666666666669</v>
      </c>
      <c r="AJ20" s="14">
        <f>AI20*VLOOKUP('Données projet'!$B$10,Paramètres!$A$1:$I$89,3,0)*VLOOKUP('Données projet'!$B$10,Paramètres!$A$1:$I$89,5,0)</f>
        <v>76.942666666666682</v>
      </c>
      <c r="AK20" s="14">
        <f t="shared" si="35"/>
        <v>21.387963426287346</v>
      </c>
      <c r="AL20" s="22">
        <f t="shared" si="4"/>
        <v>171.25918074522826</v>
      </c>
      <c r="AM20" s="60">
        <f t="shared" si="5"/>
        <v>448.70362518967272</v>
      </c>
      <c r="AN20" s="60">
        <f ca="1">AVERAGE(OFFSET($AM$3,0,0,'Données projet'!$E$10+1,1))-AVERAGE(OFFSET($H$3,0,0,'Données projet'!$E$10+1,1))</f>
        <v>206.5885410269899</v>
      </c>
      <c r="AO20" s="60">
        <f t="shared" si="36"/>
        <v>347.41156847586302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2.5390309272031004</v>
      </c>
      <c r="AX20" s="23">
        <f t="shared" si="6"/>
        <v>2.5390309272031004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2.84</v>
      </c>
      <c r="BD20" s="13">
        <f>IF('Données projet'!$A$88&gt;35,BD19+BC20-BL19,IF(A20&lt;'Données projet'!$A$88,$BA$205^A20,IF(A20='Données projet'!$A$88,'Données projet'!$B$88,BD19+BC20-BL19)))</f>
        <v>18.149124386663679</v>
      </c>
      <c r="BE20" s="14">
        <f>BD20*VLOOKUP('Données projet'!$B$11,Paramètres!$A$1:$I$89,3,0)*VLOOKUP('Données projet'!$B$11,Paramètres!$A$1:$I$89,5,0)</f>
        <v>17.270706766349157</v>
      </c>
      <c r="BF20" s="14">
        <f t="shared" si="37"/>
        <v>5.7126718588704986</v>
      </c>
      <c r="BG20" s="22">
        <f t="shared" si="7"/>
        <v>40.029384438924232</v>
      </c>
      <c r="BH20" s="60">
        <f t="shared" si="8"/>
        <v>317.4738288833687</v>
      </c>
      <c r="BI20" s="60">
        <f ca="1">AVERAGE(OFFSET($BH$3,0,0,'Données projet'!$E$11+1,1))-AVERAGE(OFFSET($H$3,0,0,'Données projet'!$E$11+1,1))</f>
        <v>389.12604446638119</v>
      </c>
      <c r="BJ20" s="60">
        <f t="shared" si="38"/>
        <v>243.23852967152732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2.84</v>
      </c>
      <c r="BY20" s="13">
        <f>IF('Données projet'!$A$114&gt;35,BY19+BX20-CG19,IF(A20&lt;'Données projet'!$A$114,$BV$205^A20,IF(A20='Données projet'!$A$114,'Données projet'!$B$114,BY19+BX20-CG19)))</f>
        <v>18.149124386663679</v>
      </c>
      <c r="BZ20" s="14">
        <f>BY20*VLOOKUP('Données projet'!$B$12,Paramètres!$A$1:$I$89,3,0)*VLOOKUP('Données projet'!$B$12,Paramètres!$A$1:$I$89,5,0)</f>
        <v>16.421327745053297</v>
      </c>
      <c r="CA20" s="14">
        <f t="shared" si="39"/>
        <v>5.4636995753466904</v>
      </c>
      <c r="CB20" s="22">
        <f t="shared" si="10"/>
        <v>38.11642258302998</v>
      </c>
      <c r="CC20" s="60">
        <f t="shared" si="11"/>
        <v>315.56086702747444</v>
      </c>
      <c r="CD20" s="60">
        <f ca="1">AVERAGE(OFFSET($CC$3,0,0,'Données projet'!$E$12+1,1))-AVERAGE(OFFSET($H$3,0,0,'Données projet'!$E$12+1,1))</f>
        <v>371.95849973474657</v>
      </c>
      <c r="CE20" s="60">
        <f t="shared" si="40"/>
        <v>233.32640143610547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2.84</v>
      </c>
      <c r="CT20" s="13">
        <f>IF('Données projet'!$A$140&gt;35,CT19+CS20-DB19,IF(A20&lt;'Données projet'!$A$140,$CQ$205^A20,IF(A20='Données projet'!$A$140,'Données projet'!$B$140,CT19+CS20-DB19)))</f>
        <v>18.149124386663679</v>
      </c>
      <c r="CU20" s="18">
        <f>CT20*VLOOKUP('Données projet'!$B$13,Paramètres!$A$1:$I$89,3,0)*VLOOKUP('Données projet'!$B$13,Paramètres!$A$1:$I$89,5,0)</f>
        <v>17.553833106781113</v>
      </c>
      <c r="CV20" s="14">
        <f t="shared" si="41"/>
        <v>5.7953428418902124</v>
      </c>
      <c r="CW20" s="22">
        <f t="shared" si="13"/>
        <v>40.666481443935886</v>
      </c>
      <c r="CX20" s="60">
        <f t="shared" si="14"/>
        <v>318.11092588838034</v>
      </c>
      <c r="CY20" s="60">
        <f ca="1">AVERAGE(OFFSET($CX$3,0,0,'Données projet'!$E$13+1,1))-AVERAGE(OFFSET($H$3,0,0,'Données projet'!$E$13+1,1))</f>
        <v>394.8445842828649</v>
      </c>
      <c r="CZ20" s="60">
        <f t="shared" si="42"/>
        <v>246.54010105494143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3.95</v>
      </c>
      <c r="DO20" s="13">
        <f>IF('Données projet'!$A$166&gt;35,DO19+DN20-DW19,IF(A20&lt;'Données projet'!$A$166,$DL$205^A20,IF(A20='Données projet'!$A$166,'Données projet'!$B$166,DO19+DN20-DW19)))</f>
        <v>41.018807235842807</v>
      </c>
      <c r="DP20" s="18">
        <f>DO20*VLOOKUP('Données projet'!$B$14,Paramètres!$A$1:$I$89,3,0)*VLOOKUP('Données projet'!$B$14,Paramètres!$A$1:$I$89,5,0)</f>
        <v>35.834030001232279</v>
      </c>
      <c r="DQ20" s="14">
        <f t="shared" si="43"/>
        <v>10.887488362971231</v>
      </c>
      <c r="DR20" s="22">
        <f t="shared" si="16"/>
        <v>81.373311150987774</v>
      </c>
      <c r="DS20" s="60">
        <f t="shared" si="17"/>
        <v>358.81775559543223</v>
      </c>
      <c r="DT20" s="60">
        <f ca="1">AVERAGE(OFFSET($DS$3,0,0,'Données projet'!$E$14+1,1))-AVERAGE(OFFSET($H$3,0,0,'Données projet'!$E$14+1,1))</f>
        <v>266.98113257513319</v>
      </c>
      <c r="DU20" s="60">
        <f t="shared" si="44"/>
        <v>275.73257102713393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2.84</v>
      </c>
      <c r="EJ20" s="13">
        <f>IF('Données projet'!$A$192&gt;35,EJ19+EI20-ER19,IF(A20&lt;'Données projet'!$A$192,$EG$205^A20,IF(A20='Données projet'!$A$192,'Données projet'!$B$192,EJ19+EI20-ER19)))</f>
        <v>18.149124386663679</v>
      </c>
      <c r="EK20" s="18">
        <f>EJ20*VLOOKUP('Données projet'!$B$15,Paramètres!$A$1:$I$89,3,0)*VLOOKUP('Données projet'!$B$15,Paramètres!$A$1:$I$89,5,0)</f>
        <v>20.668222851532597</v>
      </c>
      <c r="EL20" s="14">
        <f t="shared" si="45"/>
        <v>6.6950513986739653</v>
      </c>
      <c r="EM20" s="22">
        <f t="shared" si="19"/>
        <v>47.657702652443085</v>
      </c>
      <c r="EN20" s="60">
        <f t="shared" si="20"/>
        <v>325.10214709688756</v>
      </c>
      <c r="EO20" s="60">
        <f ca="1">AVERAGE(OFFSET($EN$3,0,0,'Données projet'!$E$15+1,1))-AVERAGE(OFFSET($H$3,0,0,'Données projet'!$E$15+1,1))</f>
        <v>457.62828850677369</v>
      </c>
      <c r="EP20" s="60">
        <f t="shared" si="46"/>
        <v>282.78263556175563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2.84</v>
      </c>
      <c r="FE20" s="13">
        <f>IF('Données projet'!$A$218&gt;35,FE19+FD20-FM19,IF(A20&lt;'Données projet'!$A$218,$FB$205^A20,IF(A20='Données projet'!$A$218,'Données projet'!$B$218,FE19+FD20-FM19)))</f>
        <v>18.149124386663679</v>
      </c>
      <c r="FF20" s="18">
        <f>FE20*VLOOKUP('Données projet'!$B$16,Paramètres!$A$1:$I$89,3,0)*VLOOKUP('Données projet'!$B$16,Paramètres!$A$1:$I$89,5,0)</f>
        <v>19.818843830236737</v>
      </c>
      <c r="FG20" s="14">
        <f t="shared" si="47"/>
        <v>6.4513479273769505</v>
      </c>
      <c r="FH20" s="22">
        <f t="shared" si="22"/>
        <v>45.753917311177169</v>
      </c>
      <c r="FI20" s="60">
        <f t="shared" si="23"/>
        <v>323.19836175562165</v>
      </c>
      <c r="FJ20" s="60">
        <f ca="1">AVERAGE(OFFSET($FI$3,0,0,'Données projet'!$E$16+1,1))-AVERAGE(OFFSET($H$3,0,0,'Données projet'!$E$16+1,1))</f>
        <v>440.52623925652182</v>
      </c>
      <c r="FK20" s="60">
        <f t="shared" si="48"/>
        <v>272.91122662088918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6.5</v>
      </c>
      <c r="FZ20" s="13">
        <f>IF('Données projet'!$A$244&gt;35,FZ19+FY20-GH19,IF(A20&lt;'Données projet'!$A$244,$FW$205^A20,IF(A20='Données projet'!$A$244,'Données projet'!$B$244,FZ19+FY20-GH19)))</f>
        <v>19.846607449592845</v>
      </c>
      <c r="GA20" s="18">
        <f>FZ20*VLOOKUP('Données projet'!$B$17,Paramètres!$A$1:$I$89,3,0)*VLOOKUP('Données projet'!$B$17,Paramètres!$A$1:$I$89,5,0)</f>
        <v>9.2882122864094523</v>
      </c>
      <c r="GB20" s="14">
        <f t="shared" si="49"/>
        <v>3.3023028355827138</v>
      </c>
      <c r="GC20" s="22">
        <f t="shared" si="25"/>
        <v>21.928480504136356</v>
      </c>
      <c r="GD20" s="60">
        <f t="shared" si="26"/>
        <v>299.37292494858082</v>
      </c>
      <c r="GE20" s="60">
        <f ca="1">AVERAGE(OFFSET($GD$3,0,0,'Données projet'!$E$17+1,1))-AVERAGE(OFFSET($H$3,0,0,'Données projet'!$E$17+1,1))</f>
        <v>317.54276561627643</v>
      </c>
      <c r="GF20" s="60">
        <f t="shared" si="50"/>
        <v>238.92443174298893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>
        <f>GU20*VLOOKUP('Données projet'!$B$18,Paramètres!$A$1:$I$89,3,0)*VLOOKUP('Données projet'!$B$18,Paramètres!$A$1:$I$89,5,0)</f>
        <v>0</v>
      </c>
      <c r="GW20" s="14" t="e">
        <f t="shared" si="51"/>
        <v>#NUM!</v>
      </c>
      <c r="GX20" s="22" t="e">
        <f t="shared" si="28"/>
        <v>#NUM!</v>
      </c>
      <c r="GY20" s="60" t="e">
        <f t="shared" si="29"/>
        <v>#NUM!</v>
      </c>
      <c r="GZ20" s="60">
        <f ca="1">AVERAGE(OFFSET($GY$3,0,0,'Données projet'!$E$18+1,1))-AVERAGE(OFFSET($H$3,0,0,'Données projet'!$E$18+1,1))</f>
        <v>79.868679770907136</v>
      </c>
      <c r="HA20" s="60">
        <f t="shared" si="52"/>
        <v>370.47471103028312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80.376335498958625</v>
      </c>
      <c r="HH20" s="23">
        <f>EXP(-LN(2)/25)*HH19+(1-EXP(-LN(2)/25))/(LN(2)/25)*Calculateur!HC20*Calculateur!HE20*VLOOKUP('Données projet'!$B$18,Paramètres!$A$1:$I$89,3,0)*0.475*44/12</f>
        <v>21.662225410328059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102.03856090928669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0">
        <f t="shared" si="0"/>
        <v>472.16417147518968</v>
      </c>
      <c r="S21" s="60">
        <f ca="1">AVERAGE(OFFSET($R$3,0,0,'Données projet'!$E$9+1,1))-AVERAGE(OFFSET($H$3,0,0,'Données projet'!$E$9+1,1))</f>
        <v>206.5885410269899</v>
      </c>
      <c r="T21" s="60">
        <f t="shared" si="34"/>
        <v>347.41156847586302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17.166666666666668</v>
      </c>
      <c r="AI21" s="14">
        <f>IF('Données projet'!$A$62&gt;35,AI20+AH21-AQ20,IF(A21&lt;'Données projet'!$A$62,$AF$205^A21,IF(A21='Données projet'!$A$62,'Données projet'!$B$62,AI20+AH21-AQ20)))</f>
        <v>145.83333333333334</v>
      </c>
      <c r="AJ21" s="14">
        <f>AI21*VLOOKUP('Données projet'!$B$10,Paramètres!$A$1:$I$89,3,0)*VLOOKUP('Données projet'!$B$10,Paramètres!$A$1:$I$89,5,0)</f>
        <v>87.208333333333343</v>
      </c>
      <c r="AK21" s="14">
        <f t="shared" si="35"/>
        <v>23.890712489742075</v>
      </c>
      <c r="AL21" s="22">
        <f t="shared" si="4"/>
        <v>193.49750480852299</v>
      </c>
      <c r="AM21" s="60">
        <f t="shared" si="5"/>
        <v>472.16417147518968</v>
      </c>
      <c r="AN21" s="60">
        <f ca="1">AVERAGE(OFFSET($AM$3,0,0,'Données projet'!$E$10+1,1))-AVERAGE(OFFSET($H$3,0,0,'Données projet'!$E$10+1,1))</f>
        <v>206.5885410269899</v>
      </c>
      <c r="AO21" s="60">
        <f t="shared" si="36"/>
        <v>347.41156847586302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1.7953659862676796</v>
      </c>
      <c r="AX21" s="23">
        <f t="shared" si="6"/>
        <v>1.7953659862676796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2.84</v>
      </c>
      <c r="BD21" s="13">
        <f>IF('Données projet'!$A$88&gt;35,BD20+BC21-BL20,IF(A21&lt;'Données projet'!$A$88,$BA$205^A21,IF(A21='Données projet'!$A$88,'Données projet'!$B$88,BD20+BC21-BL20)))</f>
        <v>21.523158855127722</v>
      </c>
      <c r="BE21" s="14">
        <f>BD21*VLOOKUP('Données projet'!$B$11,Paramètres!$A$1:$I$89,3,0)*VLOOKUP('Données projet'!$B$11,Paramètres!$A$1:$I$89,5,0)</f>
        <v>20.481437966539538</v>
      </c>
      <c r="BF21" s="14">
        <f t="shared" si="37"/>
        <v>6.6415608128764356</v>
      </c>
      <c r="BG21" s="22">
        <f t="shared" si="7"/>
        <v>47.239222874149483</v>
      </c>
      <c r="BH21" s="60">
        <f t="shared" si="8"/>
        <v>325.90588954081619</v>
      </c>
      <c r="BI21" s="60">
        <f ca="1">AVERAGE(OFFSET($BH$3,0,0,'Données projet'!$E$11+1,1))-AVERAGE(OFFSET($H$3,0,0,'Données projet'!$E$11+1,1))</f>
        <v>389.12604446638119</v>
      </c>
      <c r="BJ21" s="60">
        <f t="shared" si="38"/>
        <v>243.23852967152732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2.84</v>
      </c>
      <c r="BY21" s="13">
        <f>IF('Données projet'!$A$114&gt;35,BY20+BX21-CG20,IF(A21&lt;'Données projet'!$A$114,$BV$205^A21,IF(A21='Données projet'!$A$114,'Données projet'!$B$114,BY20+BX21-CG20)))</f>
        <v>21.523158855127722</v>
      </c>
      <c r="BZ21" s="14">
        <f>BY21*VLOOKUP('Données projet'!$B$12,Paramètres!$A$1:$I$89,3,0)*VLOOKUP('Données projet'!$B$12,Paramètres!$A$1:$I$89,5,0)</f>
        <v>19.474154132119562</v>
      </c>
      <c r="CA21" s="14">
        <f t="shared" si="39"/>
        <v>6.3521052651756742</v>
      </c>
      <c r="CB21" s="22">
        <f t="shared" si="10"/>
        <v>44.980735116955863</v>
      </c>
      <c r="CC21" s="60">
        <f t="shared" si="11"/>
        <v>323.64740178362257</v>
      </c>
      <c r="CD21" s="60">
        <f ca="1">AVERAGE(OFFSET($CC$3,0,0,'Données projet'!$E$12+1,1))-AVERAGE(OFFSET($H$3,0,0,'Données projet'!$E$12+1,1))</f>
        <v>371.95849973474657</v>
      </c>
      <c r="CE21" s="60">
        <f t="shared" si="40"/>
        <v>233.32640143610547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2.84</v>
      </c>
      <c r="CT21" s="13">
        <f>IF('Données projet'!$A$140&gt;35,CT20+CS21-DB20,IF(A21&lt;'Données projet'!$A$140,$CQ$205^A21,IF(A21='Données projet'!$A$140,'Données projet'!$B$140,CT20+CS21-DB20)))</f>
        <v>21.523158855127722</v>
      </c>
      <c r="CU21" s="18">
        <f>CT21*VLOOKUP('Données projet'!$B$13,Paramètres!$A$1:$I$89,3,0)*VLOOKUP('Données projet'!$B$13,Paramètres!$A$1:$I$89,5,0)</f>
        <v>20.817199244679532</v>
      </c>
      <c r="CV21" s="14">
        <f t="shared" si="41"/>
        <v>6.7376742208841316</v>
      </c>
      <c r="CW21" s="22">
        <f t="shared" si="13"/>
        <v>47.991404619190043</v>
      </c>
      <c r="CX21" s="60">
        <f t="shared" si="14"/>
        <v>326.65807128585675</v>
      </c>
      <c r="CY21" s="60">
        <f ca="1">AVERAGE(OFFSET($CX$3,0,0,'Données projet'!$E$13+1,1))-AVERAGE(OFFSET($H$3,0,0,'Données projet'!$E$13+1,1))</f>
        <v>394.8445842828649</v>
      </c>
      <c r="CZ21" s="60">
        <f t="shared" si="42"/>
        <v>246.54010105494143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3.95</v>
      </c>
      <c r="DO21" s="13">
        <f>IF('Données projet'!$A$166&gt;35,DO20+DN21-DW20,IF(A21&lt;'Données projet'!$A$166,$DL$205^A21,IF(A21='Données projet'!$A$166,'Données projet'!$B$166,DO20+DN21-DW20)))</f>
        <v>51.034560864334757</v>
      </c>
      <c r="DP21" s="18">
        <f>DO21*VLOOKUP('Données projet'!$B$14,Paramètres!$A$1:$I$89,3,0)*VLOOKUP('Données projet'!$B$14,Paramètres!$A$1:$I$89,5,0)</f>
        <v>44.583792371082851</v>
      </c>
      <c r="DQ21" s="14">
        <f t="shared" si="43"/>
        <v>13.205804654127736</v>
      </c>
      <c r="DR21" s="22">
        <f t="shared" si="16"/>
        <v>100.65021481890842</v>
      </c>
      <c r="DS21" s="60">
        <f t="shared" si="17"/>
        <v>379.3168814855751</v>
      </c>
      <c r="DT21" s="60">
        <f ca="1">AVERAGE(OFFSET($DS$3,0,0,'Données projet'!$E$14+1,1))-AVERAGE(OFFSET($H$3,0,0,'Données projet'!$E$14+1,1))</f>
        <v>266.98113257513319</v>
      </c>
      <c r="DU21" s="60">
        <f t="shared" si="44"/>
        <v>275.73257102713393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2.84</v>
      </c>
      <c r="EJ21" s="13">
        <f>IF('Données projet'!$A$192&gt;35,EJ20+EI21-ER20,IF(A21&lt;'Données projet'!$A$192,$EG$205^A21,IF(A21='Données projet'!$A$192,'Données projet'!$B$192,EJ20+EI21-ER20)))</f>
        <v>21.523158855127722</v>
      </c>
      <c r="EK21" s="18">
        <f>EJ21*VLOOKUP('Données projet'!$B$15,Paramètres!$A$1:$I$89,3,0)*VLOOKUP('Données projet'!$B$15,Paramètres!$A$1:$I$89,5,0)</f>
        <v>24.510573304219449</v>
      </c>
      <c r="EL21" s="14">
        <f t="shared" si="45"/>
        <v>7.7836767292316065</v>
      </c>
      <c r="EM21" s="22">
        <f t="shared" si="19"/>
        <v>56.245818808260594</v>
      </c>
      <c r="EN21" s="60">
        <f t="shared" si="20"/>
        <v>334.91248547492728</v>
      </c>
      <c r="EO21" s="60">
        <f ca="1">AVERAGE(OFFSET($EN$3,0,0,'Données projet'!$E$15+1,1))-AVERAGE(OFFSET($H$3,0,0,'Données projet'!$E$15+1,1))</f>
        <v>457.62828850677369</v>
      </c>
      <c r="EP21" s="60">
        <f t="shared" si="46"/>
        <v>282.78263556175563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2.84</v>
      </c>
      <c r="FE21" s="13">
        <f>IF('Données projet'!$A$218&gt;35,FE20+FD21-FM20,IF(A21&lt;'Données projet'!$A$218,$FB$205^A21,IF(A21='Données projet'!$A$218,'Données projet'!$B$218,FE20+FD21-FM20)))</f>
        <v>21.523158855127722</v>
      </c>
      <c r="FF21" s="18">
        <f>FE21*VLOOKUP('Données projet'!$B$16,Paramètres!$A$1:$I$89,3,0)*VLOOKUP('Données projet'!$B$16,Paramètres!$A$1:$I$89,5,0)</f>
        <v>23.503289469799469</v>
      </c>
      <c r="FG21" s="14">
        <f t="shared" si="47"/>
        <v>7.5003467104742834</v>
      </c>
      <c r="FH21" s="22">
        <f t="shared" si="22"/>
        <v>53.997999680643453</v>
      </c>
      <c r="FI21" s="60">
        <f t="shared" si="23"/>
        <v>332.66466634731012</v>
      </c>
      <c r="FJ21" s="60">
        <f ca="1">AVERAGE(OFFSET($FI$3,0,0,'Données projet'!$E$16+1,1))-AVERAGE(OFFSET($H$3,0,0,'Données projet'!$E$16+1,1))</f>
        <v>440.52623925652182</v>
      </c>
      <c r="FK21" s="60">
        <f t="shared" si="48"/>
        <v>272.91122662088918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6.5</v>
      </c>
      <c r="FZ21" s="13">
        <f>IF('Données projet'!$A$244&gt;35,FZ20+FY21-GH20,IF(A21&lt;'Données projet'!$A$244,$FW$205^A21,IF(A21='Données projet'!$A$244,'Données projet'!$B$244,FZ20+FY21-GH20)))</f>
        <v>23.660328322350242</v>
      </c>
      <c r="GA21" s="18">
        <f>FZ21*VLOOKUP('Données projet'!$B$17,Paramètres!$A$1:$I$89,3,0)*VLOOKUP('Données projet'!$B$17,Paramètres!$A$1:$I$89,5,0)</f>
        <v>11.073033654859913</v>
      </c>
      <c r="GB21" s="14">
        <f t="shared" si="49"/>
        <v>3.8571457530226052</v>
      </c>
      <c r="GC21" s="22">
        <f t="shared" si="25"/>
        <v>26.003395802062048</v>
      </c>
      <c r="GD21" s="60">
        <f t="shared" si="26"/>
        <v>304.67006246872876</v>
      </c>
      <c r="GE21" s="60">
        <f ca="1">AVERAGE(OFFSET($GD$3,0,0,'Données projet'!$E$17+1,1))-AVERAGE(OFFSET($H$3,0,0,'Données projet'!$E$17+1,1))</f>
        <v>317.54276561627643</v>
      </c>
      <c r="GF21" s="60">
        <f t="shared" si="50"/>
        <v>238.92443174298893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>
        <f>GU21*VLOOKUP('Données projet'!$B$18,Paramètres!$A$1:$I$89,3,0)*VLOOKUP('Données projet'!$B$18,Paramètres!$A$1:$I$89,5,0)</f>
        <v>0</v>
      </c>
      <c r="GW21" s="14" t="e">
        <f t="shared" si="51"/>
        <v>#NUM!</v>
      </c>
      <c r="GX21" s="22" t="e">
        <f t="shared" si="28"/>
        <v>#NUM!</v>
      </c>
      <c r="GY21" s="60" t="e">
        <f t="shared" si="29"/>
        <v>#NUM!</v>
      </c>
      <c r="GZ21" s="60">
        <f ca="1">AVERAGE(OFFSET($GY$3,0,0,'Données projet'!$E$18+1,1))-AVERAGE(OFFSET($H$3,0,0,'Données projet'!$E$18+1,1))</f>
        <v>79.868679770907136</v>
      </c>
      <c r="HA21" s="60">
        <f t="shared" si="52"/>
        <v>370.47471103028312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78.800204584547913</v>
      </c>
      <c r="HH21" s="23">
        <f>EXP(-LN(2)/25)*HH20+(1-EXP(-LN(2)/25))/(LN(2)/25)*Calculateur!HC21*Calculateur!HE21*VLOOKUP('Données projet'!$B$18,Paramètres!$A$1:$I$89,3,0)*0.475*44/12</f>
        <v>21.069870717315712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99.870075301863622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0">
        <f t="shared" si="0"/>
        <v>495.56525411827351</v>
      </c>
      <c r="S22" s="60">
        <f ca="1">AVERAGE(OFFSET($R$3,0,0,'Données projet'!$E$9+1,1))-AVERAGE(OFFSET($H$3,0,0,'Données projet'!$E$9+1,1))</f>
        <v>206.5885410269899</v>
      </c>
      <c r="T22" s="60">
        <f t="shared" si="34"/>
        <v>347.41156847586302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163</v>
      </c>
      <c r="AG22" s="13">
        <f>VLOOKUP(A22,'Données projet'!$A$61:$I$81,9,0)</f>
        <v>17.166666666666668</v>
      </c>
      <c r="AH22" s="13">
        <f t="array" ref="AH22">INDEX(AG:AG,MIN(IF(ISNUMBER(AG22:AG218),ROW(AG22:AG218),"")))</f>
        <v>17.166666666666668</v>
      </c>
      <c r="AI22" s="14">
        <f>IF('Données projet'!$A$62&gt;35,AI21+AH22-AQ21,IF(A22&lt;'Données projet'!$A$62,$AF$205^A22,IF(A22='Données projet'!$A$62,'Données projet'!$B$62,AI21+AH22-AQ21)))</f>
        <v>163</v>
      </c>
      <c r="AJ22" s="14">
        <f>AI22*VLOOKUP('Données projet'!$B$10,Paramètres!$A$1:$I$89,3,0)*VLOOKUP('Données projet'!$B$10,Paramètres!$A$1:$I$89,5,0)</f>
        <v>97.474000000000004</v>
      </c>
      <c r="AK22" s="14">
        <f t="shared" si="35"/>
        <v>26.359319748929014</v>
      </c>
      <c r="AL22" s="22">
        <f t="shared" si="4"/>
        <v>215.67636522938469</v>
      </c>
      <c r="AM22" s="60">
        <f t="shared" si="5"/>
        <v>495.56525411827351</v>
      </c>
      <c r="AN22" s="60">
        <f ca="1">AVERAGE(OFFSET($AM$3,0,0,'Données projet'!$E$10+1,1))-AVERAGE(OFFSET($H$3,0,0,'Données projet'!$E$10+1,1))</f>
        <v>206.5885410269899</v>
      </c>
      <c r="AO22" s="60">
        <f t="shared" si="36"/>
        <v>347.41156847586302</v>
      </c>
      <c r="AP22" s="16">
        <f>IF(ISNA(VLOOKUP(A22,'Données projet'!$A$61:$I$81,3,0)),0,VLOOKUP(A22,'Données projet'!$A$61:$I$81,3,0))</f>
        <v>2</v>
      </c>
      <c r="AQ22" s="16">
        <f>IF(ISNA(VLOOKUP(A22,'Données projet'!$A$61:$I$81,4,0)),0,VLOOKUP(A22,'Données projet'!$A$61:$I$81,4,0))</f>
        <v>40</v>
      </c>
      <c r="AR22" s="17">
        <f>IF(ISNA(VLOOKUP(A22,'Données projet'!$A$61:$I$81,5,0)),0%,VLOOKUP(A22,'Données projet'!$A$61:$I$81,5,0)*VLOOKUP('Données projet'!$B$10,Paramètres!$A$1:$I$89,7,0))</f>
        <v>0.13500000000000001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0.7</v>
      </c>
      <c r="AU22" s="23">
        <f>EXP(-LN(2)/35)*AU21+(1-EXP(-LN(2)/35))/(LN(2)/35)*AQ22*AR22*VLOOKUP('Données projet'!$B$10,Paramètres!$A$1:$I$89,3,0)*0.475*44/12</f>
        <v>4.2837419395053642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20.227613053384697</v>
      </c>
      <c r="AX22" s="23">
        <f t="shared" si="6"/>
        <v>24.511354992890062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2.84</v>
      </c>
      <c r="BD22" s="13">
        <f>IF('Données projet'!$A$88&gt;35,BD21+BC22-BL21,IF(A22&lt;'Données projet'!$A$88,$BA$205^A22,IF(A22='Données projet'!$A$88,'Données projet'!$B$88,BD21+BC22-BL21)))</f>
        <v>25.524447198315809</v>
      </c>
      <c r="BE22" s="14">
        <f>BD22*VLOOKUP('Données projet'!$B$11,Paramètres!$A$1:$I$89,3,0)*VLOOKUP('Données projet'!$B$11,Paramètres!$A$1:$I$89,5,0)</f>
        <v>24.289063953917324</v>
      </c>
      <c r="BF22" s="14">
        <f t="shared" si="37"/>
        <v>7.7214884945023501</v>
      </c>
      <c r="BG22" s="22">
        <f t="shared" si="7"/>
        <v>55.7517121809976</v>
      </c>
      <c r="BH22" s="60">
        <f t="shared" si="8"/>
        <v>335.64060106988643</v>
      </c>
      <c r="BI22" s="60">
        <f ca="1">AVERAGE(OFFSET($BH$3,0,0,'Données projet'!$E$11+1,1))-AVERAGE(OFFSET($H$3,0,0,'Données projet'!$E$11+1,1))</f>
        <v>389.12604446638119</v>
      </c>
      <c r="BJ22" s="60">
        <f t="shared" si="38"/>
        <v>243.23852967152732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2.84</v>
      </c>
      <c r="BY22" s="13">
        <f>IF('Données projet'!$A$114&gt;35,BY21+BX22-CG21,IF(A22&lt;'Données projet'!$A$114,$BV$205^A22,IF(A22='Données projet'!$A$114,'Données projet'!$B$114,BY21+BX22-CG21)))</f>
        <v>25.524447198315809</v>
      </c>
      <c r="BZ22" s="14">
        <f>BY22*VLOOKUP('Données projet'!$B$12,Paramètres!$A$1:$I$89,3,0)*VLOOKUP('Données projet'!$B$12,Paramètres!$A$1:$I$89,5,0)</f>
        <v>23.094519825036141</v>
      </c>
      <c r="CA22" s="14">
        <f t="shared" si="39"/>
        <v>7.3849670435644734</v>
      </c>
      <c r="CB22" s="22">
        <f t="shared" si="10"/>
        <v>53.085106296146058</v>
      </c>
      <c r="CC22" s="60">
        <f t="shared" si="11"/>
        <v>332.97399518503494</v>
      </c>
      <c r="CD22" s="60">
        <f ca="1">AVERAGE(OFFSET($CC$3,0,0,'Données projet'!$E$12+1,1))-AVERAGE(OFFSET($H$3,0,0,'Données projet'!$E$12+1,1))</f>
        <v>371.95849973474657</v>
      </c>
      <c r="CE22" s="60">
        <f t="shared" si="40"/>
        <v>233.32640143610547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2.84</v>
      </c>
      <c r="CT22" s="13">
        <f>IF('Données projet'!$A$140&gt;35,CT21+CS22-DB21,IF(A22&lt;'Données projet'!$A$140,$CQ$205^A22,IF(A22='Données projet'!$A$140,'Données projet'!$B$140,CT21+CS22-DB21)))</f>
        <v>25.524447198315809</v>
      </c>
      <c r="CU22" s="18">
        <f>CT22*VLOOKUP('Données projet'!$B$13,Paramètres!$A$1:$I$89,3,0)*VLOOKUP('Données projet'!$B$13,Paramètres!$A$1:$I$89,5,0)</f>
        <v>24.687245330211052</v>
      </c>
      <c r="CV22" s="14">
        <f t="shared" si="41"/>
        <v>7.8332300858252779</v>
      </c>
      <c r="CW22" s="22">
        <f t="shared" si="13"/>
        <v>56.639828016263273</v>
      </c>
      <c r="CX22" s="60">
        <f t="shared" si="14"/>
        <v>336.52871690515212</v>
      </c>
      <c r="CY22" s="60">
        <f ca="1">AVERAGE(OFFSET($CX$3,0,0,'Données projet'!$E$13+1,1))-AVERAGE(OFFSET($H$3,0,0,'Données projet'!$E$13+1,1))</f>
        <v>394.8445842828649</v>
      </c>
      <c r="CZ22" s="60">
        <f t="shared" si="42"/>
        <v>246.54010105494143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3.95</v>
      </c>
      <c r="DO22" s="13">
        <f>IF('Données projet'!$A$166&gt;35,DO21+DN22-DW21,IF(A22&lt;'Données projet'!$A$166,$DL$205^A22,IF(A22='Données projet'!$A$166,'Données projet'!$B$166,DO21+DN22-DW21)))</f>
        <v>63.495907807373236</v>
      </c>
      <c r="DP22" s="18">
        <f>DO22*VLOOKUP('Données projet'!$B$14,Paramètres!$A$1:$I$89,3,0)*VLOOKUP('Données projet'!$B$14,Paramètres!$A$1:$I$89,5,0)</f>
        <v>55.470025060521266</v>
      </c>
      <c r="DQ22" s="14">
        <f t="shared" si="43"/>
        <v>16.01776927322376</v>
      </c>
      <c r="DR22" s="22">
        <f t="shared" si="16"/>
        <v>124.50790846460593</v>
      </c>
      <c r="DS22" s="60">
        <f t="shared" si="17"/>
        <v>404.39679735349478</v>
      </c>
      <c r="DT22" s="60">
        <f ca="1">AVERAGE(OFFSET($DS$3,0,0,'Données projet'!$E$14+1,1))-AVERAGE(OFFSET($H$3,0,0,'Données projet'!$E$14+1,1))</f>
        <v>266.98113257513319</v>
      </c>
      <c r="DU22" s="60">
        <f t="shared" si="44"/>
        <v>275.73257102713393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2.84</v>
      </c>
      <c r="EJ22" s="13">
        <f>IF('Données projet'!$A$192&gt;35,EJ21+EI22-ER21,IF(A22&lt;'Données projet'!$A$192,$EG$205^A22,IF(A22='Données projet'!$A$192,'Données projet'!$B$192,EJ21+EI22-ER21)))</f>
        <v>25.524447198315809</v>
      </c>
      <c r="EK22" s="18">
        <f>EJ22*VLOOKUP('Données projet'!$B$15,Paramètres!$A$1:$I$89,3,0)*VLOOKUP('Données projet'!$B$15,Paramètres!$A$1:$I$89,5,0)</f>
        <v>29.067240469442044</v>
      </c>
      <c r="EL22" s="14">
        <f t="shared" si="45"/>
        <v>9.0493141601842488</v>
      </c>
      <c r="EM22" s="22">
        <f t="shared" si="19"/>
        <v>66.386332646599115</v>
      </c>
      <c r="EN22" s="60">
        <f t="shared" si="20"/>
        <v>346.27522153548796</v>
      </c>
      <c r="EO22" s="60">
        <f ca="1">AVERAGE(OFFSET($EN$3,0,0,'Données projet'!$E$15+1,1))-AVERAGE(OFFSET($H$3,0,0,'Données projet'!$E$15+1,1))</f>
        <v>457.62828850677369</v>
      </c>
      <c r="EP22" s="60">
        <f t="shared" si="46"/>
        <v>282.78263556175563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2.84</v>
      </c>
      <c r="FE22" s="13">
        <f>IF('Données projet'!$A$218&gt;35,FE21+FD22-FM21,IF(A22&lt;'Données projet'!$A$218,$FB$205^A22,IF(A22='Données projet'!$A$218,'Données projet'!$B$218,FE21+FD22-FM21)))</f>
        <v>25.524447198315809</v>
      </c>
      <c r="FF22" s="18">
        <f>FE22*VLOOKUP('Données projet'!$B$16,Paramètres!$A$1:$I$89,3,0)*VLOOKUP('Données projet'!$B$16,Paramètres!$A$1:$I$89,5,0)</f>
        <v>27.872696340560861</v>
      </c>
      <c r="FG22" s="14">
        <f t="shared" si="47"/>
        <v>8.7199142583207703</v>
      </c>
      <c r="FH22" s="22">
        <f t="shared" si="22"/>
        <v>63.732130126385506</v>
      </c>
      <c r="FI22" s="60">
        <f t="shared" si="23"/>
        <v>343.62101901527438</v>
      </c>
      <c r="FJ22" s="60">
        <f ca="1">AVERAGE(OFFSET($FI$3,0,0,'Données projet'!$E$16+1,1))-AVERAGE(OFFSET($H$3,0,0,'Données projet'!$E$16+1,1))</f>
        <v>440.52623925652182</v>
      </c>
      <c r="FK22" s="60">
        <f t="shared" si="48"/>
        <v>272.91122662088918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6.5</v>
      </c>
      <c r="FZ22" s="13">
        <f>IF('Données projet'!$A$244&gt;35,FZ21+FY22-GH21,IF(A22&lt;'Données projet'!$A$244,$FW$205^A22,IF(A22='Données projet'!$A$244,'Données projet'!$B$244,FZ21+FY22-GH21)))</f>
        <v>28.206893180269638</v>
      </c>
      <c r="GA22" s="18">
        <f>FZ22*VLOOKUP('Données projet'!$B$17,Paramètres!$A$1:$I$89,3,0)*VLOOKUP('Données projet'!$B$17,Paramètres!$A$1:$I$89,5,0)</f>
        <v>13.200826008366192</v>
      </c>
      <c r="GB22" s="14">
        <f t="shared" si="49"/>
        <v>4.5052116964418483</v>
      </c>
      <c r="GC22" s="22">
        <f t="shared" si="25"/>
        <v>30.838015669207337</v>
      </c>
      <c r="GD22" s="60">
        <f t="shared" si="26"/>
        <v>310.72690455809618</v>
      </c>
      <c r="GE22" s="60">
        <f ca="1">AVERAGE(OFFSET($GD$3,0,0,'Données projet'!$E$17+1,1))-AVERAGE(OFFSET($H$3,0,0,'Données projet'!$E$17+1,1))</f>
        <v>317.54276561627643</v>
      </c>
      <c r="GF22" s="60">
        <f t="shared" si="50"/>
        <v>238.92443174298893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>
        <f>GU22*VLOOKUP('Données projet'!$B$18,Paramètres!$A$1:$I$89,3,0)*VLOOKUP('Données projet'!$B$18,Paramètres!$A$1:$I$89,5,0)</f>
        <v>0</v>
      </c>
      <c r="GW22" s="14" t="e">
        <f t="shared" si="51"/>
        <v>#NUM!</v>
      </c>
      <c r="GX22" s="22" t="e">
        <f t="shared" si="28"/>
        <v>#NUM!</v>
      </c>
      <c r="GY22" s="60" t="e">
        <f t="shared" si="29"/>
        <v>#NUM!</v>
      </c>
      <c r="GZ22" s="60">
        <f ca="1">AVERAGE(OFFSET($GY$3,0,0,'Données projet'!$E$18+1,1))-AVERAGE(OFFSET($H$3,0,0,'Données projet'!$E$18+1,1))</f>
        <v>79.868679770907136</v>
      </c>
      <c r="HA22" s="60">
        <f t="shared" si="52"/>
        <v>370.47471103028312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77.254980636023859</v>
      </c>
      <c r="HH22" s="23">
        <f>EXP(-LN(2)/25)*HH21+(1-EXP(-LN(2)/25))/(LN(2)/25)*Calculateur!HC22*Calculateur!HE22*VLOOKUP('Données projet'!$B$18,Paramètres!$A$1:$I$89,3,0)*0.475*44/12</f>
        <v>20.493713994534367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97.748694630558219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0">
        <f t="shared" si="0"/>
        <v>466.41153358646295</v>
      </c>
      <c r="S23" s="60">
        <f ca="1">AVERAGE(OFFSET($R$3,0,0,'Données projet'!$E$9+1,1))-AVERAGE(OFFSET($H$3,0,0,'Données projet'!$E$9+1,1))</f>
        <v>206.5885410269899</v>
      </c>
      <c r="T23" s="60">
        <f t="shared" si="34"/>
        <v>347.41156847586302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16.5</v>
      </c>
      <c r="AI23" s="14">
        <f>IF('Données projet'!$A$62&gt;35,AI22+AH23-AQ22,IF(A23&lt;'Données projet'!$A$62,$AF$205^A23,IF(A23='Données projet'!$A$62,'Données projet'!$B$62,AI22+AH23-AQ22)))</f>
        <v>139.5</v>
      </c>
      <c r="AJ23" s="14">
        <f>AI23*VLOOKUP('Données projet'!$B$10,Paramètres!$A$1:$I$89,3,0)*VLOOKUP('Données projet'!$B$10,Paramètres!$A$1:$I$89,5,0)</f>
        <v>83.421000000000006</v>
      </c>
      <c r="AK23" s="14">
        <f t="shared" si="35"/>
        <v>22.97158706718762</v>
      </c>
      <c r="AL23" s="22">
        <f t="shared" si="4"/>
        <v>185.30042247535178</v>
      </c>
      <c r="AM23" s="60">
        <f t="shared" si="5"/>
        <v>466.41153358646295</v>
      </c>
      <c r="AN23" s="60">
        <f ca="1">AVERAGE(OFFSET($AM$3,0,0,'Données projet'!$E$10+1,1))-AVERAGE(OFFSET($H$3,0,0,'Données projet'!$E$10+1,1))</f>
        <v>206.5885410269899</v>
      </c>
      <c r="AO23" s="60">
        <f t="shared" si="36"/>
        <v>347.41156847586302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4.1997403728962519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14.303082357265847</v>
      </c>
      <c r="AX23" s="23">
        <f t="shared" si="6"/>
        <v>18.502822730162098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2.84</v>
      </c>
      <c r="BD23" s="13">
        <f>IF('Données projet'!$A$88&gt;35,BD22+BC23-BL22,IF(A23&lt;'Données projet'!$A$88,$BA$205^A23,IF(A23='Données projet'!$A$88,'Données projet'!$B$88,BD22+BC23-BL22)))</f>
        <v>30.269599790850293</v>
      </c>
      <c r="BE23" s="14">
        <f>BD23*VLOOKUP('Données projet'!$B$11,Paramètres!$A$1:$I$89,3,0)*VLOOKUP('Données projet'!$B$11,Paramètres!$A$1:$I$89,5,0)</f>
        <v>28.804551160973141</v>
      </c>
      <c r="BF23" s="14">
        <f t="shared" si="37"/>
        <v>8.9770140258507016</v>
      </c>
      <c r="BG23" s="22">
        <f t="shared" si="7"/>
        <v>65.802892700384845</v>
      </c>
      <c r="BH23" s="60">
        <f t="shared" si="8"/>
        <v>346.914003811496</v>
      </c>
      <c r="BI23" s="60">
        <f ca="1">AVERAGE(OFFSET($BH$3,0,0,'Données projet'!$E$11+1,1))-AVERAGE(OFFSET($H$3,0,0,'Données projet'!$E$11+1,1))</f>
        <v>389.12604446638119</v>
      </c>
      <c r="BJ23" s="60">
        <f t="shared" si="38"/>
        <v>243.23852967152732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2.84</v>
      </c>
      <c r="BY23" s="13">
        <f>IF('Données projet'!$A$114&gt;35,BY22+BX23-CG22,IF(A23&lt;'Données projet'!$A$114,$BV$205^A23,IF(A23='Données projet'!$A$114,'Données projet'!$B$114,BY22+BX23-CG22)))</f>
        <v>30.269599790850293</v>
      </c>
      <c r="BZ23" s="14">
        <f>BY23*VLOOKUP('Données projet'!$B$12,Paramètres!$A$1:$I$89,3,0)*VLOOKUP('Données projet'!$B$12,Paramètres!$A$1:$I$89,5,0)</f>
        <v>27.387933890761346</v>
      </c>
      <c r="CA23" s="14">
        <f t="shared" si="39"/>
        <v>8.5857736856986921</v>
      </c>
      <c r="CB23" s="22">
        <f t="shared" si="10"/>
        <v>62.654207362334567</v>
      </c>
      <c r="CC23" s="60">
        <f t="shared" si="11"/>
        <v>343.76531847344569</v>
      </c>
      <c r="CD23" s="60">
        <f ca="1">AVERAGE(OFFSET($CC$3,0,0,'Données projet'!$E$12+1,1))-AVERAGE(OFFSET($H$3,0,0,'Données projet'!$E$12+1,1))</f>
        <v>371.95849973474657</v>
      </c>
      <c r="CE23" s="60">
        <f t="shared" si="40"/>
        <v>233.32640143610547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2.84</v>
      </c>
      <c r="CT23" s="13">
        <f>IF('Données projet'!$A$140&gt;35,CT22+CS23-DB22,IF(A23&lt;'Données projet'!$A$140,$CQ$205^A23,IF(A23='Données projet'!$A$140,'Données projet'!$B$140,CT22+CS23-DB22)))</f>
        <v>30.269599790850293</v>
      </c>
      <c r="CU23" s="18">
        <f>CT23*VLOOKUP('Données projet'!$B$13,Paramètres!$A$1:$I$89,3,0)*VLOOKUP('Données projet'!$B$13,Paramètres!$A$1:$I$89,5,0)</f>
        <v>29.276756917710408</v>
      </c>
      <c r="CV23" s="14">
        <f t="shared" si="41"/>
        <v>9.1069249663760985</v>
      </c>
      <c r="CW23" s="22">
        <f t="shared" si="13"/>
        <v>66.851579281450668</v>
      </c>
      <c r="CX23" s="60">
        <f t="shared" si="14"/>
        <v>347.9626903925618</v>
      </c>
      <c r="CY23" s="60">
        <f ca="1">AVERAGE(OFFSET($CX$3,0,0,'Données projet'!$E$13+1,1))-AVERAGE(OFFSET($H$3,0,0,'Données projet'!$E$13+1,1))</f>
        <v>394.8445842828649</v>
      </c>
      <c r="CZ23" s="60">
        <f t="shared" si="42"/>
        <v>246.54010105494143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79</v>
      </c>
      <c r="DM23" s="13">
        <f>VLOOKUP(A23,'Données projet'!$A$165:$I$185,9,0)</f>
        <v>3.95</v>
      </c>
      <c r="DN23" s="13">
        <f t="array" ref="DN23">INDEX(DM:DM,MIN(IF(ISNUMBER(DM23:DM219),ROW(DM23:DM219),"")))</f>
        <v>3.95</v>
      </c>
      <c r="DO23" s="13">
        <f>IF('Données projet'!$A$166&gt;35,DO22+DN23-DW22,IF(A23&lt;'Données projet'!$A$166,$DL$205^A23,IF(A23='Données projet'!$A$166,'Données projet'!$B$166,DO22+DN23-DW22)))</f>
        <v>79</v>
      </c>
      <c r="DP23" s="18">
        <f>DO23*VLOOKUP('Données projet'!$B$14,Paramètres!$A$1:$I$89,3,0)*VLOOKUP('Données projet'!$B$14,Paramètres!$A$1:$I$89,5,0)</f>
        <v>69.014400000000009</v>
      </c>
      <c r="DQ23" s="14">
        <f t="shared" si="43"/>
        <v>19.428496726251055</v>
      </c>
      <c r="DR23" s="22">
        <f t="shared" si="16"/>
        <v>154.03804513155393</v>
      </c>
      <c r="DS23" s="60">
        <f t="shared" si="17"/>
        <v>435.14915624266507</v>
      </c>
      <c r="DT23" s="60">
        <f ca="1">AVERAGE(OFFSET($DS$3,0,0,'Données projet'!$E$14+1,1))-AVERAGE(OFFSET($H$3,0,0,'Données projet'!$E$14+1,1))</f>
        <v>266.98113257513319</v>
      </c>
      <c r="DU23" s="60">
        <f t="shared" si="44"/>
        <v>275.73257102713393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17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2.84</v>
      </c>
      <c r="EJ23" s="13">
        <f>IF('Données projet'!$A$192&gt;35,EJ22+EI23-ER22,IF(A23&lt;'Données projet'!$A$192,$EG$205^A23,IF(A23='Données projet'!$A$192,'Données projet'!$B$192,EJ22+EI23-ER22)))</f>
        <v>30.269599790850293</v>
      </c>
      <c r="EK23" s="18">
        <f>EJ23*VLOOKUP('Données projet'!$B$15,Paramètres!$A$1:$I$89,3,0)*VLOOKUP('Données projet'!$B$15,Paramètres!$A$1:$I$89,5,0)</f>
        <v>34.47102024182032</v>
      </c>
      <c r="EL23" s="14">
        <f t="shared" si="45"/>
        <v>10.52074612273822</v>
      </c>
      <c r="EM23" s="22">
        <f t="shared" si="19"/>
        <v>78.360659751606121</v>
      </c>
      <c r="EN23" s="60">
        <f t="shared" si="20"/>
        <v>359.47177086271728</v>
      </c>
      <c r="EO23" s="60">
        <f ca="1">AVERAGE(OFFSET($EN$3,0,0,'Données projet'!$E$15+1,1))-AVERAGE(OFFSET($H$3,0,0,'Données projet'!$E$15+1,1))</f>
        <v>457.62828850677369</v>
      </c>
      <c r="EP23" s="60">
        <f t="shared" si="46"/>
        <v>282.78263556175563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2.84</v>
      </c>
      <c r="FE23" s="13">
        <f>IF('Données projet'!$A$218&gt;35,FE22+FD23-FM22,IF(A23&lt;'Données projet'!$A$218,$FB$205^A23,IF(A23='Données projet'!$A$218,'Données projet'!$B$218,FE22+FD23-FM22)))</f>
        <v>30.269599790850293</v>
      </c>
      <c r="FF23" s="18">
        <f>FE23*VLOOKUP('Données projet'!$B$16,Paramètres!$A$1:$I$89,3,0)*VLOOKUP('Données projet'!$B$16,Paramètres!$A$1:$I$89,5,0)</f>
        <v>33.054402971608518</v>
      </c>
      <c r="FG23" s="14">
        <f t="shared" si="47"/>
        <v>10.137785306148562</v>
      </c>
      <c r="FH23" s="22">
        <f t="shared" si="22"/>
        <v>75.226394583760239</v>
      </c>
      <c r="FI23" s="60">
        <f t="shared" si="23"/>
        <v>356.33750569487137</v>
      </c>
      <c r="FJ23" s="60">
        <f ca="1">AVERAGE(OFFSET($FI$3,0,0,'Données projet'!$E$16+1,1))-AVERAGE(OFFSET($H$3,0,0,'Données projet'!$E$16+1,1))</f>
        <v>440.52623925652182</v>
      </c>
      <c r="FK23" s="60">
        <f t="shared" si="48"/>
        <v>272.91122662088918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6.5</v>
      </c>
      <c r="FZ23" s="13">
        <f>IF('Données projet'!$A$244&gt;35,FZ22+FY23-GH22,IF(A23&lt;'Données projet'!$A$244,$FW$205^A23,IF(A23='Données projet'!$A$244,'Données projet'!$B$244,FZ22+FY23-GH22)))</f>
        <v>33.627125204833582</v>
      </c>
      <c r="GA23" s="18">
        <f>FZ23*VLOOKUP('Données projet'!$B$17,Paramètres!$A$1:$I$89,3,0)*VLOOKUP('Données projet'!$B$17,Paramètres!$A$1:$I$89,5,0)</f>
        <v>15.737494595862117</v>
      </c>
      <c r="GB23" s="14">
        <f t="shared" si="49"/>
        <v>5.2621637162274721</v>
      </c>
      <c r="GC23" s="22">
        <f t="shared" si="25"/>
        <v>36.574404893556029</v>
      </c>
      <c r="GD23" s="60">
        <f t="shared" si="26"/>
        <v>317.68551600466719</v>
      </c>
      <c r="GE23" s="60">
        <f ca="1">AVERAGE(OFFSET($GD$3,0,0,'Données projet'!$E$17+1,1))-AVERAGE(OFFSET($H$3,0,0,'Données projet'!$E$17+1,1))</f>
        <v>317.54276561627643</v>
      </c>
      <c r="GF23" s="60">
        <f t="shared" si="50"/>
        <v>238.92443174298893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>
        <f>GU23*VLOOKUP('Données projet'!$B$18,Paramètres!$A$1:$I$89,3,0)*VLOOKUP('Données projet'!$B$18,Paramètres!$A$1:$I$89,5,0)</f>
        <v>0</v>
      </c>
      <c r="GW23" s="14" t="e">
        <f t="shared" si="51"/>
        <v>#NUM!</v>
      </c>
      <c r="GX23" s="22" t="e">
        <f t="shared" si="28"/>
        <v>#NUM!</v>
      </c>
      <c r="GY23" s="60" t="e">
        <f t="shared" si="29"/>
        <v>#NUM!</v>
      </c>
      <c r="GZ23" s="60">
        <f ca="1">AVERAGE(OFFSET($GY$3,0,0,'Données projet'!$E$18+1,1))-AVERAGE(OFFSET($H$3,0,0,'Données projet'!$E$18+1,1))</f>
        <v>79.868679770907136</v>
      </c>
      <c r="HA23" s="60">
        <f t="shared" si="52"/>
        <v>370.47471103028312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75.740057586636823</v>
      </c>
      <c r="HH23" s="23">
        <f>EXP(-LN(2)/25)*HH22+(1-EXP(-LN(2)/25))/(LN(2)/25)*Calculateur!HC23*Calculateur!HE23*VLOOKUP('Données projet'!$B$18,Paramètres!$A$1:$I$89,3,0)*0.475*44/12</f>
        <v>19.933312307636246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95.673369894273065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0">
        <f t="shared" si="0"/>
        <v>488.97258746891305</v>
      </c>
      <c r="S24" s="60">
        <f ca="1">AVERAGE(OFFSET($R$3,0,0,'Données projet'!$E$9+1,1))-AVERAGE(OFFSET($H$3,0,0,'Données projet'!$E$9+1,1))</f>
        <v>206.5885410269899</v>
      </c>
      <c r="T24" s="60">
        <f t="shared" si="34"/>
        <v>347.41156847586302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16.5</v>
      </c>
      <c r="AI24" s="14">
        <f>IF('Données projet'!$A$62&gt;35,AI23+AH24-AQ23,IF(A24&lt;'Données projet'!$A$62,$AF$205^A24,IF(A24='Données projet'!$A$62,'Données projet'!$B$62,AI23+AH24-AQ23)))</f>
        <v>156</v>
      </c>
      <c r="AJ24" s="14">
        <f>AI24*VLOOKUP('Données projet'!$B$10,Paramètres!$A$1:$I$89,3,0)*VLOOKUP('Données projet'!$B$10,Paramètres!$A$1:$I$89,5,0)</f>
        <v>93.288000000000011</v>
      </c>
      <c r="AK24" s="14">
        <f t="shared" si="35"/>
        <v>25.356547829040977</v>
      </c>
      <c r="AL24" s="22">
        <f t="shared" si="4"/>
        <v>206.63925413557971</v>
      </c>
      <c r="AM24" s="60">
        <f t="shared" si="5"/>
        <v>488.97258746891305</v>
      </c>
      <c r="AN24" s="60">
        <f ca="1">AVERAGE(OFFSET($AM$3,0,0,'Données projet'!$E$10+1,1))-AVERAGE(OFFSET($H$3,0,0,'Données projet'!$E$10+1,1))</f>
        <v>206.5885410269899</v>
      </c>
      <c r="AO24" s="60">
        <f t="shared" si="36"/>
        <v>347.41156847586302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4.1173860257724479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10.11380652669235</v>
      </c>
      <c r="AX24" s="23">
        <f t="shared" si="6"/>
        <v>14.231192552464798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2.84</v>
      </c>
      <c r="BD24" s="13">
        <f>IF('Données projet'!$A$88&gt;35,BD23+BC24-BL23,IF(A24&lt;'Données projet'!$A$88,$BA$205^A24,IF(A24='Données projet'!$A$88,'Données projet'!$B$88,BD23+BC24-BL23)))</f>
        <v>35.896905597183761</v>
      </c>
      <c r="BE24" s="14">
        <f>BD24*VLOOKUP('Données projet'!$B$11,Paramètres!$A$1:$I$89,3,0)*VLOOKUP('Données projet'!$B$11,Paramètres!$A$1:$I$89,5,0)</f>
        <v>34.159495366280069</v>
      </c>
      <c r="BF24" s="14">
        <f t="shared" si="37"/>
        <v>10.436689878861767</v>
      </c>
      <c r="BG24" s="22">
        <f t="shared" si="7"/>
        <v>77.671689301955368</v>
      </c>
      <c r="BH24" s="60">
        <f t="shared" si="8"/>
        <v>360.0050226352887</v>
      </c>
      <c r="BI24" s="60">
        <f ca="1">AVERAGE(OFFSET($BH$3,0,0,'Données projet'!$E$11+1,1))-AVERAGE(OFFSET($H$3,0,0,'Données projet'!$E$11+1,1))</f>
        <v>389.12604446638119</v>
      </c>
      <c r="BJ24" s="60">
        <f t="shared" si="38"/>
        <v>243.23852967152732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2.84</v>
      </c>
      <c r="BY24" s="13">
        <f>IF('Données projet'!$A$114&gt;35,BY23+BX24-CG23,IF(A24&lt;'Données projet'!$A$114,$BV$205^A24,IF(A24='Données projet'!$A$114,'Données projet'!$B$114,BY23+BX24-CG23)))</f>
        <v>35.896905597183761</v>
      </c>
      <c r="BZ24" s="14">
        <f>BY24*VLOOKUP('Données projet'!$B$12,Paramètres!$A$1:$I$89,3,0)*VLOOKUP('Données projet'!$B$12,Paramètres!$A$1:$I$89,5,0)</f>
        <v>32.479520184331868</v>
      </c>
      <c r="CA24" s="14">
        <f t="shared" si="39"/>
        <v>9.9818332765986337</v>
      </c>
      <c r="CB24" s="22">
        <f t="shared" si="10"/>
        <v>73.953523944453949</v>
      </c>
      <c r="CC24" s="60">
        <f t="shared" si="11"/>
        <v>356.28685727778725</v>
      </c>
      <c r="CD24" s="60">
        <f ca="1">AVERAGE(OFFSET($CC$3,0,0,'Données projet'!$E$12+1,1))-AVERAGE(OFFSET($H$3,0,0,'Données projet'!$E$12+1,1))</f>
        <v>371.95849973474657</v>
      </c>
      <c r="CE24" s="60">
        <f t="shared" si="40"/>
        <v>233.32640143610547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2.84</v>
      </c>
      <c r="CT24" s="13">
        <f>IF('Données projet'!$A$140&gt;35,CT23+CS24-DB23,IF(A24&lt;'Données projet'!$A$140,$CQ$205^A24,IF(A24='Données projet'!$A$140,'Données projet'!$B$140,CT23+CS24-DB23)))</f>
        <v>35.896905597183761</v>
      </c>
      <c r="CU24" s="18">
        <f>CT24*VLOOKUP('Données projet'!$B$13,Paramètres!$A$1:$I$89,3,0)*VLOOKUP('Données projet'!$B$13,Paramètres!$A$1:$I$89,5,0)</f>
        <v>34.719487093596136</v>
      </c>
      <c r="CV24" s="14">
        <f t="shared" si="41"/>
        <v>10.58772453183551</v>
      </c>
      <c r="CW24" s="22">
        <f t="shared" si="13"/>
        <v>78.910060247626788</v>
      </c>
      <c r="CX24" s="60">
        <f t="shared" si="14"/>
        <v>361.24339358096012</v>
      </c>
      <c r="CY24" s="60">
        <f ca="1">AVERAGE(OFFSET($CX$3,0,0,'Données projet'!$E$13+1,1))-AVERAGE(OFFSET($H$3,0,0,'Données projet'!$E$13+1,1))</f>
        <v>394.8445842828649</v>
      </c>
      <c r="CZ24" s="60">
        <f t="shared" si="42"/>
        <v>246.54010105494143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9</v>
      </c>
      <c r="DO24" s="13">
        <f>IF('Données projet'!$A$166&gt;35,DO23+DN24-DW23,IF(A24&lt;'Données projet'!$A$166,$DL$205^A24,IF(A24='Données projet'!$A$166,'Données projet'!$B$166,DO23+DN24-DW23)))</f>
        <v>71</v>
      </c>
      <c r="DP24" s="18">
        <f>DO24*VLOOKUP('Données projet'!$B$14,Paramètres!$A$1:$I$89,3,0)*VLOOKUP('Données projet'!$B$14,Paramètres!$A$1:$I$89,5,0)</f>
        <v>62.025600000000011</v>
      </c>
      <c r="DQ24" s="14">
        <f t="shared" si="43"/>
        <v>17.679410406677221</v>
      </c>
      <c r="DR24" s="22">
        <f t="shared" si="16"/>
        <v>138.8195597916295</v>
      </c>
      <c r="DS24" s="60">
        <f t="shared" si="17"/>
        <v>421.15289312496282</v>
      </c>
      <c r="DT24" s="60">
        <f ca="1">AVERAGE(OFFSET($DS$3,0,0,'Données projet'!$E$14+1,1))-AVERAGE(OFFSET($H$3,0,0,'Données projet'!$E$14+1,1))</f>
        <v>266.98113257513319</v>
      </c>
      <c r="DU24" s="60">
        <f t="shared" si="44"/>
        <v>275.73257102713393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2.84</v>
      </c>
      <c r="EJ24" s="13">
        <f>IF('Données projet'!$A$192&gt;35,EJ23+EI24-ER23,IF(A24&lt;'Données projet'!$A$192,$EG$205^A24,IF(A24='Données projet'!$A$192,'Données projet'!$B$192,EJ23+EI24-ER23)))</f>
        <v>35.896905597183761</v>
      </c>
      <c r="EK24" s="18">
        <f>EJ24*VLOOKUP('Données projet'!$B$15,Paramètres!$A$1:$I$89,3,0)*VLOOKUP('Données projet'!$B$15,Paramètres!$A$1:$I$89,5,0)</f>
        <v>40.879396094072867</v>
      </c>
      <c r="EL24" s="14">
        <f t="shared" si="45"/>
        <v>12.231435114289109</v>
      </c>
      <c r="EM24" s="22">
        <f t="shared" si="19"/>
        <v>92.501364354563762</v>
      </c>
      <c r="EN24" s="60">
        <f t="shared" si="20"/>
        <v>374.83469768789706</v>
      </c>
      <c r="EO24" s="60">
        <f ca="1">AVERAGE(OFFSET($EN$3,0,0,'Données projet'!$E$15+1,1))-AVERAGE(OFFSET($H$3,0,0,'Données projet'!$E$15+1,1))</f>
        <v>457.62828850677369</v>
      </c>
      <c r="EP24" s="60">
        <f t="shared" si="46"/>
        <v>282.78263556175563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2.84</v>
      </c>
      <c r="FE24" s="13">
        <f>IF('Données projet'!$A$218&gt;35,FE23+FD24-FM23,IF(A24&lt;'Données projet'!$A$218,$FB$205^A24,IF(A24='Données projet'!$A$218,'Données projet'!$B$218,FE23+FD24-FM23)))</f>
        <v>35.896905597183761</v>
      </c>
      <c r="FF24" s="18">
        <f>FE24*VLOOKUP('Données projet'!$B$16,Paramètres!$A$1:$I$89,3,0)*VLOOKUP('Données projet'!$B$16,Paramètres!$A$1:$I$89,5,0)</f>
        <v>39.199420912124666</v>
      </c>
      <c r="FG24" s="14">
        <f t="shared" si="47"/>
        <v>11.786204298452976</v>
      </c>
      <c r="FH24" s="22">
        <f t="shared" si="22"/>
        <v>88.799963908422725</v>
      </c>
      <c r="FI24" s="60">
        <f t="shared" si="23"/>
        <v>371.13329724175605</v>
      </c>
      <c r="FJ24" s="60">
        <f ca="1">AVERAGE(OFFSET($FI$3,0,0,'Données projet'!$E$16+1,1))-AVERAGE(OFFSET($H$3,0,0,'Données projet'!$E$16+1,1))</f>
        <v>440.52623925652182</v>
      </c>
      <c r="FK24" s="60">
        <f t="shared" si="48"/>
        <v>272.91122662088918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6.5</v>
      </c>
      <c r="FZ24" s="13">
        <f>IF('Données projet'!$A$244&gt;35,FZ23+FY24-GH23,IF(A24&lt;'Données projet'!$A$244,$FW$205^A24,IF(A24='Données projet'!$A$244,'Données projet'!$B$244,FZ23+FY24-GH23)))</f>
        <v>40.088908137267765</v>
      </c>
      <c r="GA24" s="18">
        <f>FZ24*VLOOKUP('Données projet'!$B$17,Paramètres!$A$1:$I$89,3,0)*VLOOKUP('Données projet'!$B$17,Paramètres!$A$1:$I$89,5,0)</f>
        <v>18.761609008241315</v>
      </c>
      <c r="GB24" s="14">
        <f t="shared" si="49"/>
        <v>6.1462965210381464</v>
      </c>
      <c r="GC24" s="22">
        <f t="shared" si="25"/>
        <v>43.381268796828387</v>
      </c>
      <c r="GD24" s="60">
        <f t="shared" si="26"/>
        <v>325.71460213016172</v>
      </c>
      <c r="GE24" s="60">
        <f ca="1">AVERAGE(OFFSET($GD$3,0,0,'Données projet'!$E$17+1,1))-AVERAGE(OFFSET($H$3,0,0,'Données projet'!$E$17+1,1))</f>
        <v>317.54276561627643</v>
      </c>
      <c r="GF24" s="60">
        <f t="shared" si="50"/>
        <v>238.92443174298893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>
        <f>GU24*VLOOKUP('Données projet'!$B$18,Paramètres!$A$1:$I$89,3,0)*VLOOKUP('Données projet'!$B$18,Paramètres!$A$1:$I$89,5,0)</f>
        <v>0</v>
      </c>
      <c r="GW24" s="14" t="e">
        <f t="shared" si="51"/>
        <v>#NUM!</v>
      </c>
      <c r="GX24" s="22" t="e">
        <f t="shared" si="28"/>
        <v>#NUM!</v>
      </c>
      <c r="GY24" s="60" t="e">
        <f t="shared" si="29"/>
        <v>#NUM!</v>
      </c>
      <c r="GZ24" s="60">
        <f ca="1">AVERAGE(OFFSET($GY$3,0,0,'Données projet'!$E$18+1,1))-AVERAGE(OFFSET($H$3,0,0,'Données projet'!$E$18+1,1))</f>
        <v>79.868679770907136</v>
      </c>
      <c r="HA24" s="60">
        <f t="shared" si="52"/>
        <v>370.47471103028312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74.254841254236439</v>
      </c>
      <c r="HH24" s="23">
        <f>EXP(-LN(2)/25)*HH23+(1-EXP(-LN(2)/25))/(LN(2)/25)*Calculateur!HC24*Calculateur!HE24*VLOOKUP('Données projet'!$B$18,Paramètres!$A$1:$I$89,3,0)*0.475*44/12</f>
        <v>19.388234834336597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93.643076088573039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0">
        <f t="shared" si="0"/>
        <v>511.48271498288614</v>
      </c>
      <c r="S25" s="60">
        <f ca="1">AVERAGE(OFFSET($R$3,0,0,'Données projet'!$E$9+1,1))-AVERAGE(OFFSET($H$3,0,0,'Données projet'!$E$9+1,1))</f>
        <v>206.5885410269899</v>
      </c>
      <c r="T25" s="60">
        <f t="shared" si="34"/>
        <v>347.41156847586302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16.5</v>
      </c>
      <c r="AI25" s="14">
        <f>IF('Données projet'!$A$62&gt;35,AI24+AH25-AQ24,IF(A25&lt;'Données projet'!$A$62,$AF$205^A25,IF(A25='Données projet'!$A$62,'Données projet'!$B$62,AI24+AH25-AQ24)))</f>
        <v>172.5</v>
      </c>
      <c r="AJ25" s="14">
        <f>AI25*VLOOKUP('Données projet'!$B$10,Paramètres!$A$1:$I$89,3,0)*VLOOKUP('Données projet'!$B$10,Paramètres!$A$1:$I$89,5,0)</f>
        <v>103.15500000000002</v>
      </c>
      <c r="AK25" s="14">
        <f t="shared" si="35"/>
        <v>27.71226857071613</v>
      </c>
      <c r="AL25" s="22">
        <f t="shared" si="4"/>
        <v>227.92715942733059</v>
      </c>
      <c r="AM25" s="60">
        <f t="shared" si="5"/>
        <v>511.48271498288614</v>
      </c>
      <c r="AN25" s="60">
        <f ca="1">AVERAGE(OFFSET($AM$3,0,0,'Données projet'!$E$10+1,1))-AVERAGE(OFFSET($H$3,0,0,'Données projet'!$E$10+1,1))</f>
        <v>206.5885410269899</v>
      </c>
      <c r="AO25" s="60">
        <f t="shared" si="36"/>
        <v>347.41156847586302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4.03664659716455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7.1515411786329244</v>
      </c>
      <c r="AX25" s="23">
        <f t="shared" si="6"/>
        <v>11.188187775797473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2.84</v>
      </c>
      <c r="BD25" s="13">
        <f>IF('Données projet'!$A$88&gt;35,BD24+BC25-BL24,IF(A25&lt;'Données projet'!$A$88,$BA$205^A25,IF(A25='Données projet'!$A$88,'Données projet'!$B$88,BD24+BC25-BL24)))</f>
        <v>42.570362355521766</v>
      </c>
      <c r="BE25" s="14">
        <f>BD25*VLOOKUP('Données projet'!$B$11,Paramètres!$A$1:$I$89,3,0)*VLOOKUP('Données projet'!$B$11,Paramètres!$A$1:$I$89,5,0)</f>
        <v>40.509956817514514</v>
      </c>
      <c r="BF25" s="14">
        <f t="shared" si="37"/>
        <v>12.133711199945846</v>
      </c>
      <c r="BG25" s="22">
        <f t="shared" si="7"/>
        <v>91.68772179707679</v>
      </c>
      <c r="BH25" s="60">
        <f t="shared" si="8"/>
        <v>375.24327735263233</v>
      </c>
      <c r="BI25" s="60">
        <f ca="1">AVERAGE(OFFSET($BH$3,0,0,'Données projet'!$E$11+1,1))-AVERAGE(OFFSET($H$3,0,0,'Données projet'!$E$11+1,1))</f>
        <v>389.12604446638119</v>
      </c>
      <c r="BJ25" s="60">
        <f t="shared" si="38"/>
        <v>243.23852967152732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2.84</v>
      </c>
      <c r="BY25" s="13">
        <f>IF('Données projet'!$A$114&gt;35,BY24+BX25-CG24,IF(A25&lt;'Données projet'!$A$114,$BV$205^A25,IF(A25='Données projet'!$A$114,'Données projet'!$B$114,BY24+BX25-CG24)))</f>
        <v>42.570362355521766</v>
      </c>
      <c r="BZ25" s="14">
        <f>BY25*VLOOKUP('Données projet'!$B$12,Paramètres!$A$1:$I$89,3,0)*VLOOKUP('Données projet'!$B$12,Paramètres!$A$1:$I$89,5,0)</f>
        <v>38.517663859276098</v>
      </c>
      <c r="CA25" s="14">
        <f t="shared" si="39"/>
        <v>11.604894236587789</v>
      </c>
      <c r="CB25" s="22">
        <f t="shared" si="10"/>
        <v>87.2967886836296</v>
      </c>
      <c r="CC25" s="60">
        <f t="shared" si="11"/>
        <v>370.85234423918513</v>
      </c>
      <c r="CD25" s="60">
        <f ca="1">AVERAGE(OFFSET($CC$3,0,0,'Données projet'!$E$12+1,1))-AVERAGE(OFFSET($H$3,0,0,'Données projet'!$E$12+1,1))</f>
        <v>371.95849973474657</v>
      </c>
      <c r="CE25" s="60">
        <f t="shared" si="40"/>
        <v>233.32640143610547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2.84</v>
      </c>
      <c r="CT25" s="13">
        <f>IF('Données projet'!$A$140&gt;35,CT24+CS25-DB24,IF(A25&lt;'Données projet'!$A$140,$CQ$205^A25,IF(A25='Données projet'!$A$140,'Données projet'!$B$140,CT24+CS25-DB24)))</f>
        <v>42.570362355521766</v>
      </c>
      <c r="CU25" s="18">
        <f>CT25*VLOOKUP('Données projet'!$B$13,Paramètres!$A$1:$I$89,3,0)*VLOOKUP('Données projet'!$B$13,Paramètres!$A$1:$I$89,5,0)</f>
        <v>41.17405447026065</v>
      </c>
      <c r="CV25" s="14">
        <f t="shared" si="41"/>
        <v>12.309304312478504</v>
      </c>
      <c r="CW25" s="22">
        <f t="shared" si="13"/>
        <v>93.150183213270694</v>
      </c>
      <c r="CX25" s="60">
        <f t="shared" si="14"/>
        <v>376.70573876882622</v>
      </c>
      <c r="CY25" s="60">
        <f ca="1">AVERAGE(OFFSET($CX$3,0,0,'Données projet'!$E$13+1,1))-AVERAGE(OFFSET($H$3,0,0,'Données projet'!$E$13+1,1))</f>
        <v>394.8445842828649</v>
      </c>
      <c r="CZ25" s="60">
        <f t="shared" si="42"/>
        <v>246.54010105494143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9</v>
      </c>
      <c r="DO25" s="13">
        <f>IF('Données projet'!$A$166&gt;35,DO24+DN25-DW24,IF(A25&lt;'Données projet'!$A$166,$DL$205^A25,IF(A25='Données projet'!$A$166,'Données projet'!$B$166,DO24+DN25-DW24)))</f>
        <v>80</v>
      </c>
      <c r="DP25" s="18">
        <f>DO25*VLOOKUP('Données projet'!$B$14,Paramètres!$A$1:$I$89,3,0)*VLOOKUP('Données projet'!$B$14,Paramètres!$A$1:$I$89,5,0)</f>
        <v>69.888000000000005</v>
      </c>
      <c r="DQ25" s="14">
        <f t="shared" si="43"/>
        <v>19.645641432461961</v>
      </c>
      <c r="DR25" s="22">
        <f t="shared" si="16"/>
        <v>155.93775882820458</v>
      </c>
      <c r="DS25" s="60">
        <f t="shared" si="17"/>
        <v>439.49331438376009</v>
      </c>
      <c r="DT25" s="60">
        <f ca="1">AVERAGE(OFFSET($DS$3,0,0,'Données projet'!$E$14+1,1))-AVERAGE(OFFSET($H$3,0,0,'Données projet'!$E$14+1,1))</f>
        <v>266.98113257513319</v>
      </c>
      <c r="DU25" s="60">
        <f t="shared" si="44"/>
        <v>275.73257102713393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2.84</v>
      </c>
      <c r="EJ25" s="13">
        <f>IF('Données projet'!$A$192&gt;35,EJ24+EI25-ER24,IF(A25&lt;'Données projet'!$A$192,$EG$205^A25,IF(A25='Données projet'!$A$192,'Données projet'!$B$192,EJ24+EI25-ER24)))</f>
        <v>42.570362355521766</v>
      </c>
      <c r="EK25" s="18">
        <f>EJ25*VLOOKUP('Données projet'!$B$15,Paramètres!$A$1:$I$89,3,0)*VLOOKUP('Données projet'!$B$15,Paramètres!$A$1:$I$89,5,0)</f>
        <v>48.479128650468184</v>
      </c>
      <c r="EL25" s="14">
        <f t="shared" si="45"/>
        <v>14.220284684155688</v>
      </c>
      <c r="EM25" s="22">
        <f t="shared" si="19"/>
        <v>109.20147822446989</v>
      </c>
      <c r="EN25" s="60">
        <f t="shared" si="20"/>
        <v>392.75703378002544</v>
      </c>
      <c r="EO25" s="60">
        <f ca="1">AVERAGE(OFFSET($EN$3,0,0,'Données projet'!$E$15+1,1))-AVERAGE(OFFSET($H$3,0,0,'Données projet'!$E$15+1,1))</f>
        <v>457.62828850677369</v>
      </c>
      <c r="EP25" s="60">
        <f t="shared" si="46"/>
        <v>282.78263556175563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2.84</v>
      </c>
      <c r="FE25" s="13">
        <f>IF('Données projet'!$A$218&gt;35,FE24+FD25-FM24,IF(A25&lt;'Données projet'!$A$218,$FB$205^A25,IF(A25='Données projet'!$A$218,'Données projet'!$B$218,FE24+FD25-FM24)))</f>
        <v>42.570362355521766</v>
      </c>
      <c r="FF25" s="18">
        <f>FE25*VLOOKUP('Données projet'!$B$16,Paramètres!$A$1:$I$89,3,0)*VLOOKUP('Données projet'!$B$16,Paramètres!$A$1:$I$89,5,0)</f>
        <v>46.486835692229768</v>
      </c>
      <c r="FG25" s="14">
        <f t="shared" si="47"/>
        <v>13.702658674436499</v>
      </c>
      <c r="FH25" s="22">
        <f t="shared" si="22"/>
        <v>104.83003602194374</v>
      </c>
      <c r="FI25" s="60">
        <f t="shared" si="23"/>
        <v>388.38559157749927</v>
      </c>
      <c r="FJ25" s="60">
        <f ca="1">AVERAGE(OFFSET($FI$3,0,0,'Données projet'!$E$16+1,1))-AVERAGE(OFFSET($H$3,0,0,'Données projet'!$E$16+1,1))</f>
        <v>440.52623925652182</v>
      </c>
      <c r="FK25" s="60">
        <f t="shared" si="48"/>
        <v>272.91122662088918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6.5</v>
      </c>
      <c r="FZ25" s="13">
        <f>IF('Données projet'!$A$244&gt;35,FZ24+FY25-GH24,IF(A25&lt;'Données projet'!$A$244,$FW$205^A25,IF(A25='Données projet'!$A$244,'Données projet'!$B$244,FZ24+FY25-GH24)))</f>
        <v>47.792386231317963</v>
      </c>
      <c r="GA25" s="18">
        <f>FZ25*VLOOKUP('Données projet'!$B$17,Paramètres!$A$1:$I$89,3,0)*VLOOKUP('Données projet'!$B$17,Paramètres!$A$1:$I$89,5,0)</f>
        <v>22.366836756256806</v>
      </c>
      <c r="GB25" s="14">
        <f t="shared" si="49"/>
        <v>7.178978641053865</v>
      </c>
      <c r="GC25" s="22">
        <f t="shared" si="25"/>
        <v>51.458961816982743</v>
      </c>
      <c r="GD25" s="60">
        <f t="shared" si="26"/>
        <v>335.01451737253831</v>
      </c>
      <c r="GE25" s="60">
        <f ca="1">AVERAGE(OFFSET($GD$3,0,0,'Données projet'!$E$17+1,1))-AVERAGE(OFFSET($H$3,0,0,'Données projet'!$E$17+1,1))</f>
        <v>317.54276561627643</v>
      </c>
      <c r="GF25" s="60">
        <f t="shared" si="50"/>
        <v>238.92443174298893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>
        <f>GU25*VLOOKUP('Données projet'!$B$18,Paramètres!$A$1:$I$89,3,0)*VLOOKUP('Données projet'!$B$18,Paramètres!$A$1:$I$89,5,0)</f>
        <v>0</v>
      </c>
      <c r="GW25" s="14" t="e">
        <f t="shared" si="51"/>
        <v>#NUM!</v>
      </c>
      <c r="GX25" s="22" t="e">
        <f t="shared" si="28"/>
        <v>#NUM!</v>
      </c>
      <c r="GY25" s="60" t="e">
        <f t="shared" si="29"/>
        <v>#NUM!</v>
      </c>
      <c r="GZ25" s="60">
        <f ca="1">AVERAGE(OFFSET($GY$3,0,0,'Données projet'!$E$18+1,1))-AVERAGE(OFFSET($H$3,0,0,'Données projet'!$E$18+1,1))</f>
        <v>79.868679770907136</v>
      </c>
      <c r="HA25" s="60">
        <f t="shared" si="52"/>
        <v>370.47471103028312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72.798749108221912</v>
      </c>
      <c r="HH25" s="23">
        <f>EXP(-LN(2)/25)*HH24+(1-EXP(-LN(2)/25))/(LN(2)/25)*Calculateur!HC25*Calculateur!HE25*VLOOKUP('Données projet'!$B$18,Paramètres!$A$1:$I$89,3,0)*0.475*44/12</f>
        <v>18.858062533208706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91.656811641430622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0">
        <f t="shared" si="0"/>
        <v>533.9473415713627</v>
      </c>
      <c r="S26" s="60">
        <f ca="1">AVERAGE(OFFSET($R$3,0,0,'Données projet'!$E$9+1,1))-AVERAGE(OFFSET($H$3,0,0,'Données projet'!$E$9+1,1))</f>
        <v>206.5885410269899</v>
      </c>
      <c r="T26" s="60">
        <f t="shared" si="34"/>
        <v>347.41156847586302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16.5</v>
      </c>
      <c r="AI26" s="14">
        <f>IF('Données projet'!$A$62&gt;35,AI25+AH26-AQ25,IF(A26&lt;'Données projet'!$A$62,$AF$205^A26,IF(A26='Données projet'!$A$62,'Données projet'!$B$62,AI25+AH26-AQ25)))</f>
        <v>189</v>
      </c>
      <c r="AJ26" s="14">
        <f>AI26*VLOOKUP('Données projet'!$B$10,Paramètres!$A$1:$I$89,3,0)*VLOOKUP('Données projet'!$B$10,Paramètres!$A$1:$I$89,5,0)</f>
        <v>113.02200000000001</v>
      </c>
      <c r="AK26" s="14">
        <f t="shared" si="35"/>
        <v>30.041864379091852</v>
      </c>
      <c r="AL26" s="22">
        <f t="shared" si="4"/>
        <v>249.16956379358496</v>
      </c>
      <c r="AM26" s="60">
        <f t="shared" si="5"/>
        <v>533.9473415713627</v>
      </c>
      <c r="AN26" s="60">
        <f ca="1">AVERAGE(OFFSET($AM$3,0,0,'Données projet'!$E$10+1,1))-AVERAGE(OFFSET($H$3,0,0,'Données projet'!$E$10+1,1))</f>
        <v>206.5885410269899</v>
      </c>
      <c r="AO26" s="60">
        <f t="shared" si="36"/>
        <v>347.41156847586302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3.9574904195054641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5.0569032633461761</v>
      </c>
      <c r="AX26" s="23">
        <f t="shared" si="6"/>
        <v>9.0143936828516402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2.84</v>
      </c>
      <c r="BD26" s="13">
        <f>IF('Données projet'!$A$88&gt;35,BD25+BC26-BL25,IF(A26&lt;'Données projet'!$A$88,$BA$205^A26,IF(A26='Données projet'!$A$88,'Données projet'!$B$88,BD25+BC26-BL25)))</f>
        <v>50.484455997861858</v>
      </c>
      <c r="BE26" s="14">
        <f>BD26*VLOOKUP('Données projet'!$B$11,Paramètres!$A$1:$I$89,3,0)*VLOOKUP('Données projet'!$B$11,Paramètres!$A$1:$I$89,5,0)</f>
        <v>48.041008327565343</v>
      </c>
      <c r="BF26" s="14">
        <f t="shared" si="37"/>
        <v>14.10667071576797</v>
      </c>
      <c r="BG26" s="22">
        <f t="shared" si="7"/>
        <v>108.24054100047216</v>
      </c>
      <c r="BH26" s="60">
        <f t="shared" si="8"/>
        <v>393.01831877824992</v>
      </c>
      <c r="BI26" s="60">
        <f ca="1">AVERAGE(OFFSET($BH$3,0,0,'Données projet'!$E$11+1,1))-AVERAGE(OFFSET($H$3,0,0,'Données projet'!$E$11+1,1))</f>
        <v>389.12604446638119</v>
      </c>
      <c r="BJ26" s="60">
        <f t="shared" si="38"/>
        <v>243.23852967152732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2.84</v>
      </c>
      <c r="BY26" s="13">
        <f>IF('Données projet'!$A$114&gt;35,BY25+BX26-CG25,IF(A26&lt;'Données projet'!$A$114,$BV$205^A26,IF(A26='Données projet'!$A$114,'Données projet'!$B$114,BY25+BX26-CG25)))</f>
        <v>50.484455997861858</v>
      </c>
      <c r="BZ26" s="14">
        <f>BY26*VLOOKUP('Données projet'!$B$12,Paramètres!$A$1:$I$89,3,0)*VLOOKUP('Données projet'!$B$12,Paramètres!$A$1:$I$89,5,0)</f>
        <v>45.678335786865411</v>
      </c>
      <c r="CA26" s="14">
        <f t="shared" si="39"/>
        <v>13.491867326427556</v>
      </c>
      <c r="CB26" s="22">
        <f t="shared" si="10"/>
        <v>103.0547704223186</v>
      </c>
      <c r="CC26" s="60">
        <f t="shared" si="11"/>
        <v>387.83254820009637</v>
      </c>
      <c r="CD26" s="60">
        <f ca="1">AVERAGE(OFFSET($CC$3,0,0,'Données projet'!$E$12+1,1))-AVERAGE(OFFSET($H$3,0,0,'Données projet'!$E$12+1,1))</f>
        <v>371.95849973474657</v>
      </c>
      <c r="CE26" s="60">
        <f t="shared" si="40"/>
        <v>233.32640143610547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2.84</v>
      </c>
      <c r="CT26" s="13">
        <f>IF('Données projet'!$A$140&gt;35,CT25+CS26-DB25,IF(A26&lt;'Données projet'!$A$140,$CQ$205^A26,IF(A26='Données projet'!$A$140,'Données projet'!$B$140,CT25+CS26-DB25)))</f>
        <v>50.484455997861858</v>
      </c>
      <c r="CU26" s="18">
        <f>CT26*VLOOKUP('Données projet'!$B$13,Paramètres!$A$1:$I$89,3,0)*VLOOKUP('Données projet'!$B$13,Paramètres!$A$1:$I$89,5,0)</f>
        <v>48.82856584113199</v>
      </c>
      <c r="CV26" s="14">
        <f t="shared" si="41"/>
        <v>14.310815529966783</v>
      </c>
      <c r="CW26" s="22">
        <f t="shared" si="13"/>
        <v>109.96775588799703</v>
      </c>
      <c r="CX26" s="60">
        <f t="shared" si="14"/>
        <v>394.74553366577481</v>
      </c>
      <c r="CY26" s="60">
        <f ca="1">AVERAGE(OFFSET($CX$3,0,0,'Données projet'!$E$13+1,1))-AVERAGE(OFFSET($H$3,0,0,'Données projet'!$E$13+1,1))</f>
        <v>394.8445842828649</v>
      </c>
      <c r="CZ26" s="60">
        <f t="shared" si="42"/>
        <v>246.54010105494143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9</v>
      </c>
      <c r="DO26" s="13">
        <f>IF('Données projet'!$A$166&gt;35,DO25+DN26-DW25,IF(A26&lt;'Données projet'!$A$166,$DL$205^A26,IF(A26='Données projet'!$A$166,'Données projet'!$B$166,DO25+DN26-DW25)))</f>
        <v>89</v>
      </c>
      <c r="DP26" s="18">
        <f>DO26*VLOOKUP('Données projet'!$B$14,Paramètres!$A$1:$I$89,3,0)*VLOOKUP('Données projet'!$B$14,Paramètres!$A$1:$I$89,5,0)</f>
        <v>77.750400000000013</v>
      </c>
      <c r="DQ26" s="14">
        <f t="shared" si="43"/>
        <v>21.586235486267142</v>
      </c>
      <c r="DR26" s="22">
        <f t="shared" si="16"/>
        <v>173.01130680524864</v>
      </c>
      <c r="DS26" s="60">
        <f t="shared" si="17"/>
        <v>457.78908458302641</v>
      </c>
      <c r="DT26" s="60">
        <f ca="1">AVERAGE(OFFSET($DS$3,0,0,'Données projet'!$E$14+1,1))-AVERAGE(OFFSET($H$3,0,0,'Données projet'!$E$14+1,1))</f>
        <v>266.98113257513319</v>
      </c>
      <c r="DU26" s="60">
        <f t="shared" si="44"/>
        <v>275.73257102713393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2.84</v>
      </c>
      <c r="EJ26" s="13">
        <f>IF('Données projet'!$A$192&gt;35,EJ25+EI26-ER25,IF(A26&lt;'Données projet'!$A$192,$EG$205^A26,IF(A26='Données projet'!$A$192,'Données projet'!$B$192,EJ25+EI26-ER25)))</f>
        <v>50.484455997861858</v>
      </c>
      <c r="EK26" s="18">
        <f>EJ26*VLOOKUP('Données projet'!$B$15,Paramètres!$A$1:$I$89,3,0)*VLOOKUP('Données projet'!$B$15,Paramètres!$A$1:$I$89,5,0)</f>
        <v>57.491698490365089</v>
      </c>
      <c r="EL26" s="14">
        <f t="shared" si="45"/>
        <v>16.532524156727764</v>
      </c>
      <c r="EM26" s="22">
        <f t="shared" si="19"/>
        <v>128.9255211103534</v>
      </c>
      <c r="EN26" s="60">
        <f t="shared" si="20"/>
        <v>413.70329888813114</v>
      </c>
      <c r="EO26" s="60">
        <f ca="1">AVERAGE(OFFSET($EN$3,0,0,'Données projet'!$E$15+1,1))-AVERAGE(OFFSET($H$3,0,0,'Données projet'!$E$15+1,1))</f>
        <v>457.62828850677369</v>
      </c>
      <c r="EP26" s="60">
        <f t="shared" si="46"/>
        <v>282.78263556175563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2.84</v>
      </c>
      <c r="FE26" s="13">
        <f>IF('Données projet'!$A$218&gt;35,FE25+FD26-FM25,IF(A26&lt;'Données projet'!$A$218,$FB$205^A26,IF(A26='Données projet'!$A$218,'Données projet'!$B$218,FE25+FD26-FM25)))</f>
        <v>50.484455997861858</v>
      </c>
      <c r="FF26" s="18">
        <f>FE26*VLOOKUP('Données projet'!$B$16,Paramètres!$A$1:$I$89,3,0)*VLOOKUP('Données projet'!$B$16,Paramètres!$A$1:$I$89,5,0)</f>
        <v>55.129025949665149</v>
      </c>
      <c r="FG26" s="14">
        <f t="shared" si="47"/>
        <v>15.930731386758243</v>
      </c>
      <c r="FH26" s="22">
        <f t="shared" si="22"/>
        <v>123.76241069427073</v>
      </c>
      <c r="FI26" s="60">
        <f t="shared" si="23"/>
        <v>408.5401884720485</v>
      </c>
      <c r="FJ26" s="60">
        <f ca="1">AVERAGE(OFFSET($FI$3,0,0,'Données projet'!$E$16+1,1))-AVERAGE(OFFSET($H$3,0,0,'Données projet'!$E$16+1,1))</f>
        <v>440.52623925652182</v>
      </c>
      <c r="FK26" s="60">
        <f t="shared" si="48"/>
        <v>272.91122662088918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6.5</v>
      </c>
      <c r="FZ26" s="13">
        <f>IF('Données projet'!$A$244&gt;35,FZ25+FY26-GH25,IF(A26&lt;'Données projet'!$A$244,$FW$205^A26,IF(A26='Données projet'!$A$244,'Données projet'!$B$244,FZ25+FY26-GH25)))</f>
        <v>56.976163428110333</v>
      </c>
      <c r="GA26" s="18">
        <f>FZ26*VLOOKUP('Données projet'!$B$17,Paramètres!$A$1:$I$89,3,0)*VLOOKUP('Données projet'!$B$17,Paramètres!$A$1:$I$89,5,0)</f>
        <v>26.664844484355637</v>
      </c>
      <c r="GB26" s="14">
        <f t="shared" si="49"/>
        <v>8.3851688821551527</v>
      </c>
      <c r="GC26" s="22">
        <f t="shared" si="25"/>
        <v>61.045439946672957</v>
      </c>
      <c r="GD26" s="60">
        <f t="shared" si="26"/>
        <v>345.82321772445073</v>
      </c>
      <c r="GE26" s="60">
        <f ca="1">AVERAGE(OFFSET($GD$3,0,0,'Données projet'!$E$17+1,1))-AVERAGE(OFFSET($H$3,0,0,'Données projet'!$E$17+1,1))</f>
        <v>317.54276561627643</v>
      </c>
      <c r="GF26" s="60">
        <f t="shared" si="50"/>
        <v>238.92443174298893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>
        <f>GU26*VLOOKUP('Données projet'!$B$18,Paramètres!$A$1:$I$89,3,0)*VLOOKUP('Données projet'!$B$18,Paramètres!$A$1:$I$89,5,0)</f>
        <v>0</v>
      </c>
      <c r="GW26" s="14" t="e">
        <f t="shared" si="51"/>
        <v>#NUM!</v>
      </c>
      <c r="GX26" s="22" t="e">
        <f t="shared" si="28"/>
        <v>#NUM!</v>
      </c>
      <c r="GY26" s="60" t="e">
        <f t="shared" si="29"/>
        <v>#NUM!</v>
      </c>
      <c r="GZ26" s="60">
        <f ca="1">AVERAGE(OFFSET($GY$3,0,0,'Données projet'!$E$18+1,1))-AVERAGE(OFFSET($H$3,0,0,'Données projet'!$E$18+1,1))</f>
        <v>79.868679770907136</v>
      </c>
      <c r="HA26" s="60">
        <f t="shared" si="52"/>
        <v>370.47471103028312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71.371210041062213</v>
      </c>
      <c r="HH26" s="23">
        <f>EXP(-LN(2)/25)*HH25+(1-EXP(-LN(2)/25))/(LN(2)/25)*Calculateur!HC26*Calculateur!HE26*VLOOKUP('Données projet'!$B$18,Paramètres!$A$1:$I$89,3,0)*0.475*44/12</f>
        <v>18.342387821535706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89.713597862597922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0">
        <f t="shared" si="0"/>
        <v>556.37089120353016</v>
      </c>
      <c r="S27" s="60">
        <f ca="1">AVERAGE(OFFSET($R$3,0,0,'Données projet'!$E$9+1,1))-AVERAGE(OFFSET($H$3,0,0,'Données projet'!$E$9+1,1))</f>
        <v>206.5885410269899</v>
      </c>
      <c r="T27" s="60">
        <f t="shared" si="34"/>
        <v>347.41156847586302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16.5</v>
      </c>
      <c r="AI27" s="14">
        <f>IF('Données projet'!$A$62&gt;35,AI26+AH27-AQ26,IF(A27&lt;'Données projet'!$A$62,$AF$205^A27,IF(A27='Données projet'!$A$62,'Données projet'!$B$62,AI26+AH27-AQ26)))</f>
        <v>205.5</v>
      </c>
      <c r="AJ27" s="14">
        <f>AI27*VLOOKUP('Données projet'!$B$10,Paramètres!$A$1:$I$89,3,0)*VLOOKUP('Données projet'!$B$10,Paramètres!$A$1:$I$89,5,0)</f>
        <v>122.88900000000001</v>
      </c>
      <c r="AK27" s="14">
        <f t="shared" si="35"/>
        <v>32.347875332170432</v>
      </c>
      <c r="AL27" s="22">
        <f t="shared" si="4"/>
        <v>270.37089120353011</v>
      </c>
      <c r="AM27" s="60">
        <f t="shared" si="5"/>
        <v>556.37089120353016</v>
      </c>
      <c r="AN27" s="60">
        <f ca="1">AVERAGE(OFFSET($AM$3,0,0,'Données projet'!$E$10+1,1))-AVERAGE(OFFSET($H$3,0,0,'Données projet'!$E$10+1,1))</f>
        <v>206.5885410269899</v>
      </c>
      <c r="AO27" s="60">
        <f t="shared" si="36"/>
        <v>347.41156847586302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3.8798864462097717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3.5757705893164631</v>
      </c>
      <c r="AX27" s="23">
        <f t="shared" si="6"/>
        <v>7.4556570355262348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2.84</v>
      </c>
      <c r="BD27" s="13">
        <f>IF('Données projet'!$A$88&gt;35,BD26+BC27-BL26,IF(A27&lt;'Données projet'!$A$88,$BA$205^A27,IF(A27='Données projet'!$A$88,'Données projet'!$B$88,BD26+BC27-BL26)))</f>
        <v>59.869828593776646</v>
      </c>
      <c r="BE27" s="14">
        <f>BD27*VLOOKUP('Données projet'!$B$11,Paramètres!$A$1:$I$89,3,0)*VLOOKUP('Données projet'!$B$11,Paramètres!$A$1:$I$89,5,0)</f>
        <v>56.972128889837862</v>
      </c>
      <c r="BF27" s="14">
        <f t="shared" si="37"/>
        <v>16.400436387837694</v>
      </c>
      <c r="BG27" s="22">
        <f t="shared" si="7"/>
        <v>127.79055119195162</v>
      </c>
      <c r="BH27" s="60">
        <f t="shared" si="8"/>
        <v>413.79055119195164</v>
      </c>
      <c r="BI27" s="60">
        <f ca="1">AVERAGE(OFFSET($BH$3,0,0,'Données projet'!$E$11+1,1))-AVERAGE(OFFSET($H$3,0,0,'Données projet'!$E$11+1,1))</f>
        <v>389.12604446638119</v>
      </c>
      <c r="BJ27" s="60">
        <f t="shared" si="38"/>
        <v>243.23852967152732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2.84</v>
      </c>
      <c r="BY27" s="13">
        <f>IF('Données projet'!$A$114&gt;35,BY26+BX27-CG26,IF(A27&lt;'Données projet'!$A$114,$BV$205^A27,IF(A27='Données projet'!$A$114,'Données projet'!$B$114,BY26+BX27-CG26)))</f>
        <v>59.869828593776646</v>
      </c>
      <c r="BZ27" s="14">
        <f>BY27*VLOOKUP('Données projet'!$B$12,Paramètres!$A$1:$I$89,3,0)*VLOOKUP('Données projet'!$B$12,Paramètres!$A$1:$I$89,5,0)</f>
        <v>54.17022091164911</v>
      </c>
      <c r="CA27" s="14">
        <f t="shared" si="39"/>
        <v>15.685665051562438</v>
      </c>
      <c r="CB27" s="22">
        <f t="shared" si="10"/>
        <v>121.66566805259345</v>
      </c>
      <c r="CC27" s="60">
        <f t="shared" si="11"/>
        <v>407.66566805259345</v>
      </c>
      <c r="CD27" s="60">
        <f ca="1">AVERAGE(OFFSET($CC$3,0,0,'Données projet'!$E$12+1,1))-AVERAGE(OFFSET($H$3,0,0,'Données projet'!$E$12+1,1))</f>
        <v>371.95849973474657</v>
      </c>
      <c r="CE27" s="60">
        <f t="shared" si="40"/>
        <v>233.32640143610547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2.84</v>
      </c>
      <c r="CT27" s="13">
        <f>IF('Données projet'!$A$140&gt;35,CT26+CS27-DB26,IF(A27&lt;'Données projet'!$A$140,$CQ$205^A27,IF(A27='Données projet'!$A$140,'Données projet'!$B$140,CT26+CS27-DB26)))</f>
        <v>59.869828593776646</v>
      </c>
      <c r="CU27" s="18">
        <f>CT27*VLOOKUP('Données projet'!$B$13,Paramètres!$A$1:$I$89,3,0)*VLOOKUP('Données projet'!$B$13,Paramètres!$A$1:$I$89,5,0)</f>
        <v>57.906098215900776</v>
      </c>
      <c r="CV27" s="14">
        <f t="shared" si="41"/>
        <v>16.637775452924981</v>
      </c>
      <c r="CW27" s="22">
        <f t="shared" si="13"/>
        <v>129.83057997320486</v>
      </c>
      <c r="CX27" s="60">
        <f t="shared" si="14"/>
        <v>415.83057997320486</v>
      </c>
      <c r="CY27" s="60">
        <f ca="1">AVERAGE(OFFSET($CX$3,0,0,'Données projet'!$E$13+1,1))-AVERAGE(OFFSET($H$3,0,0,'Données projet'!$E$13+1,1))</f>
        <v>394.8445842828649</v>
      </c>
      <c r="CZ27" s="60">
        <f t="shared" si="42"/>
        <v>246.54010105494143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9</v>
      </c>
      <c r="DO27" s="13">
        <f>IF('Données projet'!$A$166&gt;35,DO26+DN27-DW26,IF(A27&lt;'Données projet'!$A$166,$DL$205^A27,IF(A27='Données projet'!$A$166,'Données projet'!$B$166,DO26+DN27-DW26)))</f>
        <v>98</v>
      </c>
      <c r="DP27" s="18">
        <f>DO27*VLOOKUP('Données projet'!$B$14,Paramètres!$A$1:$I$89,3,0)*VLOOKUP('Données projet'!$B$14,Paramètres!$A$1:$I$89,5,0)</f>
        <v>85.612800000000007</v>
      </c>
      <c r="DQ27" s="14">
        <f t="shared" si="43"/>
        <v>23.504080242391282</v>
      </c>
      <c r="DR27" s="22">
        <f t="shared" si="16"/>
        <v>190.04523308883151</v>
      </c>
      <c r="DS27" s="60">
        <f t="shared" si="17"/>
        <v>476.04523308883154</v>
      </c>
      <c r="DT27" s="60">
        <f ca="1">AVERAGE(OFFSET($DS$3,0,0,'Données projet'!$E$14+1,1))-AVERAGE(OFFSET($H$3,0,0,'Données projet'!$E$14+1,1))</f>
        <v>266.98113257513319</v>
      </c>
      <c r="DU27" s="60">
        <f t="shared" si="44"/>
        <v>275.73257102713393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2.84</v>
      </c>
      <c r="EJ27" s="13">
        <f>IF('Données projet'!$A$192&gt;35,EJ26+EI27-ER26,IF(A27&lt;'Données projet'!$A$192,$EG$205^A27,IF(A27='Données projet'!$A$192,'Données projet'!$B$192,EJ26+EI27-ER26)))</f>
        <v>59.869828593776646</v>
      </c>
      <c r="EK27" s="18">
        <f>EJ27*VLOOKUP('Données projet'!$B$15,Paramètres!$A$1:$I$89,3,0)*VLOOKUP('Données projet'!$B$15,Paramètres!$A$1:$I$89,5,0)</f>
        <v>68.179760802592838</v>
      </c>
      <c r="EL27" s="14">
        <f t="shared" si="45"/>
        <v>19.220737211915747</v>
      </c>
      <c r="EM27" s="22">
        <f t="shared" si="19"/>
        <v>152.22253404193577</v>
      </c>
      <c r="EN27" s="60">
        <f t="shared" si="20"/>
        <v>438.22253404193577</v>
      </c>
      <c r="EO27" s="60">
        <f ca="1">AVERAGE(OFFSET($EN$3,0,0,'Données projet'!$E$15+1,1))-AVERAGE(OFFSET($H$3,0,0,'Données projet'!$E$15+1,1))</f>
        <v>457.62828850677369</v>
      </c>
      <c r="EP27" s="60">
        <f t="shared" si="46"/>
        <v>282.78263556175563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2.84</v>
      </c>
      <c r="FE27" s="13">
        <f>IF('Données projet'!$A$218&gt;35,FE26+FD27-FM26,IF(A27&lt;'Données projet'!$A$218,$FB$205^A27,IF(A27='Données projet'!$A$218,'Données projet'!$B$218,FE26+FD27-FM26)))</f>
        <v>59.869828593776646</v>
      </c>
      <c r="FF27" s="18">
        <f>FE27*VLOOKUP('Données projet'!$B$16,Paramètres!$A$1:$I$89,3,0)*VLOOKUP('Données projet'!$B$16,Paramètres!$A$1:$I$89,5,0)</f>
        <v>65.377852824404087</v>
      </c>
      <c r="FG27" s="14">
        <f t="shared" si="47"/>
        <v>18.521092041102079</v>
      </c>
      <c r="FH27" s="22">
        <f t="shared" si="22"/>
        <v>146.12399564075659</v>
      </c>
      <c r="FI27" s="60">
        <f t="shared" si="23"/>
        <v>432.12399564075656</v>
      </c>
      <c r="FJ27" s="60">
        <f ca="1">AVERAGE(OFFSET($FI$3,0,0,'Données projet'!$E$16+1,1))-AVERAGE(OFFSET($H$3,0,0,'Données projet'!$E$16+1,1))</f>
        <v>440.52623925652182</v>
      </c>
      <c r="FK27" s="60">
        <f t="shared" si="48"/>
        <v>272.91122662088918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6.5</v>
      </c>
      <c r="FZ27" s="13">
        <f>IF('Données projet'!$A$244&gt;35,FZ26+FY27-GH26,IF(A27&lt;'Données projet'!$A$244,$FW$205^A27,IF(A27='Données projet'!$A$244,'Données projet'!$B$244,FZ26+FY27-GH26)))</f>
        <v>67.924693763448758</v>
      </c>
      <c r="GA27" s="18">
        <f>FZ27*VLOOKUP('Données projet'!$B$17,Paramètres!$A$1:$I$89,3,0)*VLOOKUP('Données projet'!$B$17,Paramètres!$A$1:$I$89,5,0)</f>
        <v>31.788756681294021</v>
      </c>
      <c r="GB27" s="14">
        <f t="shared" si="49"/>
        <v>9.7940195531688623</v>
      </c>
      <c r="GC27" s="22">
        <f t="shared" si="25"/>
        <v>72.423335275022851</v>
      </c>
      <c r="GD27" s="60">
        <f t="shared" si="26"/>
        <v>358.42333527502285</v>
      </c>
      <c r="GE27" s="60">
        <f ca="1">AVERAGE(OFFSET($GD$3,0,0,'Données projet'!$E$17+1,1))-AVERAGE(OFFSET($H$3,0,0,'Données projet'!$E$17+1,1))</f>
        <v>317.54276561627643</v>
      </c>
      <c r="GF27" s="60">
        <f t="shared" si="50"/>
        <v>238.92443174298893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>
        <f>GU27*VLOOKUP('Données projet'!$B$18,Paramètres!$A$1:$I$89,3,0)*VLOOKUP('Données projet'!$B$18,Paramètres!$A$1:$I$89,5,0)</f>
        <v>0</v>
      </c>
      <c r="GW27" s="14" t="e">
        <f t="shared" si="51"/>
        <v>#NUM!</v>
      </c>
      <c r="GX27" s="22" t="e">
        <f t="shared" si="28"/>
        <v>#NUM!</v>
      </c>
      <c r="GY27" s="60" t="e">
        <f t="shared" si="29"/>
        <v>#NUM!</v>
      </c>
      <c r="GZ27" s="60">
        <f ca="1">AVERAGE(OFFSET($GY$3,0,0,'Données projet'!$E$18+1,1))-AVERAGE(OFFSET($H$3,0,0,'Données projet'!$E$18+1,1))</f>
        <v>79.868679770907136</v>
      </c>
      <c r="HA27" s="60">
        <f t="shared" si="52"/>
        <v>370.47471103028312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69.971664144296668</v>
      </c>
      <c r="HH27" s="23">
        <f>EXP(-LN(2)/25)*HH26+(1-EXP(-LN(2)/25))/(LN(2)/25)*Calculateur!HC27*Calculateur!HE27*VLOOKUP('Données projet'!$B$18,Paramètres!$A$1:$I$89,3,0)*0.475*44/12</f>
        <v>17.840814261971559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87.812478406268227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0">
        <f t="shared" si="0"/>
        <v>578.75703699758935</v>
      </c>
      <c r="S28" s="60">
        <f ca="1">AVERAGE(OFFSET($R$3,0,0,'Données projet'!$E$9+1,1))-AVERAGE(OFFSET($H$3,0,0,'Données projet'!$E$9+1,1))</f>
        <v>206.5885410269899</v>
      </c>
      <c r="T28" s="60">
        <f t="shared" si="34"/>
        <v>347.41156847586302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222</v>
      </c>
      <c r="AG28" s="13">
        <f>VLOOKUP(A28,'Données projet'!$A$61:$I$81,9,0)</f>
        <v>16.5</v>
      </c>
      <c r="AH28" s="13">
        <f t="array" ref="AH28">INDEX(AG:AG,MIN(IF(ISNUMBER(AG28:AG224),ROW(AG28:AG224),"")))</f>
        <v>16.5</v>
      </c>
      <c r="AI28" s="14">
        <f>IF('Données projet'!$A$62&gt;35,AI27+AH28-AQ27,IF(A28&lt;'Données projet'!$A$62,$AF$205^A28,IF(A28='Données projet'!$A$62,'Données projet'!$B$62,AI27+AH28-AQ27)))</f>
        <v>222</v>
      </c>
      <c r="AJ28" s="14">
        <f>AI28*VLOOKUP('Données projet'!$B$10,Paramètres!$A$1:$I$89,3,0)*VLOOKUP('Données projet'!$B$10,Paramètres!$A$1:$I$89,5,0)</f>
        <v>132.756</v>
      </c>
      <c r="AK28" s="14">
        <f t="shared" si="35"/>
        <v>34.632410397339967</v>
      </c>
      <c r="AL28" s="22">
        <f t="shared" si="4"/>
        <v>291.53481477536712</v>
      </c>
      <c r="AM28" s="60">
        <f t="shared" si="5"/>
        <v>578.75703699758935</v>
      </c>
      <c r="AN28" s="60">
        <f ca="1">AVERAGE(OFFSET($AM$3,0,0,'Données projet'!$E$10+1,1))-AVERAGE(OFFSET($H$3,0,0,'Données projet'!$E$10+1,1))</f>
        <v>206.5885410269899</v>
      </c>
      <c r="AO28" s="60">
        <f t="shared" si="36"/>
        <v>347.41156847586302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0.18000000000000002</v>
      </c>
      <c r="AS28" s="17">
        <f>IF(ISNA(VLOOKUP(A28,'Données projet'!$A$61:$I$81,6,0)),0%,VLOOKUP(A28,'Données projet'!$A$61:$I$81,6,0)*VLOOKUP('Données projet'!$B$10,Paramètres!$A$1:$I$89,7,0))</f>
        <v>9.0000000000000011E-2</v>
      </c>
      <c r="AT28" s="17">
        <f>IF(ISNA(VLOOKUP(A28,'Données projet'!$A$61:$I$81,7,0)),0%,VLOOKUP(A28,'Données projet'!$A$61:$I$81,7,0))</f>
        <v>0.4</v>
      </c>
      <c r="AU28" s="23">
        <f>EXP(-LN(2)/35)*AU27+(1-EXP(-LN(2)/35))/(LN(2)/35)*AQ28*AR28*VLOOKUP('Données projet'!$B$10,Paramètres!$A$1:$I$89,3,0)*0.475*44/12</f>
        <v>11.514539730606312</v>
      </c>
      <c r="AV28" s="23">
        <f>EXP(-LN(2)/25)*AV27+(1-EXP(-LN(2)/25))/(LN(2)/25)*Calculateur!AQ28*Calculateur!AS28*VLOOKUP('Données projet'!$B$10,Paramètres!$A$1:$I$89,3,0)*0.475*44/12</f>
        <v>3.8401876937302988</v>
      </c>
      <c r="AW28" s="23">
        <f>EXP(-LN(2)/2)*AW27+(1-EXP(-LN(2)/2))/(LN(2)/2)*AQ28*AT28*VLOOKUP('Données projet'!$B$10,Paramètres!$A$1:$I$89,3,0)*0.475*44/12</f>
        <v>17.153269772362943</v>
      </c>
      <c r="AX28" s="23">
        <f t="shared" si="6"/>
        <v>32.507997196699556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71</v>
      </c>
      <c r="BB28" s="13">
        <f>VLOOKUP(A28,'Données projet'!$A$87:$I$107,9,0)</f>
        <v>2.84</v>
      </c>
      <c r="BC28" s="13">
        <f t="array" ref="BC28">INDEX(BB:BB,MIN(IF(ISNUMBER(BB28:BB224),ROW(BB28:BB224),"")))</f>
        <v>2.84</v>
      </c>
      <c r="BD28" s="13">
        <f>IF('Données projet'!$A$88&gt;35,BD27+BC28-BL27,IF(A28&lt;'Données projet'!$A$88,$BA$205^A28,IF(A28='Données projet'!$A$88,'Données projet'!$B$88,BD27+BC28-BL27)))</f>
        <v>71</v>
      </c>
      <c r="BE28" s="14">
        <f>BD28*VLOOKUP('Données projet'!$B$11,Paramètres!$A$1:$I$89,3,0)*VLOOKUP('Données projet'!$B$11,Paramètres!$A$1:$I$89,5,0)</f>
        <v>67.563600000000008</v>
      </c>
      <c r="BF28" s="14">
        <f t="shared" si="37"/>
        <v>19.06717177504256</v>
      </c>
      <c r="BG28" s="22">
        <f t="shared" si="7"/>
        <v>150.88192750819914</v>
      </c>
      <c r="BH28" s="60">
        <f t="shared" si="8"/>
        <v>438.10414973042134</v>
      </c>
      <c r="BI28" s="60">
        <f ca="1">AVERAGE(OFFSET($BH$3,0,0,'Données projet'!$E$11+1,1))-AVERAGE(OFFSET($H$3,0,0,'Données projet'!$E$11+1,1))</f>
        <v>389.12604446638119</v>
      </c>
      <c r="BJ28" s="60">
        <f t="shared" si="38"/>
        <v>243.23852967152732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71</v>
      </c>
      <c r="BW28" s="13">
        <f>VLOOKUP(A28,'Données projet'!$A$113:$I$133,9,0)</f>
        <v>2.84</v>
      </c>
      <c r="BX28" s="13">
        <f t="array" ref="BX28">INDEX(BW:BW,MIN(IF(ISNUMBER(BW28:BW224),ROW(BW28:BW224),"")))</f>
        <v>2.84</v>
      </c>
      <c r="BY28" s="13">
        <f>IF('Données projet'!$A$114&gt;35,BY27+BX28-CG27,IF(A28&lt;'Données projet'!$A$114,$BV$205^A28,IF(A28='Données projet'!$A$114,'Données projet'!$B$114,BY27+BX28-CG27)))</f>
        <v>71</v>
      </c>
      <c r="BZ28" s="14">
        <f>BY28*VLOOKUP('Données projet'!$B$12,Paramètres!$A$1:$I$89,3,0)*VLOOKUP('Données projet'!$B$12,Paramètres!$A$1:$I$89,5,0)</f>
        <v>64.240800000000007</v>
      </c>
      <c r="CA28" s="14">
        <f t="shared" si="39"/>
        <v>18.236177554745847</v>
      </c>
      <c r="CB28" s="22">
        <f t="shared" si="10"/>
        <v>143.6474025745157</v>
      </c>
      <c r="CC28" s="60">
        <f t="shared" si="11"/>
        <v>430.86962479673792</v>
      </c>
      <c r="CD28" s="60">
        <f ca="1">AVERAGE(OFFSET($CC$3,0,0,'Données projet'!$E$12+1,1))-AVERAGE(OFFSET($H$3,0,0,'Données projet'!$E$12+1,1))</f>
        <v>371.95849973474657</v>
      </c>
      <c r="CE28" s="60">
        <f t="shared" si="40"/>
        <v>233.32640143610547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1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6.8296252186796416</v>
      </c>
      <c r="CN28" s="24">
        <f t="shared" si="12"/>
        <v>6.8296252186796416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71</v>
      </c>
      <c r="CR28" s="13">
        <f>VLOOKUP(A28,'Données projet'!$A$139:$I$159,9,0)</f>
        <v>2.84</v>
      </c>
      <c r="CS28" s="13">
        <f t="array" ref="CS28">INDEX(CR:CR,MIN(IF(ISNUMBER(CR28:CR224),ROW(CR28:CR224),"")))</f>
        <v>2.84</v>
      </c>
      <c r="CT28" s="13">
        <f>IF('Données projet'!$A$140&gt;35,CT27+CS28-DB27,IF(A28&lt;'Données projet'!$A$140,$CQ$205^A28,IF(A28='Données projet'!$A$140,'Données projet'!$B$140,CT27+CS28-DB27)))</f>
        <v>71</v>
      </c>
      <c r="CU28" s="18">
        <f>CT28*VLOOKUP('Données projet'!$B$13,Paramètres!$A$1:$I$89,3,0)*VLOOKUP('Données projet'!$B$13,Paramètres!$A$1:$I$89,5,0)</f>
        <v>68.671200000000013</v>
      </c>
      <c r="CV28" s="14">
        <f t="shared" si="41"/>
        <v>19.343102525659866</v>
      </c>
      <c r="CW28" s="22">
        <f t="shared" si="13"/>
        <v>153.29157689885758</v>
      </c>
      <c r="CX28" s="60">
        <f t="shared" si="14"/>
        <v>440.51379912107984</v>
      </c>
      <c r="CY28" s="60">
        <f ca="1">AVERAGE(OFFSET($CX$3,0,0,'Données projet'!$E$13+1,1))-AVERAGE(OFFSET($H$3,0,0,'Données projet'!$E$13+1,1))</f>
        <v>394.8445842828649</v>
      </c>
      <c r="CZ28" s="60">
        <f t="shared" si="42"/>
        <v>246.54010105494143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1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7.3006338544506519</v>
      </c>
      <c r="DI28" s="24">
        <f t="shared" si="15"/>
        <v>7.3006338544506519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107</v>
      </c>
      <c r="DM28" s="13">
        <f>VLOOKUP(A28,'Données projet'!$A$165:$I$185,9,0)</f>
        <v>9</v>
      </c>
      <c r="DN28" s="13">
        <f t="array" ref="DN28">INDEX(DM:DM,MIN(IF(ISNUMBER(DM28:DM224),ROW(DM28:DM224),"")))</f>
        <v>9</v>
      </c>
      <c r="DO28" s="13">
        <f>IF('Données projet'!$A$166&gt;35,DO27+DN28-DW27,IF(A28&lt;'Données projet'!$A$166,$DL$205^A28,IF(A28='Données projet'!$A$166,'Données projet'!$B$166,DO27+DN28-DW27)))</f>
        <v>107</v>
      </c>
      <c r="DP28" s="18">
        <f>DO28*VLOOKUP('Données projet'!$B$14,Paramètres!$A$1:$I$89,3,0)*VLOOKUP('Données projet'!$B$14,Paramètres!$A$1:$I$89,5,0)</f>
        <v>93.475200000000015</v>
      </c>
      <c r="DQ28" s="14">
        <f t="shared" si="43"/>
        <v>25.401502539965662</v>
      </c>
      <c r="DR28" s="22">
        <f t="shared" si="16"/>
        <v>207.04359025710687</v>
      </c>
      <c r="DS28" s="60">
        <f t="shared" si="17"/>
        <v>494.2658124793291</v>
      </c>
      <c r="DT28" s="60">
        <f ca="1">AVERAGE(OFFSET($DS$3,0,0,'Données projet'!$E$14+1,1))-AVERAGE(OFFSET($H$3,0,0,'Données projet'!$E$14+1,1))</f>
        <v>266.98113257513319</v>
      </c>
      <c r="DU28" s="60">
        <f t="shared" si="44"/>
        <v>275.73257102713393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26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0.215</v>
      </c>
      <c r="DZ28" s="17">
        <f>IF(ISNA(VLOOKUP(A28,'Données projet'!$A$165:$I$185,7,0)),0%,VLOOKUP(A28,'Données projet'!$A$165:$I$185,7,0))</f>
        <v>0.5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5.37722470766386</v>
      </c>
      <c r="EC28" s="23">
        <f>EXP(-LN(2)/2)*EC27+(1-EXP(-LN(2)/2))/(LN(2)/2)*DW28*DZ28*VLOOKUP('Données projet'!$B$14,Paramètres!$A$1:$I$89,3,0)*0.475*44/12</f>
        <v>10.715446463790473</v>
      </c>
      <c r="ED28" s="24">
        <f t="shared" si="18"/>
        <v>16.092671171454334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71</v>
      </c>
      <c r="EH28" s="13">
        <f>VLOOKUP(A28,'Données projet'!$A$191:$I$211,9,0)</f>
        <v>2.84</v>
      </c>
      <c r="EI28" s="13">
        <f t="array" ref="EI28">INDEX(EH:EH,MIN(IF(ISNUMBER(EH28:EH224),ROW(EH28:EH224),"")))</f>
        <v>2.84</v>
      </c>
      <c r="EJ28" s="13">
        <f>IF('Données projet'!$A$192&gt;35,EJ27+EI28-ER27,IF(A28&lt;'Données projet'!$A$192,$EG$205^A28,IF(A28='Données projet'!$A$192,'Données projet'!$B$192,EJ27+EI28-ER27)))</f>
        <v>71</v>
      </c>
      <c r="EK28" s="18">
        <f>EJ28*VLOOKUP('Données projet'!$B$15,Paramètres!$A$1:$I$89,3,0)*VLOOKUP('Données projet'!$B$15,Paramètres!$A$1:$I$89,5,0)</f>
        <v>80.854799999999997</v>
      </c>
      <c r="EL28" s="14">
        <f t="shared" si="45"/>
        <v>22.346057714313609</v>
      </c>
      <c r="EM28" s="22">
        <f t="shared" si="19"/>
        <v>179.7414938524295</v>
      </c>
      <c r="EN28" s="60">
        <f t="shared" si="20"/>
        <v>466.96371607465176</v>
      </c>
      <c r="EO28" s="60">
        <f ca="1">AVERAGE(OFFSET($EN$3,0,0,'Données projet'!$E$15+1,1))-AVERAGE(OFFSET($H$3,0,0,'Données projet'!$E$15+1,1))</f>
        <v>457.62828850677369</v>
      </c>
      <c r="EP28" s="60">
        <f t="shared" si="46"/>
        <v>282.78263556175563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8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71</v>
      </c>
      <c r="FC28" s="13">
        <f>VLOOKUP(A28,'Données projet'!$A$217:$I$237,9,0)</f>
        <v>2.84</v>
      </c>
      <c r="FD28" s="13">
        <f t="array" ref="FD28">INDEX(FC:FC,MIN(IF(ISNUMBER(FC28:FC224),ROW(FC28:FC224),"")))</f>
        <v>2.84</v>
      </c>
      <c r="FE28" s="13">
        <f>IF('Données projet'!$A$218&gt;35,FE27+FD28-FM27,IF(A28&lt;'Données projet'!$A$218,$FB$205^A28,IF(A28='Données projet'!$A$218,'Données projet'!$B$218,FE27+FD28-FM27)))</f>
        <v>71</v>
      </c>
      <c r="FF28" s="18">
        <f>FE28*VLOOKUP('Données projet'!$B$16,Paramètres!$A$1:$I$89,3,0)*VLOOKUP('Données projet'!$B$16,Paramètres!$A$1:$I$89,5,0)</f>
        <v>77.531999999999996</v>
      </c>
      <c r="FG28" s="14">
        <f t="shared" si="47"/>
        <v>21.532649196514885</v>
      </c>
      <c r="FH28" s="22">
        <f t="shared" si="22"/>
        <v>172.53759735059677</v>
      </c>
      <c r="FI28" s="60">
        <f t="shared" si="23"/>
        <v>459.75981957281897</v>
      </c>
      <c r="FJ28" s="60">
        <f ca="1">AVERAGE(OFFSET($FI$3,0,0,'Données projet'!$E$16+1,1))-AVERAGE(OFFSET($H$3,0,0,'Données projet'!$E$16+1,1))</f>
        <v>440.52623925652182</v>
      </c>
      <c r="FK28" s="60">
        <f t="shared" si="48"/>
        <v>272.91122662088918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8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6.5</v>
      </c>
      <c r="FZ28" s="13">
        <f>IF('Données projet'!$A$244&gt;35,FZ27+FY28-GH27,IF(A28&lt;'Données projet'!$A$244,$FW$205^A28,IF(A28='Données projet'!$A$244,'Données projet'!$B$244,FZ27+FY28-GH27)))</f>
        <v>80.977091914581294</v>
      </c>
      <c r="GA28" s="18">
        <f>FZ28*VLOOKUP('Données projet'!$B$17,Paramètres!$A$1:$I$89,3,0)*VLOOKUP('Données projet'!$B$17,Paramètres!$A$1:$I$89,5,0)</f>
        <v>37.897279016024044</v>
      </c>
      <c r="GB28" s="14">
        <f t="shared" si="49"/>
        <v>11.43958104552808</v>
      </c>
      <c r="GC28" s="22">
        <f t="shared" si="25"/>
        <v>85.928364607203278</v>
      </c>
      <c r="GD28" s="60">
        <f t="shared" si="26"/>
        <v>373.15058682942549</v>
      </c>
      <c r="GE28" s="60">
        <f ca="1">AVERAGE(OFFSET($GD$3,0,0,'Données projet'!$E$17+1,1))-AVERAGE(OFFSET($H$3,0,0,'Données projet'!$E$17+1,1))</f>
        <v>317.54276561627643</v>
      </c>
      <c r="GF28" s="60">
        <f t="shared" si="50"/>
        <v>238.92443174298893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>
        <f>GU28*VLOOKUP('Données projet'!$B$18,Paramètres!$A$1:$I$89,3,0)*VLOOKUP('Données projet'!$B$18,Paramètres!$A$1:$I$89,5,0)</f>
        <v>0</v>
      </c>
      <c r="GW28" s="14" t="e">
        <f t="shared" si="51"/>
        <v>#NUM!</v>
      </c>
      <c r="GX28" s="22" t="e">
        <f t="shared" si="28"/>
        <v>#NUM!</v>
      </c>
      <c r="GY28" s="60" t="e">
        <f t="shared" si="29"/>
        <v>#NUM!</v>
      </c>
      <c r="GZ28" s="60">
        <f ca="1">AVERAGE(OFFSET($GY$3,0,0,'Données projet'!$E$18+1,1))-AVERAGE(OFFSET($H$3,0,0,'Données projet'!$E$18+1,1))</f>
        <v>79.868679770907136</v>
      </c>
      <c r="HA28" s="60">
        <f t="shared" si="52"/>
        <v>370.47471103028312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68.599562488927987</v>
      </c>
      <c r="HH28" s="23">
        <f>EXP(-LN(2)/25)*HH27+(1-EXP(-LN(2)/25))/(LN(2)/25)*Calculateur!HC28*Calculateur!HE28*VLOOKUP('Données projet'!$B$18,Paramètres!$A$1:$I$89,3,0)*0.475*44/12</f>
        <v>17.352956257770302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85.952518746698289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0">
        <f t="shared" si="0"/>
        <v>528.34988770855341</v>
      </c>
      <c r="S29" s="60">
        <f ca="1">AVERAGE(OFFSET($R$3,0,0,'Données projet'!$E$9+1,1))-AVERAGE(OFFSET($H$3,0,0,'Données projet'!$E$9+1,1))</f>
        <v>206.5885410269899</v>
      </c>
      <c r="T29" s="60">
        <f t="shared" si="34"/>
        <v>347.41156847586302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13.8</v>
      </c>
      <c r="AI29" s="14">
        <f>IF('Données projet'!$A$62&gt;35,AI28+AH29-AQ28,IF(A29&lt;'Données projet'!$A$62,$AF$205^A29,IF(A29='Données projet'!$A$62,'Données projet'!$B$62,AI28+AH29-AQ28)))</f>
        <v>181.8</v>
      </c>
      <c r="AJ29" s="14">
        <f>AI29*VLOOKUP('Données projet'!$B$10,Paramètres!$A$1:$I$89,3,0)*VLOOKUP('Données projet'!$B$10,Paramètres!$A$1:$I$89,5,0)</f>
        <v>108.71640000000002</v>
      </c>
      <c r="AK29" s="14">
        <f t="shared" si="35"/>
        <v>29.028352113364011</v>
      </c>
      <c r="AL29" s="22">
        <f t="shared" si="4"/>
        <v>239.90544326410898</v>
      </c>
      <c r="AM29" s="60">
        <f t="shared" si="5"/>
        <v>528.34988770855341</v>
      </c>
      <c r="AN29" s="60">
        <f ca="1">AVERAGE(OFFSET($AM$3,0,0,'Données projet'!$E$10+1,1))-AVERAGE(OFFSET($H$3,0,0,'Données projet'!$E$10+1,1))</f>
        <v>206.5885410269899</v>
      </c>
      <c r="AO29" s="60">
        <f t="shared" si="36"/>
        <v>347.41156847586302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11.288746629664876</v>
      </c>
      <c r="AV29" s="23">
        <f>EXP(-LN(2)/25)*AV28+(1-EXP(-LN(2)/25))/(LN(2)/25)*Calculateur!AQ29*Calculateur!AS29*VLOOKUP('Données projet'!$B$10,Paramètres!$A$1:$I$89,3,0)*0.475*44/12</f>
        <v>3.7351775592985499</v>
      </c>
      <c r="AW29" s="23">
        <f>EXP(-LN(2)/2)*AW28+(1-EXP(-LN(2)/2))/(LN(2)/2)*AQ29*AT29*VLOOKUP('Données projet'!$B$10,Paramètres!$A$1:$I$89,3,0)*0.475*44/12</f>
        <v>12.129193375560064</v>
      </c>
      <c r="AX29" s="23">
        <f t="shared" si="6"/>
        <v>27.153117564523491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70</v>
      </c>
      <c r="BE29" s="14">
        <f>BD29*VLOOKUP('Données projet'!$B$11,Paramètres!$A$1:$I$89,3,0)*VLOOKUP('Données projet'!$B$11,Paramètres!$A$1:$I$89,5,0)</f>
        <v>66.611999999999995</v>
      </c>
      <c r="BF29" s="14">
        <f t="shared" si="37"/>
        <v>18.829683939536395</v>
      </c>
      <c r="BG29" s="22">
        <f t="shared" si="7"/>
        <v>148.81093286135922</v>
      </c>
      <c r="BH29" s="60">
        <f t="shared" si="8"/>
        <v>437.25537730580368</v>
      </c>
      <c r="BI29" s="60">
        <f ca="1">AVERAGE(OFFSET($BH$3,0,0,'Données projet'!$E$11+1,1))-AVERAGE(OFFSET($H$3,0,0,'Données projet'!$E$11+1,1))</f>
        <v>389.12604446638119</v>
      </c>
      <c r="BJ29" s="60">
        <f t="shared" si="38"/>
        <v>243.23852967152732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70</v>
      </c>
      <c r="BZ29" s="14">
        <f>BY29*VLOOKUP('Données projet'!$B$12,Paramètres!$A$1:$I$89,3,0)*VLOOKUP('Données projet'!$B$12,Paramètres!$A$1:$I$89,5,0)</f>
        <v>63.335999999999991</v>
      </c>
      <c r="CA29" s="14">
        <f t="shared" si="39"/>
        <v>18.009040022946227</v>
      </c>
      <c r="CB29" s="22">
        <f t="shared" si="10"/>
        <v>141.67594470663133</v>
      </c>
      <c r="CC29" s="60">
        <f t="shared" si="11"/>
        <v>430.12038915107576</v>
      </c>
      <c r="CD29" s="60">
        <f ca="1">AVERAGE(OFFSET($CC$3,0,0,'Données projet'!$E$12+1,1))-AVERAGE(OFFSET($H$3,0,0,'Données projet'!$E$12+1,1))</f>
        <v>371.95849973474657</v>
      </c>
      <c r="CE29" s="60">
        <f t="shared" si="40"/>
        <v>233.32640143610547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4.8292743050910323</v>
      </c>
      <c r="CN29" s="24">
        <f t="shared" si="12"/>
        <v>4.8292743050910323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70</v>
      </c>
      <c r="CU29" s="18">
        <f>CT29*VLOOKUP('Données projet'!$B$13,Paramètres!$A$1:$I$89,3,0)*VLOOKUP('Données projet'!$B$13,Paramètres!$A$1:$I$89,5,0)</f>
        <v>67.703999999999994</v>
      </c>
      <c r="CV29" s="14">
        <f t="shared" si="41"/>
        <v>19.102177882771514</v>
      </c>
      <c r="CW29" s="22">
        <f t="shared" si="13"/>
        <v>151.18742647916039</v>
      </c>
      <c r="CX29" s="60">
        <f t="shared" si="14"/>
        <v>439.63187092360488</v>
      </c>
      <c r="CY29" s="60">
        <f ca="1">AVERAGE(OFFSET($CX$3,0,0,'Données projet'!$E$13+1,1))-AVERAGE(OFFSET($H$3,0,0,'Données projet'!$E$13+1,1))</f>
        <v>394.8445842828649</v>
      </c>
      <c r="CZ29" s="60">
        <f t="shared" si="42"/>
        <v>246.54010105494143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5.1623277054421388</v>
      </c>
      <c r="DI29" s="24">
        <f t="shared" si="15"/>
        <v>5.1623277054421388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8.6</v>
      </c>
      <c r="DO29" s="13">
        <f>IF('Données projet'!$A$166&gt;35,DO28+DN29-DW28,IF(A29&lt;'Données projet'!$A$166,$DL$205^A29,IF(A29='Données projet'!$A$166,'Données projet'!$B$166,DO28+DN29-DW28)))</f>
        <v>89.6</v>
      </c>
      <c r="DP29" s="18">
        <f>DO29*VLOOKUP('Données projet'!$B$14,Paramètres!$A$1:$I$89,3,0)*VLOOKUP('Données projet'!$B$14,Paramètres!$A$1:$I$89,5,0)</f>
        <v>78.274560000000008</v>
      </c>
      <c r="DQ29" s="14">
        <f t="shared" si="43"/>
        <v>21.714771212170209</v>
      </c>
      <c r="DR29" s="22">
        <f t="shared" si="16"/>
        <v>174.14808519452978</v>
      </c>
      <c r="DS29" s="60">
        <f t="shared" si="17"/>
        <v>462.59252963897427</v>
      </c>
      <c r="DT29" s="60">
        <f ca="1">AVERAGE(OFFSET($DS$3,0,0,'Données projet'!$E$14+1,1))-AVERAGE(OFFSET($H$3,0,0,'Données projet'!$E$14+1,1))</f>
        <v>266.98113257513319</v>
      </c>
      <c r="DU29" s="60">
        <f t="shared" si="44"/>
        <v>275.73257102713393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5.2301842152568341</v>
      </c>
      <c r="EC29" s="23">
        <f>EXP(-LN(2)/2)*EC28+(1-EXP(-LN(2)/2))/(LN(2)/2)*DW29*DZ29*VLOOKUP('Données projet'!$B$14,Paramètres!$A$1:$I$89,3,0)*0.475*44/12</f>
        <v>7.5769648579876545</v>
      </c>
      <c r="ED29" s="24">
        <f t="shared" si="18"/>
        <v>12.807149073244489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</v>
      </c>
      <c r="EJ29" s="13">
        <f>IF('Données projet'!$A$192&gt;35,EJ28+EI29-ER28,IF(A29&lt;'Données projet'!$A$192,$EG$205^A29,IF(A29='Données projet'!$A$192,'Données projet'!$B$192,EJ28+EI29-ER28)))</f>
        <v>70</v>
      </c>
      <c r="EK29" s="18">
        <f>EJ29*VLOOKUP('Données projet'!$B$15,Paramètres!$A$1:$I$89,3,0)*VLOOKUP('Données projet'!$B$15,Paramètres!$A$1:$I$89,5,0)</f>
        <v>79.716000000000008</v>
      </c>
      <c r="EL29" s="14">
        <f t="shared" si="45"/>
        <v>22.067730286351054</v>
      </c>
      <c r="EM29" s="22">
        <f t="shared" si="19"/>
        <v>177.27333024872806</v>
      </c>
      <c r="EN29" s="60">
        <f t="shared" si="20"/>
        <v>465.71777469317249</v>
      </c>
      <c r="EO29" s="60">
        <f ca="1">AVERAGE(OFFSET($EN$3,0,0,'Données projet'!$E$15+1,1))-AVERAGE(OFFSET($H$3,0,0,'Données projet'!$E$15+1,1))</f>
        <v>457.62828850677369</v>
      </c>
      <c r="EP29" s="60">
        <f t="shared" si="46"/>
        <v>282.78263556175563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7</v>
      </c>
      <c r="FE29" s="13">
        <f>IF('Données projet'!$A$218&gt;35,FE28+FD29-FM28,IF(A29&lt;'Données projet'!$A$218,$FB$205^A29,IF(A29='Données projet'!$A$218,'Données projet'!$B$218,FE28+FD29-FM28)))</f>
        <v>70</v>
      </c>
      <c r="FF29" s="18">
        <f>FE29*VLOOKUP('Données projet'!$B$16,Paramètres!$A$1:$I$89,3,0)*VLOOKUP('Données projet'!$B$16,Paramètres!$A$1:$I$89,5,0)</f>
        <v>76.44</v>
      </c>
      <c r="FG29" s="14">
        <f t="shared" si="47"/>
        <v>21.264453036605779</v>
      </c>
      <c r="FH29" s="22">
        <f t="shared" si="22"/>
        <v>170.16858903875504</v>
      </c>
      <c r="FI29" s="60">
        <f t="shared" si="23"/>
        <v>458.6130334831995</v>
      </c>
      <c r="FJ29" s="60">
        <f ca="1">AVERAGE(OFFSET($FI$3,0,0,'Données projet'!$E$16+1,1))-AVERAGE(OFFSET($H$3,0,0,'Données projet'!$E$16+1,1))</f>
        <v>440.52623925652182</v>
      </c>
      <c r="FK29" s="60">
        <f t="shared" si="48"/>
        <v>272.91122662088918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6.5</v>
      </c>
      <c r="FZ29" s="13">
        <f>IF('Données projet'!$A$244&gt;35,FZ28+FY29-GH28,IF(A29&lt;'Données projet'!$A$244,$FW$205^A29,IF(A29='Données projet'!$A$244,'Données projet'!$B$244,FZ28+FY29-GH28)))</f>
        <v>96.537636780206071</v>
      </c>
      <c r="GA29" s="18">
        <f>FZ29*VLOOKUP('Données projet'!$B$17,Paramètres!$A$1:$I$89,3,0)*VLOOKUP('Données projet'!$B$17,Paramètres!$A$1:$I$89,5,0)</f>
        <v>45.179614013136444</v>
      </c>
      <c r="GB29" s="14">
        <f t="shared" si="49"/>
        <v>13.361624794271938</v>
      </c>
      <c r="GC29" s="22">
        <f t="shared" si="25"/>
        <v>101.95932425623626</v>
      </c>
      <c r="GD29" s="60">
        <f t="shared" si="26"/>
        <v>390.4037687006807</v>
      </c>
      <c r="GE29" s="60">
        <f ca="1">AVERAGE(OFFSET($GD$3,0,0,'Données projet'!$E$17+1,1))-AVERAGE(OFFSET($H$3,0,0,'Données projet'!$E$17+1,1))</f>
        <v>317.54276561627643</v>
      </c>
      <c r="GF29" s="60">
        <f t="shared" si="50"/>
        <v>238.92443174298893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>
        <f>GU29*VLOOKUP('Données projet'!$B$18,Paramètres!$A$1:$I$89,3,0)*VLOOKUP('Données projet'!$B$18,Paramètres!$A$1:$I$89,5,0)</f>
        <v>0</v>
      </c>
      <c r="GW29" s="14" t="e">
        <f t="shared" si="51"/>
        <v>#NUM!</v>
      </c>
      <c r="GX29" s="22" t="e">
        <f t="shared" si="28"/>
        <v>#NUM!</v>
      </c>
      <c r="GY29" s="60" t="e">
        <f t="shared" si="29"/>
        <v>#NUM!</v>
      </c>
      <c r="GZ29" s="60">
        <f ca="1">AVERAGE(OFFSET($GY$3,0,0,'Données projet'!$E$18+1,1))-AVERAGE(OFFSET($H$3,0,0,'Données projet'!$E$18+1,1))</f>
        <v>79.868679770907136</v>
      </c>
      <c r="HA29" s="60">
        <f t="shared" si="52"/>
        <v>370.47471103028312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67.254366910121718</v>
      </c>
      <c r="HH29" s="23">
        <f>EXP(-LN(2)/25)*HH28+(1-EXP(-LN(2)/25))/(LN(2)/25)*Calculateur!HC29*Calculateur!HE29*VLOOKUP('Données projet'!$B$18,Paramètres!$A$1:$I$89,3,0)*0.475*44/12</f>
        <v>16.878438756349265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84.132805666470986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0">
        <f t="shared" si="0"/>
        <v>547.32147029642249</v>
      </c>
      <c r="S30" s="60">
        <f ca="1">AVERAGE(OFFSET($R$3,0,0,'Données projet'!$E$9+1,1))-AVERAGE(OFFSET($H$3,0,0,'Données projet'!$E$9+1,1))</f>
        <v>206.5885410269899</v>
      </c>
      <c r="T30" s="60">
        <f t="shared" si="34"/>
        <v>347.41156847586302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13.8</v>
      </c>
      <c r="AI30" s="14">
        <f>IF('Données projet'!$A$62&gt;35,AI29+AH30-AQ29,IF(A30&lt;'Données projet'!$A$62,$AF$205^A30,IF(A30='Données projet'!$A$62,'Données projet'!$B$62,AI29+AH30-AQ29)))</f>
        <v>195.60000000000002</v>
      </c>
      <c r="AJ30" s="14">
        <f>AI30*VLOOKUP('Données projet'!$B$10,Paramètres!$A$1:$I$89,3,0)*VLOOKUP('Données projet'!$B$10,Paramètres!$A$1:$I$89,5,0)</f>
        <v>116.96880000000002</v>
      </c>
      <c r="AK30" s="14">
        <f t="shared" si="35"/>
        <v>30.966972418998537</v>
      </c>
      <c r="AL30" s="22">
        <f t="shared" si="4"/>
        <v>257.6548036297558</v>
      </c>
      <c r="AM30" s="60">
        <f t="shared" si="5"/>
        <v>547.32147029642249</v>
      </c>
      <c r="AN30" s="60">
        <f ca="1">AVERAGE(OFFSET($AM$3,0,0,'Données projet'!$E$10+1,1))-AVERAGE(OFFSET($H$3,0,0,'Données projet'!$E$10+1,1))</f>
        <v>206.5885410269899</v>
      </c>
      <c r="AO30" s="60">
        <f t="shared" si="36"/>
        <v>347.41156847586302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11.067381193712711</v>
      </c>
      <c r="AV30" s="23">
        <f>EXP(-LN(2)/25)*AV29+(1-EXP(-LN(2)/25))/(LN(2)/25)*Calculateur!AQ30*Calculateur!AS30*VLOOKUP('Données projet'!$B$10,Paramètres!$A$1:$I$89,3,0)*0.475*44/12</f>
        <v>3.6330389325150803</v>
      </c>
      <c r="AW30" s="23">
        <f>EXP(-LN(2)/2)*AW29+(1-EXP(-LN(2)/2))/(LN(2)/2)*AQ30*AT30*VLOOKUP('Données projet'!$B$10,Paramètres!$A$1:$I$89,3,0)*0.475*44/12</f>
        <v>8.5766348861814716</v>
      </c>
      <c r="AX30" s="23">
        <f t="shared" si="6"/>
        <v>23.277055012409264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77</v>
      </c>
      <c r="BE30" s="14">
        <f>BD30*VLOOKUP('Données projet'!$B$11,Paramètres!$A$1:$I$89,3,0)*VLOOKUP('Données projet'!$B$11,Paramètres!$A$1:$I$89,5,0)</f>
        <v>73.273200000000003</v>
      </c>
      <c r="BF30" s="14">
        <f t="shared" si="37"/>
        <v>20.484133942460197</v>
      </c>
      <c r="BG30" s="22">
        <f t="shared" si="7"/>
        <v>163.29402328311821</v>
      </c>
      <c r="BH30" s="60">
        <f t="shared" si="8"/>
        <v>452.96068994978486</v>
      </c>
      <c r="BI30" s="60">
        <f ca="1">AVERAGE(OFFSET($BH$3,0,0,'Données projet'!$E$11+1,1))-AVERAGE(OFFSET($H$3,0,0,'Données projet'!$E$11+1,1))</f>
        <v>389.12604446638119</v>
      </c>
      <c r="BJ30" s="60">
        <f t="shared" si="38"/>
        <v>243.23852967152732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77</v>
      </c>
      <c r="BZ30" s="14">
        <f>BY30*VLOOKUP('Données projet'!$B$12,Paramètres!$A$1:$I$89,3,0)*VLOOKUP('Données projet'!$B$12,Paramètres!$A$1:$I$89,5,0)</f>
        <v>69.669600000000003</v>
      </c>
      <c r="CA30" s="14">
        <f t="shared" si="39"/>
        <v>19.591385027476957</v>
      </c>
      <c r="CB30" s="22">
        <f t="shared" si="10"/>
        <v>155.46288225618903</v>
      </c>
      <c r="CC30" s="60">
        <f t="shared" si="11"/>
        <v>445.12954892285575</v>
      </c>
      <c r="CD30" s="60">
        <f ca="1">AVERAGE(OFFSET($CC$3,0,0,'Données projet'!$E$12+1,1))-AVERAGE(OFFSET($H$3,0,0,'Données projet'!$E$12+1,1))</f>
        <v>371.95849973474657</v>
      </c>
      <c r="CE30" s="60">
        <f t="shared" si="40"/>
        <v>233.32640143610547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3.4148126093398212</v>
      </c>
      <c r="CN30" s="24">
        <f t="shared" si="12"/>
        <v>3.4148126093398212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77</v>
      </c>
      <c r="CU30" s="18">
        <f>CT30*VLOOKUP('Données projet'!$B$13,Paramètres!$A$1:$I$89,3,0)*VLOOKUP('Données projet'!$B$13,Paramètres!$A$1:$I$89,5,0)</f>
        <v>74.474400000000003</v>
      </c>
      <c r="CV30" s="14">
        <f t="shared" si="41"/>
        <v>20.780570274034375</v>
      </c>
      <c r="CW30" s="22">
        <f t="shared" si="13"/>
        <v>165.90240656060988</v>
      </c>
      <c r="CX30" s="60">
        <f t="shared" si="14"/>
        <v>455.56907322727659</v>
      </c>
      <c r="CY30" s="60">
        <f ca="1">AVERAGE(OFFSET($CX$3,0,0,'Données projet'!$E$13+1,1))-AVERAGE(OFFSET($H$3,0,0,'Données projet'!$E$13+1,1))</f>
        <v>394.8445842828649</v>
      </c>
      <c r="CZ30" s="60">
        <f t="shared" si="42"/>
        <v>246.54010105494143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3.6503169272253269</v>
      </c>
      <c r="DI30" s="24">
        <f t="shared" si="15"/>
        <v>3.6503169272253269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8.6</v>
      </c>
      <c r="DO30" s="13">
        <f>IF('Données projet'!$A$166&gt;35,DO29+DN30-DW29,IF(A30&lt;'Données projet'!$A$166,$DL$205^A30,IF(A30='Données projet'!$A$166,'Données projet'!$B$166,DO29+DN30-DW29)))</f>
        <v>98.199999999999989</v>
      </c>
      <c r="DP30" s="18">
        <f>DO30*VLOOKUP('Données projet'!$B$14,Paramètres!$A$1:$I$89,3,0)*VLOOKUP('Données projet'!$B$14,Paramètres!$A$1:$I$89,5,0)</f>
        <v>85.787520000000001</v>
      </c>
      <c r="DQ30" s="14">
        <f t="shared" si="43"/>
        <v>23.546459304471629</v>
      </c>
      <c r="DR30" s="22">
        <f t="shared" si="16"/>
        <v>190.42334728862139</v>
      </c>
      <c r="DS30" s="60">
        <f t="shared" si="17"/>
        <v>480.0900139552881</v>
      </c>
      <c r="DT30" s="60">
        <f ca="1">AVERAGE(OFFSET($DS$3,0,0,'Données projet'!$E$14+1,1))-AVERAGE(OFFSET($H$3,0,0,'Données projet'!$E$14+1,1))</f>
        <v>266.98113257513319</v>
      </c>
      <c r="DU30" s="60">
        <f t="shared" si="44"/>
        <v>275.73257102713393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5.0871645528472023</v>
      </c>
      <c r="EC30" s="23">
        <f>EXP(-LN(2)/2)*EC29+(1-EXP(-LN(2)/2))/(LN(2)/2)*DW30*DZ30*VLOOKUP('Données projet'!$B$14,Paramètres!$A$1:$I$89,3,0)*0.475*44/12</f>
        <v>5.3577232318952372</v>
      </c>
      <c r="ED30" s="24">
        <f t="shared" si="18"/>
        <v>10.44488778474244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</v>
      </c>
      <c r="EJ30" s="13">
        <f>IF('Données projet'!$A$192&gt;35,EJ29+EI30-ER29,IF(A30&lt;'Données projet'!$A$192,$EG$205^A30,IF(A30='Données projet'!$A$192,'Données projet'!$B$192,EJ29+EI30-ER29)))</f>
        <v>77</v>
      </c>
      <c r="EK30" s="18">
        <f>EJ30*VLOOKUP('Données projet'!$B$15,Paramètres!$A$1:$I$89,3,0)*VLOOKUP('Données projet'!$B$15,Paramètres!$A$1:$I$89,5,0)</f>
        <v>87.687600000000003</v>
      </c>
      <c r="EL30" s="14">
        <f t="shared" si="45"/>
        <v>24.006687761899297</v>
      </c>
      <c r="EM30" s="22">
        <f t="shared" si="19"/>
        <v>194.53421785197463</v>
      </c>
      <c r="EN30" s="60">
        <f t="shared" si="20"/>
        <v>484.20088451864132</v>
      </c>
      <c r="EO30" s="60">
        <f ca="1">AVERAGE(OFFSET($EN$3,0,0,'Données projet'!$E$15+1,1))-AVERAGE(OFFSET($H$3,0,0,'Données projet'!$E$15+1,1))</f>
        <v>457.62828850677369</v>
      </c>
      <c r="EP30" s="60">
        <f t="shared" si="46"/>
        <v>282.78263556175563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7</v>
      </c>
      <c r="FE30" s="13">
        <f>IF('Données projet'!$A$218&gt;35,FE29+FD30-FM29,IF(A30&lt;'Données projet'!$A$218,$FB$205^A30,IF(A30='Données projet'!$A$218,'Données projet'!$B$218,FE29+FD30-FM29)))</f>
        <v>77</v>
      </c>
      <c r="FF30" s="18">
        <f>FE30*VLOOKUP('Données projet'!$B$16,Paramètres!$A$1:$I$89,3,0)*VLOOKUP('Données projet'!$B$16,Paramètres!$A$1:$I$89,5,0)</f>
        <v>84.084000000000003</v>
      </c>
      <c r="FG30" s="14">
        <f t="shared" si="47"/>
        <v>23.132831417334526</v>
      </c>
      <c r="FH30" s="22">
        <f t="shared" si="22"/>
        <v>186.73598138519097</v>
      </c>
      <c r="FI30" s="60">
        <f t="shared" si="23"/>
        <v>476.40264805185768</v>
      </c>
      <c r="FJ30" s="60">
        <f ca="1">AVERAGE(OFFSET($FI$3,0,0,'Données projet'!$E$16+1,1))-AVERAGE(OFFSET($H$3,0,0,'Données projet'!$E$16+1,1))</f>
        <v>440.52623925652182</v>
      </c>
      <c r="FK30" s="60">
        <f t="shared" si="48"/>
        <v>272.91122662088918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6.5</v>
      </c>
      <c r="FZ30" s="13">
        <f>IF('Données projet'!$A$244&gt;35,FZ29+FY30-GH29,IF(A30&lt;'Données projet'!$A$244,$FW$205^A30,IF(A30='Données projet'!$A$244,'Données projet'!$B$244,FZ29+FY30-GH29)))</f>
        <v>115.08829342671002</v>
      </c>
      <c r="GA30" s="18">
        <f>FZ30*VLOOKUP('Données projet'!$B$17,Paramètres!$A$1:$I$89,3,0)*VLOOKUP('Données projet'!$B$17,Paramètres!$A$1:$I$89,5,0)</f>
        <v>53.861321323700288</v>
      </c>
      <c r="GB30" s="14">
        <f t="shared" si="49"/>
        <v>15.606604510459258</v>
      </c>
      <c r="GC30" s="22">
        <f t="shared" si="25"/>
        <v>120.98997082782786</v>
      </c>
      <c r="GD30" s="60">
        <f t="shared" si="26"/>
        <v>410.65663749449453</v>
      </c>
      <c r="GE30" s="60">
        <f ca="1">AVERAGE(OFFSET($GD$3,0,0,'Données projet'!$E$17+1,1))-AVERAGE(OFFSET($H$3,0,0,'Données projet'!$E$17+1,1))</f>
        <v>317.54276561627643</v>
      </c>
      <c r="GF30" s="60">
        <f t="shared" si="50"/>
        <v>238.92443174298893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>
        <f>GU30*VLOOKUP('Données projet'!$B$18,Paramètres!$A$1:$I$89,3,0)*VLOOKUP('Données projet'!$B$18,Paramètres!$A$1:$I$89,5,0)</f>
        <v>0</v>
      </c>
      <c r="GW30" s="14" t="e">
        <f t="shared" si="51"/>
        <v>#NUM!</v>
      </c>
      <c r="GX30" s="22" t="e">
        <f t="shared" si="28"/>
        <v>#NUM!</v>
      </c>
      <c r="GY30" s="60" t="e">
        <f t="shared" si="29"/>
        <v>#NUM!</v>
      </c>
      <c r="GZ30" s="60">
        <f ca="1">AVERAGE(OFFSET($GY$3,0,0,'Données projet'!$E$18+1,1))-AVERAGE(OFFSET($H$3,0,0,'Données projet'!$E$18+1,1))</f>
        <v>79.868679770907136</v>
      </c>
      <c r="HA30" s="60">
        <f t="shared" si="52"/>
        <v>370.47471103028312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65.935549796127546</v>
      </c>
      <c r="HH30" s="23">
        <f>EXP(-LN(2)/25)*HH29+(1-EXP(-LN(2)/25))/(LN(2)/25)*Calculateur!HC30*Calculateur!HE30*VLOOKUP('Données projet'!$B$18,Paramètres!$A$1:$I$89,3,0)*0.475*44/12</f>
        <v>16.416896960958375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82.352446757085914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0">
        <f t="shared" si="0"/>
        <v>566.2654140778385</v>
      </c>
      <c r="S31" s="60">
        <f ca="1">AVERAGE(OFFSET($R$3,0,0,'Données projet'!$E$9+1,1))-AVERAGE(OFFSET($H$3,0,0,'Données projet'!$E$9+1,1))</f>
        <v>206.5885410269899</v>
      </c>
      <c r="T31" s="60">
        <f t="shared" si="34"/>
        <v>347.41156847586302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13.8</v>
      </c>
      <c r="AI31" s="14">
        <f>IF('Données projet'!$A$62&gt;35,AI30+AH31-AQ30,IF(A31&lt;'Données projet'!$A$62,$AF$205^A31,IF(A31='Données projet'!$A$62,'Données projet'!$B$62,AI30+AH31-AQ30)))</f>
        <v>209.40000000000003</v>
      </c>
      <c r="AJ31" s="14">
        <f>AI31*VLOOKUP('Données projet'!$B$10,Paramètres!$A$1:$I$89,3,0)*VLOOKUP('Données projet'!$B$10,Paramètres!$A$1:$I$89,5,0)</f>
        <v>125.22120000000004</v>
      </c>
      <c r="AK31" s="14">
        <f t="shared" si="35"/>
        <v>32.889723553463881</v>
      </c>
      <c r="AL31" s="22">
        <f t="shared" si="4"/>
        <v>275.37652518894964</v>
      </c>
      <c r="AM31" s="60">
        <f t="shared" si="5"/>
        <v>566.2654140778385</v>
      </c>
      <c r="AN31" s="60">
        <f ca="1">AVERAGE(OFFSET($AM$3,0,0,'Données projet'!$E$10+1,1))-AVERAGE(OFFSET($H$3,0,0,'Données projet'!$E$10+1,1))</f>
        <v>206.5885410269899</v>
      </c>
      <c r="AO31" s="60">
        <f t="shared" si="36"/>
        <v>347.41156847586302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10.850356598939982</v>
      </c>
      <c r="AV31" s="23">
        <f>EXP(-LN(2)/25)*AV30+(1-EXP(-LN(2)/25))/(LN(2)/25)*Calculateur!AQ31*Calculateur!AS31*VLOOKUP('Données projet'!$B$10,Paramètres!$A$1:$I$89,3,0)*0.475*44/12</f>
        <v>3.5336932918522415</v>
      </c>
      <c r="AW31" s="23">
        <f>EXP(-LN(2)/2)*AW30+(1-EXP(-LN(2)/2))/(LN(2)/2)*AQ31*AT31*VLOOKUP('Données projet'!$B$10,Paramètres!$A$1:$I$89,3,0)*0.475*44/12</f>
        <v>6.0645966877800319</v>
      </c>
      <c r="AX31" s="23">
        <f t="shared" si="6"/>
        <v>20.448646578572255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84</v>
      </c>
      <c r="BE31" s="14">
        <f>BD31*VLOOKUP('Données projet'!$B$11,Paramètres!$A$1:$I$89,3,0)*VLOOKUP('Données projet'!$B$11,Paramètres!$A$1:$I$89,5,0)</f>
        <v>79.934400000000011</v>
      </c>
      <c r="BF31" s="14">
        <f t="shared" si="37"/>
        <v>22.121143821921812</v>
      </c>
      <c r="BG31" s="22">
        <f t="shared" si="7"/>
        <v>177.74673882318049</v>
      </c>
      <c r="BH31" s="60">
        <f t="shared" si="8"/>
        <v>468.63562771206932</v>
      </c>
      <c r="BI31" s="60">
        <f ca="1">AVERAGE(OFFSET($BH$3,0,0,'Données projet'!$E$11+1,1))-AVERAGE(OFFSET($H$3,0,0,'Données projet'!$E$11+1,1))</f>
        <v>389.12604446638119</v>
      </c>
      <c r="BJ31" s="60">
        <f t="shared" si="38"/>
        <v>243.23852967152732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84</v>
      </c>
      <c r="BZ31" s="14">
        <f>BY31*VLOOKUP('Données projet'!$B$12,Paramètres!$A$1:$I$89,3,0)*VLOOKUP('Données projet'!$B$12,Paramètres!$A$1:$I$89,5,0)</f>
        <v>76.003200000000007</v>
      </c>
      <c r="CA31" s="14">
        <f t="shared" si="39"/>
        <v>21.157049992000456</v>
      </c>
      <c r="CB31" s="22">
        <f t="shared" si="10"/>
        <v>169.22076873606747</v>
      </c>
      <c r="CC31" s="60">
        <f t="shared" si="11"/>
        <v>460.1096576249563</v>
      </c>
      <c r="CD31" s="60">
        <f ca="1">AVERAGE(OFFSET($CC$3,0,0,'Données projet'!$E$12+1,1))-AVERAGE(OFFSET($H$3,0,0,'Données projet'!$E$12+1,1))</f>
        <v>371.95849973474657</v>
      </c>
      <c r="CE31" s="60">
        <f t="shared" si="40"/>
        <v>233.32640143610547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2.4146371525455166</v>
      </c>
      <c r="CN31" s="24">
        <f t="shared" si="12"/>
        <v>2.4146371525455166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84</v>
      </c>
      <c r="CU31" s="18">
        <f>CT31*VLOOKUP('Données projet'!$B$13,Paramètres!$A$1:$I$89,3,0)*VLOOKUP('Données projet'!$B$13,Paramètres!$A$1:$I$89,5,0)</f>
        <v>81.244799999999998</v>
      </c>
      <c r="CV31" s="14">
        <f t="shared" si="41"/>
        <v>22.441270156928962</v>
      </c>
      <c r="CW31" s="22">
        <f t="shared" si="13"/>
        <v>180.58657218998462</v>
      </c>
      <c r="CX31" s="60">
        <f t="shared" si="14"/>
        <v>471.47546107887348</v>
      </c>
      <c r="CY31" s="60">
        <f ca="1">AVERAGE(OFFSET($CX$3,0,0,'Données projet'!$E$13+1,1))-AVERAGE(OFFSET($H$3,0,0,'Données projet'!$E$13+1,1))</f>
        <v>394.8445842828649</v>
      </c>
      <c r="CZ31" s="60">
        <f t="shared" si="42"/>
        <v>246.54010105494143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2.5811638527210699</v>
      </c>
      <c r="DI31" s="24">
        <f t="shared" si="15"/>
        <v>2.5811638527210699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8.6</v>
      </c>
      <c r="DO31" s="13">
        <f>IF('Données projet'!$A$166&gt;35,DO30+DN31-DW30,IF(A31&lt;'Données projet'!$A$166,$DL$205^A31,IF(A31='Données projet'!$A$166,'Données projet'!$B$166,DO30+DN31-DW30)))</f>
        <v>106.79999999999998</v>
      </c>
      <c r="DP31" s="18">
        <f>DO31*VLOOKUP('Données projet'!$B$14,Paramètres!$A$1:$I$89,3,0)*VLOOKUP('Données projet'!$B$14,Paramètres!$A$1:$I$89,5,0)</f>
        <v>93.300479999999993</v>
      </c>
      <c r="DQ31" s="14">
        <f t="shared" si="43"/>
        <v>25.35954513622837</v>
      </c>
      <c r="DR31" s="22">
        <f t="shared" si="16"/>
        <v>206.66621044559773</v>
      </c>
      <c r="DS31" s="60">
        <f t="shared" si="17"/>
        <v>497.55509933448661</v>
      </c>
      <c r="DT31" s="60">
        <f ca="1">AVERAGE(OFFSET($DS$3,0,0,'Données projet'!$E$14+1,1))-AVERAGE(OFFSET($H$3,0,0,'Données projet'!$E$14+1,1))</f>
        <v>266.98113257513319</v>
      </c>
      <c r="DU31" s="60">
        <f t="shared" si="44"/>
        <v>275.73257102713393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4.9480557706272386</v>
      </c>
      <c r="EC31" s="23">
        <f>EXP(-LN(2)/2)*EC30+(1-EXP(-LN(2)/2))/(LN(2)/2)*DW31*DZ31*VLOOKUP('Données projet'!$B$14,Paramètres!$A$1:$I$89,3,0)*0.475*44/12</f>
        <v>3.7884824289938281</v>
      </c>
      <c r="ED31" s="24">
        <f t="shared" si="18"/>
        <v>8.7365381996210658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</v>
      </c>
      <c r="EJ31" s="13">
        <f>IF('Données projet'!$A$192&gt;35,EJ30+EI31-ER30,IF(A31&lt;'Données projet'!$A$192,$EG$205^A31,IF(A31='Données projet'!$A$192,'Données projet'!$B$192,EJ30+EI31-ER30)))</f>
        <v>84</v>
      </c>
      <c r="EK31" s="18">
        <f>EJ31*VLOOKUP('Données projet'!$B$15,Paramètres!$A$1:$I$89,3,0)*VLOOKUP('Données projet'!$B$15,Paramètres!$A$1:$I$89,5,0)</f>
        <v>95.659199999999998</v>
      </c>
      <c r="EL31" s="14">
        <f t="shared" si="45"/>
        <v>25.92520602338745</v>
      </c>
      <c r="EM31" s="22">
        <f t="shared" si="19"/>
        <v>211.75950715739978</v>
      </c>
      <c r="EN31" s="60">
        <f t="shared" si="20"/>
        <v>502.64839604628867</v>
      </c>
      <c r="EO31" s="60">
        <f ca="1">AVERAGE(OFFSET($EN$3,0,0,'Données projet'!$E$15+1,1))-AVERAGE(OFFSET($H$3,0,0,'Données projet'!$E$15+1,1))</f>
        <v>457.62828850677369</v>
      </c>
      <c r="EP31" s="60">
        <f t="shared" si="46"/>
        <v>282.78263556175563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7</v>
      </c>
      <c r="FE31" s="13">
        <f>IF('Données projet'!$A$218&gt;35,FE30+FD31-FM30,IF(A31&lt;'Données projet'!$A$218,$FB$205^A31,IF(A31='Données projet'!$A$218,'Données projet'!$B$218,FE30+FD31-FM30)))</f>
        <v>84</v>
      </c>
      <c r="FF31" s="18">
        <f>FE31*VLOOKUP('Données projet'!$B$16,Paramètres!$A$1:$I$89,3,0)*VLOOKUP('Données projet'!$B$16,Paramètres!$A$1:$I$89,5,0)</f>
        <v>91.727999999999994</v>
      </c>
      <c r="FG31" s="14">
        <f t="shared" si="47"/>
        <v>24.981514582386563</v>
      </c>
      <c r="FH31" s="22">
        <f t="shared" si="22"/>
        <v>203.26907123098991</v>
      </c>
      <c r="FI31" s="60">
        <f t="shared" si="23"/>
        <v>494.15796011987879</v>
      </c>
      <c r="FJ31" s="60">
        <f ca="1">AVERAGE(OFFSET($FI$3,0,0,'Données projet'!$E$16+1,1))-AVERAGE(OFFSET($H$3,0,0,'Données projet'!$E$16+1,1))</f>
        <v>440.52623925652182</v>
      </c>
      <c r="FK31" s="60">
        <f t="shared" si="48"/>
        <v>272.91122662088918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6.5</v>
      </c>
      <c r="FZ31" s="13">
        <f>IF('Données projet'!$A$244&gt;35,FZ30+FY31-GH30,IF(A31&lt;'Données projet'!$A$244,$FW$205^A31,IF(A31='Données projet'!$A$244,'Données projet'!$B$244,FZ30+FY31-GH30)))</f>
        <v>137.20364124956808</v>
      </c>
      <c r="GA31" s="18">
        <f>FZ31*VLOOKUP('Données projet'!$B$17,Paramètres!$A$1:$I$89,3,0)*VLOOKUP('Données projet'!$B$17,Paramètres!$A$1:$I$89,5,0)</f>
        <v>64.211304104797861</v>
      </c>
      <c r="GB31" s="14">
        <f t="shared" si="49"/>
        <v>18.228778916940001</v>
      </c>
      <c r="GC31" s="22">
        <f t="shared" si="25"/>
        <v>143.58314459619342</v>
      </c>
      <c r="GD31" s="60">
        <f t="shared" si="26"/>
        <v>434.47203348508231</v>
      </c>
      <c r="GE31" s="60">
        <f ca="1">AVERAGE(OFFSET($GD$3,0,0,'Données projet'!$E$17+1,1))-AVERAGE(OFFSET($H$3,0,0,'Données projet'!$E$17+1,1))</f>
        <v>317.54276561627643</v>
      </c>
      <c r="GF31" s="60">
        <f t="shared" si="50"/>
        <v>238.92443174298893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>
        <f>GU31*VLOOKUP('Données projet'!$B$18,Paramètres!$A$1:$I$89,3,0)*VLOOKUP('Données projet'!$B$18,Paramètres!$A$1:$I$89,5,0)</f>
        <v>0</v>
      </c>
      <c r="GW31" s="14" t="e">
        <f t="shared" si="51"/>
        <v>#NUM!</v>
      </c>
      <c r="GX31" s="22" t="e">
        <f t="shared" si="28"/>
        <v>#NUM!</v>
      </c>
      <c r="GY31" s="60" t="e">
        <f t="shared" si="29"/>
        <v>#NUM!</v>
      </c>
      <c r="GZ31" s="60">
        <f ca="1">AVERAGE(OFFSET($GY$3,0,0,'Données projet'!$E$18+1,1))-AVERAGE(OFFSET($H$3,0,0,'Données projet'!$E$18+1,1))</f>
        <v>79.868679770907136</v>
      </c>
      <c r="HA31" s="60">
        <f t="shared" si="52"/>
        <v>370.47471103028312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64.642593881339792</v>
      </c>
      <c r="HH31" s="23">
        <f>EXP(-LN(2)/25)*HH30+(1-EXP(-LN(2)/25))/(LN(2)/25)*Calculateur!HC31*Calculateur!HE31*VLOOKUP('Données projet'!$B$18,Paramètres!$A$1:$I$89,3,0)*0.475*44/12</f>
        <v>15.967976050233879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80.610569931573679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0">
        <f t="shared" si="0"/>
        <v>585.1837477938916</v>
      </c>
      <c r="S32" s="60">
        <f ca="1">AVERAGE(OFFSET($R$3,0,0,'Données projet'!$E$9+1,1))-AVERAGE(OFFSET($H$3,0,0,'Données projet'!$E$9+1,1))</f>
        <v>206.5885410269899</v>
      </c>
      <c r="T32" s="60">
        <f t="shared" si="34"/>
        <v>347.41156847586302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13.8</v>
      </c>
      <c r="AI32" s="14">
        <f>IF('Données projet'!$A$62&gt;35,AI31+AH32-AQ31,IF(A32&lt;'Données projet'!$A$62,$AF$205^A32,IF(A32='Données projet'!$A$62,'Données projet'!$B$62,AI31+AH32-AQ31)))</f>
        <v>223.20000000000005</v>
      </c>
      <c r="AJ32" s="14">
        <f>AI32*VLOOKUP('Données projet'!$B$10,Paramètres!$A$1:$I$89,3,0)*VLOOKUP('Données projet'!$B$10,Paramètres!$A$1:$I$89,5,0)</f>
        <v>133.47360000000003</v>
      </c>
      <c r="AK32" s="14">
        <f t="shared" si="35"/>
        <v>34.79777034418013</v>
      </c>
      <c r="AL32" s="22">
        <f t="shared" si="4"/>
        <v>293.0726366827804</v>
      </c>
      <c r="AM32" s="60">
        <f t="shared" si="5"/>
        <v>585.1837477938916</v>
      </c>
      <c r="AN32" s="60">
        <f ca="1">AVERAGE(OFFSET($AM$3,0,0,'Données projet'!$E$10+1,1))-AVERAGE(OFFSET($H$3,0,0,'Données projet'!$E$10+1,1))</f>
        <v>206.5885410269899</v>
      </c>
      <c r="AO32" s="60">
        <f t="shared" si="36"/>
        <v>347.41156847586302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10.637587724098815</v>
      </c>
      <c r="AV32" s="23">
        <f>EXP(-LN(2)/25)*AV31+(1-EXP(-LN(2)/25))/(LN(2)/25)*Calculateur!AQ32*Calculateur!AS32*VLOOKUP('Données projet'!$B$10,Paramètres!$A$1:$I$89,3,0)*0.475*44/12</f>
        <v>3.437064262957688</v>
      </c>
      <c r="AW32" s="23">
        <f>EXP(-LN(2)/2)*AW31+(1-EXP(-LN(2)/2))/(LN(2)/2)*AQ32*AT32*VLOOKUP('Données projet'!$B$10,Paramètres!$A$1:$I$89,3,0)*0.475*44/12</f>
        <v>4.2883174430907358</v>
      </c>
      <c r="AX32" s="23">
        <f t="shared" si="6"/>
        <v>18.362969430147238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91</v>
      </c>
      <c r="BE32" s="14">
        <f>BD32*VLOOKUP('Données projet'!$B$11,Paramètres!$A$1:$I$89,3,0)*VLOOKUP('Données projet'!$B$11,Paramètres!$A$1:$I$89,5,0)</f>
        <v>86.595600000000005</v>
      </c>
      <c r="BF32" s="14">
        <f t="shared" si="37"/>
        <v>23.742332153806089</v>
      </c>
      <c r="BG32" s="22">
        <f t="shared" si="7"/>
        <v>192.17189850121227</v>
      </c>
      <c r="BH32" s="60">
        <f t="shared" si="8"/>
        <v>484.28300961232344</v>
      </c>
      <c r="BI32" s="60">
        <f ca="1">AVERAGE(OFFSET($BH$3,0,0,'Données projet'!$E$11+1,1))-AVERAGE(OFFSET($H$3,0,0,'Données projet'!$E$11+1,1))</f>
        <v>389.12604446638119</v>
      </c>
      <c r="BJ32" s="60">
        <f t="shared" si="38"/>
        <v>243.23852967152732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91</v>
      </c>
      <c r="BZ32" s="14">
        <f>BY32*VLOOKUP('Données projet'!$B$12,Paramètres!$A$1:$I$89,3,0)*VLOOKUP('Données projet'!$B$12,Paramètres!$A$1:$I$89,5,0)</f>
        <v>82.336799999999997</v>
      </c>
      <c r="CA32" s="14">
        <f t="shared" si="39"/>
        <v>22.707582950885364</v>
      </c>
      <c r="CB32" s="22">
        <f t="shared" si="10"/>
        <v>182.95230030612535</v>
      </c>
      <c r="CC32" s="60">
        <f t="shared" si="11"/>
        <v>475.06341141723647</v>
      </c>
      <c r="CD32" s="60">
        <f ca="1">AVERAGE(OFFSET($CC$3,0,0,'Données projet'!$E$12+1,1))-AVERAGE(OFFSET($H$3,0,0,'Données projet'!$E$12+1,1))</f>
        <v>371.95849973474657</v>
      </c>
      <c r="CE32" s="60">
        <f t="shared" si="40"/>
        <v>233.32640143610547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1.7074063046699108</v>
      </c>
      <c r="CN32" s="24">
        <f t="shared" si="12"/>
        <v>1.7074063046699108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91</v>
      </c>
      <c r="CU32" s="18">
        <f>CT32*VLOOKUP('Données projet'!$B$13,Paramètres!$A$1:$I$89,3,0)*VLOOKUP('Données projet'!$B$13,Paramètres!$A$1:$I$89,5,0)</f>
        <v>88.015200000000007</v>
      </c>
      <c r="CV32" s="14">
        <f t="shared" si="41"/>
        <v>24.085919530575829</v>
      </c>
      <c r="CW32" s="22">
        <f t="shared" si="13"/>
        <v>195.24278318241954</v>
      </c>
      <c r="CX32" s="60">
        <f t="shared" si="14"/>
        <v>487.35389429353069</v>
      </c>
      <c r="CY32" s="60">
        <f ca="1">AVERAGE(OFFSET($CX$3,0,0,'Données projet'!$E$13+1,1))-AVERAGE(OFFSET($H$3,0,0,'Données projet'!$E$13+1,1))</f>
        <v>394.8445842828649</v>
      </c>
      <c r="CZ32" s="60">
        <f t="shared" si="42"/>
        <v>246.54010105494143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1.8251584636126637</v>
      </c>
      <c r="DI32" s="24">
        <f t="shared" si="15"/>
        <v>1.8251584636126637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8.6</v>
      </c>
      <c r="DO32" s="13">
        <f>IF('Données projet'!$A$166&gt;35,DO31+DN32-DW31,IF(A32&lt;'Données projet'!$A$166,$DL$205^A32,IF(A32='Données projet'!$A$166,'Données projet'!$B$166,DO31+DN32-DW31)))</f>
        <v>115.39999999999998</v>
      </c>
      <c r="DP32" s="18">
        <f>DO32*VLOOKUP('Données projet'!$B$14,Paramètres!$A$1:$I$89,3,0)*VLOOKUP('Données projet'!$B$14,Paramètres!$A$1:$I$89,5,0)</f>
        <v>100.81344</v>
      </c>
      <c r="DQ32" s="14">
        <f t="shared" si="43"/>
        <v>27.155696942944218</v>
      </c>
      <c r="DR32" s="22">
        <f t="shared" si="16"/>
        <v>222.87958017562786</v>
      </c>
      <c r="DS32" s="60">
        <f t="shared" si="17"/>
        <v>514.99069128673898</v>
      </c>
      <c r="DT32" s="60">
        <f ca="1">AVERAGE(OFFSET($DS$3,0,0,'Données projet'!$E$14+1,1))-AVERAGE(OFFSET($H$3,0,0,'Données projet'!$E$14+1,1))</f>
        <v>266.98113257513319</v>
      </c>
      <c r="DU32" s="60">
        <f t="shared" si="44"/>
        <v>275.73257102713393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4.8127509253724927</v>
      </c>
      <c r="EC32" s="23">
        <f>EXP(-LN(2)/2)*EC31+(1-EXP(-LN(2)/2))/(LN(2)/2)*DW32*DZ32*VLOOKUP('Données projet'!$B$14,Paramètres!$A$1:$I$89,3,0)*0.475*44/12</f>
        <v>2.6788616159476191</v>
      </c>
      <c r="ED32" s="24">
        <f t="shared" si="18"/>
        <v>7.4916125413201122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</v>
      </c>
      <c r="EJ32" s="13">
        <f>IF('Données projet'!$A$192&gt;35,EJ31+EI32-ER31,IF(A32&lt;'Données projet'!$A$192,$EG$205^A32,IF(A32='Données projet'!$A$192,'Données projet'!$B$192,EJ31+EI32-ER31)))</f>
        <v>91</v>
      </c>
      <c r="EK32" s="18">
        <f>EJ32*VLOOKUP('Données projet'!$B$15,Paramètres!$A$1:$I$89,3,0)*VLOOKUP('Données projet'!$B$15,Paramètres!$A$1:$I$89,5,0)</f>
        <v>103.63079999999999</v>
      </c>
      <c r="EL32" s="14">
        <f t="shared" si="45"/>
        <v>27.825181985080775</v>
      </c>
      <c r="EM32" s="22">
        <f t="shared" si="19"/>
        <v>228.952501957349</v>
      </c>
      <c r="EN32" s="60">
        <f t="shared" si="20"/>
        <v>521.0636130684602</v>
      </c>
      <c r="EO32" s="60">
        <f ca="1">AVERAGE(OFFSET($EN$3,0,0,'Données projet'!$E$15+1,1))-AVERAGE(OFFSET($H$3,0,0,'Données projet'!$E$15+1,1))</f>
        <v>457.62828850677369</v>
      </c>
      <c r="EP32" s="60">
        <f t="shared" si="46"/>
        <v>282.78263556175563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7</v>
      </c>
      <c r="FE32" s="13">
        <f>IF('Données projet'!$A$218&gt;35,FE31+FD32-FM31,IF(A32&lt;'Données projet'!$A$218,$FB$205^A32,IF(A32='Données projet'!$A$218,'Données projet'!$B$218,FE31+FD32-FM31)))</f>
        <v>91</v>
      </c>
      <c r="FF32" s="18">
        <f>FE32*VLOOKUP('Données projet'!$B$16,Paramètres!$A$1:$I$89,3,0)*VLOOKUP('Données projet'!$B$16,Paramètres!$A$1:$I$89,5,0)</f>
        <v>99.372</v>
      </c>
      <c r="FG32" s="14">
        <f t="shared" si="47"/>
        <v>26.812330397327713</v>
      </c>
      <c r="FH32" s="22">
        <f t="shared" si="22"/>
        <v>219.7710421086791</v>
      </c>
      <c r="FI32" s="60">
        <f t="shared" si="23"/>
        <v>511.88215321979021</v>
      </c>
      <c r="FJ32" s="60">
        <f ca="1">AVERAGE(OFFSET($FI$3,0,0,'Données projet'!$E$16+1,1))-AVERAGE(OFFSET($H$3,0,0,'Données projet'!$E$16+1,1))</f>
        <v>440.52623925652182</v>
      </c>
      <c r="FK32" s="60">
        <f t="shared" si="48"/>
        <v>272.91122662088918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6.5</v>
      </c>
      <c r="FZ32" s="13">
        <f>IF('Données projet'!$A$244&gt;35,FZ31+FY32-GH31,IF(A32&lt;'Données projet'!$A$244,$FW$205^A32,IF(A32='Données projet'!$A$244,'Données projet'!$B$244,FZ31+FY32-GH31)))</f>
        <v>163.5686707278193</v>
      </c>
      <c r="GA32" s="18">
        <f>FZ32*VLOOKUP('Données projet'!$B$17,Paramètres!$A$1:$I$89,3,0)*VLOOKUP('Données projet'!$B$17,Paramètres!$A$1:$I$89,5,0)</f>
        <v>76.550137900619433</v>
      </c>
      <c r="GB32" s="14">
        <f t="shared" si="49"/>
        <v>21.291523122789648</v>
      </c>
      <c r="GC32" s="22">
        <f t="shared" si="25"/>
        <v>170.40755961577079</v>
      </c>
      <c r="GD32" s="60">
        <f t="shared" si="26"/>
        <v>462.51867072688196</v>
      </c>
      <c r="GE32" s="60">
        <f ca="1">AVERAGE(OFFSET($GD$3,0,0,'Données projet'!$E$17+1,1))-AVERAGE(OFFSET($H$3,0,0,'Données projet'!$E$17+1,1))</f>
        <v>317.54276561627643</v>
      </c>
      <c r="GF32" s="60">
        <f t="shared" si="50"/>
        <v>238.92443174298893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>
        <f>GU32*VLOOKUP('Données projet'!$B$18,Paramètres!$A$1:$I$89,3,0)*VLOOKUP('Données projet'!$B$18,Paramètres!$A$1:$I$89,5,0)</f>
        <v>0</v>
      </c>
      <c r="GW32" s="14" t="e">
        <f t="shared" si="51"/>
        <v>#NUM!</v>
      </c>
      <c r="GX32" s="22" t="e">
        <f t="shared" si="28"/>
        <v>#NUM!</v>
      </c>
      <c r="GY32" s="60" t="e">
        <f t="shared" si="29"/>
        <v>#NUM!</v>
      </c>
      <c r="GZ32" s="60">
        <f ca="1">AVERAGE(OFFSET($GY$3,0,0,'Données projet'!$E$18+1,1))-AVERAGE(OFFSET($H$3,0,0,'Données projet'!$E$18+1,1))</f>
        <v>79.868679770907136</v>
      </c>
      <c r="HA32" s="60">
        <f t="shared" si="52"/>
        <v>370.47471103028312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63.374992043415787</v>
      </c>
      <c r="HH32" s="23">
        <f>EXP(-LN(2)/25)*HH31+(1-EXP(-LN(2)/25))/(LN(2)/25)*Calculateur!HC32*Calculateur!HE32*VLOOKUP('Données projet'!$B$18,Paramètres!$A$1:$I$89,3,0)*0.475*44/12</f>
        <v>15.531330905420869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78.90632294883666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0">
        <f t="shared" si="0"/>
        <v>604.07823514252971</v>
      </c>
      <c r="S33" s="60">
        <f ca="1">AVERAGE(OFFSET($R$3,0,0,'Données projet'!$E$9+1,1))-AVERAGE(OFFSET($H$3,0,0,'Données projet'!$E$9+1,1))</f>
        <v>206.5885410269899</v>
      </c>
      <c r="T33" s="60">
        <f t="shared" si="34"/>
        <v>347.41156847586302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237</v>
      </c>
      <c r="AG33" s="13">
        <f>VLOOKUP(A33,'Données projet'!$A$61:$I$81,9,0)</f>
        <v>13.8</v>
      </c>
      <c r="AH33" s="13">
        <f t="array" ref="AH33">INDEX(AG:AG,MIN(IF(ISNUMBER(AG33:AG229),ROW(AG33:AG229),"")))</f>
        <v>13.8</v>
      </c>
      <c r="AI33" s="14">
        <f>IF('Données projet'!$A$62&gt;35,AI32+AH33-AQ32,IF(A33&lt;'Données projet'!$A$62,$AF$205^A33,IF(A33='Données projet'!$A$62,'Données projet'!$B$62,AI32+AH33-AQ32)))</f>
        <v>237.00000000000006</v>
      </c>
      <c r="AJ33" s="14">
        <f>AI33*VLOOKUP('Données projet'!$B$10,Paramètres!$A$1:$I$89,3,0)*VLOOKUP('Données projet'!$B$10,Paramètres!$A$1:$I$89,5,0)</f>
        <v>141.72600000000003</v>
      </c>
      <c r="AK33" s="14">
        <f t="shared" si="35"/>
        <v>36.692125440686915</v>
      </c>
      <c r="AL33" s="22">
        <f t="shared" si="4"/>
        <v>310.74490180919639</v>
      </c>
      <c r="AM33" s="60">
        <f t="shared" si="5"/>
        <v>604.07823514252971</v>
      </c>
      <c r="AN33" s="60">
        <f ca="1">AVERAGE(OFFSET($AM$3,0,0,'Données projet'!$E$10+1,1))-AVERAGE(OFFSET($H$3,0,0,'Données projet'!$E$10+1,1))</f>
        <v>206.5885410269899</v>
      </c>
      <c r="AO33" s="60">
        <f t="shared" si="36"/>
        <v>347.41156847586302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10.428991117117084</v>
      </c>
      <c r="AV33" s="23">
        <f>EXP(-LN(2)/25)*AV32+(1-EXP(-LN(2)/25))/(LN(2)/25)*Calculateur!AQ33*Calculateur!AS33*VLOOKUP('Données projet'!$B$10,Paramètres!$A$1:$I$89,3,0)*0.475*44/12</f>
        <v>3.343077559939756</v>
      </c>
      <c r="AW33" s="23">
        <f>EXP(-LN(2)/2)*AW32+(1-EXP(-LN(2)/2))/(LN(2)/2)*AQ33*AT33*VLOOKUP('Données projet'!$B$10,Paramètres!$A$1:$I$89,3,0)*0.475*44/12</f>
        <v>3.032298343890016</v>
      </c>
      <c r="AX33" s="23">
        <f t="shared" si="6"/>
        <v>16.804367020946856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98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98</v>
      </c>
      <c r="BE33" s="14">
        <f>BD33*VLOOKUP('Données projet'!$B$11,Paramètres!$A$1:$I$89,3,0)*VLOOKUP('Données projet'!$B$11,Paramètres!$A$1:$I$89,5,0)</f>
        <v>93.256799999999998</v>
      </c>
      <c r="BF33" s="14">
        <f t="shared" si="37"/>
        <v>25.34905435685781</v>
      </c>
      <c r="BG33" s="22">
        <f t="shared" si="7"/>
        <v>206.57186300486069</v>
      </c>
      <c r="BH33" s="60">
        <f t="shared" si="8"/>
        <v>499.905196338194</v>
      </c>
      <c r="BI33" s="60">
        <f ca="1">AVERAGE(OFFSET($BH$3,0,0,'Données projet'!$E$11+1,1))-AVERAGE(OFFSET($H$3,0,0,'Données projet'!$E$11+1,1))</f>
        <v>389.12604446638119</v>
      </c>
      <c r="BJ33" s="60">
        <f t="shared" si="38"/>
        <v>243.23852967152732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98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98</v>
      </c>
      <c r="BZ33" s="14">
        <f>BY33*VLOOKUP('Données projet'!$B$12,Paramètres!$A$1:$I$89,3,0)*VLOOKUP('Données projet'!$B$12,Paramètres!$A$1:$I$89,5,0)</f>
        <v>88.670400000000001</v>
      </c>
      <c r="CA33" s="14">
        <f t="shared" si="39"/>
        <v>24.244280250395512</v>
      </c>
      <c r="CB33" s="22">
        <f t="shared" si="10"/>
        <v>196.65973476943884</v>
      </c>
      <c r="CC33" s="60">
        <f t="shared" si="11"/>
        <v>489.99306810277216</v>
      </c>
      <c r="CD33" s="60">
        <f ca="1">AVERAGE(OFFSET($CC$3,0,0,'Données projet'!$E$12+1,1))-AVERAGE(OFFSET($H$3,0,0,'Données projet'!$E$12+1,1))</f>
        <v>371.95849973474657</v>
      </c>
      <c r="CE33" s="60">
        <f t="shared" si="40"/>
        <v>233.32640143610547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1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19.135084775306815</v>
      </c>
      <c r="CN33" s="24">
        <f t="shared" si="12"/>
        <v>19.135084775306815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98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98</v>
      </c>
      <c r="CU33" s="18">
        <f>CT33*VLOOKUP('Données projet'!$B$13,Paramètres!$A$1:$I$89,3,0)*VLOOKUP('Données projet'!$B$13,Paramètres!$A$1:$I$89,5,0)</f>
        <v>94.785600000000002</v>
      </c>
      <c r="CV33" s="14">
        <f t="shared" si="41"/>
        <v>25.715893428674526</v>
      </c>
      <c r="CW33" s="22">
        <f t="shared" si="13"/>
        <v>209.87343438827483</v>
      </c>
      <c r="CX33" s="60">
        <f t="shared" si="14"/>
        <v>503.20676772160812</v>
      </c>
      <c r="CY33" s="60">
        <f ca="1">AVERAGE(OFFSET($CX$3,0,0,'Données projet'!$E$13+1,1))-AVERAGE(OFFSET($H$3,0,0,'Données projet'!$E$13+1,1))</f>
        <v>394.8445842828649</v>
      </c>
      <c r="CZ33" s="60">
        <f t="shared" si="42"/>
        <v>246.54010105494143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21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1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20.454745794293494</v>
      </c>
      <c r="DI33" s="24">
        <f t="shared" si="15"/>
        <v>20.454745794293494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124</v>
      </c>
      <c r="DM33" s="13">
        <f>VLOOKUP(A33,'Données projet'!$A$165:$I$185,9,0)</f>
        <v>8.6</v>
      </c>
      <c r="DN33" s="13">
        <f t="array" ref="DN33">INDEX(DM:DM,MIN(IF(ISNUMBER(DM33:DM229),ROW(DM33:DM229),"")))</f>
        <v>8.6</v>
      </c>
      <c r="DO33" s="13">
        <f>IF('Données projet'!$A$166&gt;35,DO32+DN33-DW32,IF(A33&lt;'Données projet'!$A$166,$DL$205^A33,IF(A33='Données projet'!$A$166,'Données projet'!$B$166,DO32+DN33-DW32)))</f>
        <v>123.99999999999997</v>
      </c>
      <c r="DP33" s="18">
        <f>DO33*VLOOKUP('Données projet'!$B$14,Paramètres!$A$1:$I$89,3,0)*VLOOKUP('Données projet'!$B$14,Paramètres!$A$1:$I$89,5,0)</f>
        <v>108.32640000000001</v>
      </c>
      <c r="DQ33" s="14">
        <f t="shared" si="43"/>
        <v>28.936320206966883</v>
      </c>
      <c r="DR33" s="22">
        <f t="shared" si="16"/>
        <v>239.06590436046736</v>
      </c>
      <c r="DS33" s="60">
        <f t="shared" si="17"/>
        <v>532.39923769380061</v>
      </c>
      <c r="DT33" s="60">
        <f ca="1">AVERAGE(OFFSET($DS$3,0,0,'Données projet'!$E$14+1,1))-AVERAGE(OFFSET($H$3,0,0,'Données projet'!$E$14+1,1))</f>
        <v>266.98113257513319</v>
      </c>
      <c r="DU33" s="60">
        <f t="shared" si="44"/>
        <v>275.73257102713393</v>
      </c>
      <c r="DV33" s="16">
        <f>IF(ISNA(VLOOKUP(A33,'Données projet'!$A$165:$I$185,3,0)),0,VLOOKUP(A33,'Données projet'!$A$165:$I$185,3,0))</f>
        <v>3</v>
      </c>
      <c r="DW33" s="16">
        <f>IF(ISNA(VLOOKUP(A33,'Données projet'!$A$165:$I$185,4,0)),0,VLOOKUP(A33,'Données projet'!$A$165:$I$185,4,0))</f>
        <v>26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0.25800000000000001</v>
      </c>
      <c r="DZ33" s="17">
        <f>IF(ISNA(VLOOKUP(A33,'Données projet'!$A$165:$I$185,7,0)),0%,VLOOKUP(A33,'Données projet'!$A$165:$I$185,7,0))</f>
        <v>0.4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11.133815647423242</v>
      </c>
      <c r="EC33" s="23">
        <f>EXP(-LN(2)/2)*EC32+(1-EXP(-LN(2)/2))/(LN(2)/2)*DW33*DZ33*VLOOKUP('Données projet'!$B$14,Paramètres!$A$1:$I$89,3,0)*0.475*44/12</f>
        <v>10.466598385529291</v>
      </c>
      <c r="ED33" s="24">
        <f t="shared" si="18"/>
        <v>21.600414032952536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98</v>
      </c>
      <c r="EH33" s="13">
        <f>VLOOKUP(A33,'Données projet'!$A$191:$I$211,9,0)</f>
        <v>7</v>
      </c>
      <c r="EI33" s="13">
        <f t="array" ref="EI33">INDEX(EH:EH,MIN(IF(ISNUMBER(EH33:EH229),ROW(EH33:EH229),"")))</f>
        <v>7</v>
      </c>
      <c r="EJ33" s="13">
        <f>IF('Données projet'!$A$192&gt;35,EJ32+EI33-ER32,IF(A33&lt;'Données projet'!$A$192,$EG$205^A33,IF(A33='Données projet'!$A$192,'Données projet'!$B$192,EJ32+EI33-ER32)))</f>
        <v>98</v>
      </c>
      <c r="EK33" s="18">
        <f>EJ33*VLOOKUP('Données projet'!$B$15,Paramètres!$A$1:$I$89,3,0)*VLOOKUP('Données projet'!$B$15,Paramètres!$A$1:$I$89,5,0)</f>
        <v>111.60239999999999</v>
      </c>
      <c r="EL33" s="14">
        <f t="shared" si="45"/>
        <v>29.708204150290328</v>
      </c>
      <c r="EM33" s="22">
        <f t="shared" si="19"/>
        <v>246.11596889508897</v>
      </c>
      <c r="EN33" s="60">
        <f t="shared" si="20"/>
        <v>539.44930222842231</v>
      </c>
      <c r="EO33" s="60">
        <f ca="1">AVERAGE(OFFSET($EN$3,0,0,'Données projet'!$E$15+1,1))-AVERAGE(OFFSET($H$3,0,0,'Données projet'!$E$15+1,1))</f>
        <v>457.62828850677369</v>
      </c>
      <c r="EP33" s="60">
        <f t="shared" si="46"/>
        <v>282.78263556175563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21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98</v>
      </c>
      <c r="FC33" s="13">
        <f>VLOOKUP(A33,'Données projet'!$A$217:$I$237,9,0)</f>
        <v>7</v>
      </c>
      <c r="FD33" s="13">
        <f t="array" ref="FD33">INDEX(FC:FC,MIN(IF(ISNUMBER(FC33:FC229),ROW(FC33:FC229),"")))</f>
        <v>7</v>
      </c>
      <c r="FE33" s="13">
        <f>IF('Données projet'!$A$218&gt;35,FE32+FD33-FM32,IF(A33&lt;'Données projet'!$A$218,$FB$205^A33,IF(A33='Données projet'!$A$218,'Données projet'!$B$218,FE32+FD33-FM32)))</f>
        <v>98</v>
      </c>
      <c r="FF33" s="18">
        <f>FE33*VLOOKUP('Données projet'!$B$16,Paramètres!$A$1:$I$89,3,0)*VLOOKUP('Données projet'!$B$16,Paramètres!$A$1:$I$89,5,0)</f>
        <v>107.01599999999999</v>
      </c>
      <c r="FG33" s="14">
        <f t="shared" si="47"/>
        <v>28.626809543094307</v>
      </c>
      <c r="FH33" s="22">
        <f t="shared" si="22"/>
        <v>236.24455995422258</v>
      </c>
      <c r="FI33" s="60">
        <f t="shared" si="23"/>
        <v>529.57789328755587</v>
      </c>
      <c r="FJ33" s="60">
        <f ca="1">AVERAGE(OFFSET($FI$3,0,0,'Données projet'!$E$16+1,1))-AVERAGE(OFFSET($H$3,0,0,'Données projet'!$E$16+1,1))</f>
        <v>440.52623925652182</v>
      </c>
      <c r="FK33" s="60">
        <f t="shared" si="48"/>
        <v>272.91122662088918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21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195</v>
      </c>
      <c r="FX33" s="13">
        <f>VLOOKUP(A33,'Données projet'!$A$243:$I$263,9,0)</f>
        <v>6.5</v>
      </c>
      <c r="FY33" s="13">
        <f t="array" ref="FY33">INDEX(FX:FX,MIN(IF(ISNUMBER(FX33:FX229),ROW(FX33:FX229),"")))</f>
        <v>6.5</v>
      </c>
      <c r="FZ33" s="13">
        <f>IF('Données projet'!$A$244&gt;35,FZ32+FY33-GH32,IF(A33&lt;'Données projet'!$A$244,$FW$205^A33,IF(A33='Données projet'!$A$244,'Données projet'!$B$244,FZ32+FY33-GH32)))</f>
        <v>195</v>
      </c>
      <c r="GA33" s="18">
        <f>FZ33*VLOOKUP('Données projet'!$B$17,Paramètres!$A$1:$I$89,3,0)*VLOOKUP('Données projet'!$B$17,Paramètres!$A$1:$I$89,5,0)</f>
        <v>91.26</v>
      </c>
      <c r="GB33" s="14">
        <f t="shared" si="49"/>
        <v>24.868860330902777</v>
      </c>
      <c r="GC33" s="22">
        <f t="shared" si="25"/>
        <v>202.25776507632233</v>
      </c>
      <c r="GD33" s="60">
        <f t="shared" si="26"/>
        <v>495.59109840965561</v>
      </c>
      <c r="GE33" s="60">
        <f ca="1">AVERAGE(OFFSET($GD$3,0,0,'Données projet'!$E$17+1,1))-AVERAGE(OFFSET($H$3,0,0,'Données projet'!$E$17+1,1))</f>
        <v>317.54276561627643</v>
      </c>
      <c r="GF33" s="60">
        <f t="shared" si="50"/>
        <v>238.92443174298893</v>
      </c>
      <c r="GG33" s="16">
        <f>IF(ISNA(VLOOKUP(A33,'Données projet'!$A$243:$I$263,3,0)),0,VLOOKUP(A33,'Données projet'!$A$243:$I$263,3,0))</f>
        <v>1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>
        <f>GU33*VLOOKUP('Données projet'!$B$18,Paramètres!$A$1:$I$89,3,0)*VLOOKUP('Données projet'!$B$18,Paramètres!$A$1:$I$89,5,0)</f>
        <v>0</v>
      </c>
      <c r="GW33" s="14" t="e">
        <f t="shared" si="51"/>
        <v>#NUM!</v>
      </c>
      <c r="GX33" s="22" t="e">
        <f t="shared" si="28"/>
        <v>#NUM!</v>
      </c>
      <c r="GY33" s="60" t="e">
        <f t="shared" si="29"/>
        <v>#NUM!</v>
      </c>
      <c r="GZ33" s="60">
        <f ca="1">AVERAGE(OFFSET($GY$3,0,0,'Données projet'!$E$18+1,1))-AVERAGE(OFFSET($H$3,0,0,'Données projet'!$E$18+1,1))</f>
        <v>79.868679770907136</v>
      </c>
      <c r="HA33" s="60">
        <f t="shared" si="52"/>
        <v>370.47471103028312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62.132247104372695</v>
      </c>
      <c r="HH33" s="23">
        <f>EXP(-LN(2)/25)*HH32+(1-EXP(-LN(2)/25))/(LN(2)/25)*Calculateur!HC33*Calculateur!HE33*VLOOKUP('Données projet'!$B$18,Paramètres!$A$1:$I$89,3,0)*0.475*44/12</f>
        <v>15.106625845054941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77.23887294942763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0">
        <f t="shared" si="0"/>
        <v>620.22622902455157</v>
      </c>
      <c r="S34" s="60">
        <f ca="1">AVERAGE(OFFSET($R$3,0,0,'Données projet'!$E$9+1,1))-AVERAGE(OFFSET($H$3,0,0,'Données projet'!$E$9+1,1))</f>
        <v>206.5885410269899</v>
      </c>
      <c r="T34" s="60">
        <f t="shared" si="34"/>
        <v>347.41156847586302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12.625</v>
      </c>
      <c r="AI34" s="14">
        <f>IF('Données projet'!$A$62&gt;35,AI33+AH34-AQ33,IF(A34&lt;'Données projet'!$A$62,$AF$205^A34,IF(A34='Données projet'!$A$62,'Données projet'!$B$62,AI33+AH34-AQ33)))</f>
        <v>249.62500000000006</v>
      </c>
      <c r="AJ34" s="14">
        <f>AI34*VLOOKUP('Données projet'!$B$10,Paramètres!$A$1:$I$89,3,0)*VLOOKUP('Données projet'!$B$10,Paramètres!$A$1:$I$89,5,0)</f>
        <v>149.27575000000004</v>
      </c>
      <c r="AK34" s="14">
        <f t="shared" si="35"/>
        <v>38.413950875340568</v>
      </c>
      <c r="AL34" s="22">
        <f t="shared" si="4"/>
        <v>326.89289569121826</v>
      </c>
      <c r="AM34" s="60">
        <f t="shared" si="5"/>
        <v>620.22622902455157</v>
      </c>
      <c r="AN34" s="60">
        <f ca="1">AVERAGE(OFFSET($AM$3,0,0,'Données projet'!$E$10+1,1))-AVERAGE(OFFSET($H$3,0,0,'Données projet'!$E$10+1,1))</f>
        <v>206.5885410269899</v>
      </c>
      <c r="AO34" s="60">
        <f t="shared" si="36"/>
        <v>347.41156847586302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10.224484962366898</v>
      </c>
      <c r="AV34" s="23">
        <f>EXP(-LN(2)/25)*AV33+(1-EXP(-LN(2)/25))/(LN(2)/25)*Calculateur!AQ34*Calculateur!AS34*VLOOKUP('Données projet'!$B$10,Paramètres!$A$1:$I$89,3,0)*0.475*44/12</f>
        <v>3.2516609282583953</v>
      </c>
      <c r="AW34" s="23">
        <f>EXP(-LN(2)/2)*AW33+(1-EXP(-LN(2)/2))/(LN(2)/2)*AQ34*AT34*VLOOKUP('Données projet'!$B$10,Paramètres!$A$1:$I$89,3,0)*0.475*44/12</f>
        <v>2.1441587215453679</v>
      </c>
      <c r="AX34" s="23">
        <f t="shared" si="6"/>
        <v>15.620304612170662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84.8</v>
      </c>
      <c r="BE34" s="14">
        <f>BD34*VLOOKUP('Données projet'!$B$11,Paramètres!$A$1:$I$89,3,0)*VLOOKUP('Données projet'!$B$11,Paramètres!$A$1:$I$89,5,0)</f>
        <v>80.695679999999996</v>
      </c>
      <c r="BF34" s="14">
        <f t="shared" si="37"/>
        <v>22.307195695097128</v>
      </c>
      <c r="BG34" s="22">
        <f t="shared" si="7"/>
        <v>179.3966751689608</v>
      </c>
      <c r="BH34" s="60">
        <f t="shared" si="8"/>
        <v>472.73000850229414</v>
      </c>
      <c r="BI34" s="60">
        <f ca="1">AVERAGE(OFFSET($BH$3,0,0,'Données projet'!$E$11+1,1))-AVERAGE(OFFSET($H$3,0,0,'Données projet'!$E$11+1,1))</f>
        <v>389.12604446638119</v>
      </c>
      <c r="BJ34" s="60">
        <f t="shared" si="38"/>
        <v>243.23852967152732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7.8</v>
      </c>
      <c r="BY34" s="13">
        <f>IF('Données projet'!$A$114&gt;35,BY33+BX34-CG33,IF(A34&lt;'Données projet'!$A$114,$BV$205^A34,IF(A34='Données projet'!$A$114,'Données projet'!$B$114,BY33+BX34-CG33)))</f>
        <v>84.8</v>
      </c>
      <c r="BZ34" s="14">
        <f>BY34*VLOOKUP('Données projet'!$B$12,Paramètres!$A$1:$I$89,3,0)*VLOOKUP('Données projet'!$B$12,Paramètres!$A$1:$I$89,5,0)</f>
        <v>76.727040000000002</v>
      </c>
      <c r="CA34" s="14">
        <f t="shared" si="39"/>
        <v>21.334993267156708</v>
      </c>
      <c r="CB34" s="22">
        <f t="shared" si="10"/>
        <v>170.79137460696458</v>
      </c>
      <c r="CC34" s="60">
        <f t="shared" si="11"/>
        <v>464.12470794029787</v>
      </c>
      <c r="CD34" s="60">
        <f ca="1">AVERAGE(OFFSET($CC$3,0,0,'Données projet'!$E$12+1,1))-AVERAGE(OFFSET($H$3,0,0,'Données projet'!$E$12+1,1))</f>
        <v>371.95849973474657</v>
      </c>
      <c r="CE34" s="60">
        <f t="shared" si="40"/>
        <v>233.32640143610547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13.530548203198913</v>
      </c>
      <c r="CN34" s="24">
        <f t="shared" si="12"/>
        <v>13.530548203198913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7.8</v>
      </c>
      <c r="CT34" s="13">
        <f>IF('Données projet'!$A$140&gt;35,CT33+CS34-DB33,IF(A34&lt;'Données projet'!$A$140,$CQ$205^A34,IF(A34='Données projet'!$A$140,'Données projet'!$B$140,CT33+CS34-DB33)))</f>
        <v>84.8</v>
      </c>
      <c r="CU34" s="18">
        <f>CT34*VLOOKUP('Données projet'!$B$13,Paramètres!$A$1:$I$89,3,0)*VLOOKUP('Données projet'!$B$13,Paramètres!$A$1:$I$89,5,0)</f>
        <v>82.018560000000008</v>
      </c>
      <c r="CV34" s="14">
        <f t="shared" si="41"/>
        <v>22.630014481487464</v>
      </c>
      <c r="CW34" s="22">
        <f t="shared" si="13"/>
        <v>182.26293388859065</v>
      </c>
      <c r="CX34" s="60">
        <f t="shared" si="14"/>
        <v>475.59626722192399</v>
      </c>
      <c r="CY34" s="60">
        <f ca="1">AVERAGE(OFFSET($CX$3,0,0,'Données projet'!$E$13+1,1))-AVERAGE(OFFSET($H$3,0,0,'Données projet'!$E$13+1,1))</f>
        <v>394.8445842828649</v>
      </c>
      <c r="CZ34" s="60">
        <f t="shared" si="42"/>
        <v>246.54010105494143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14.463689458591944</v>
      </c>
      <c r="DI34" s="24">
        <f t="shared" si="15"/>
        <v>14.463689458591944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7.8</v>
      </c>
      <c r="DO34" s="13">
        <f>IF('Données projet'!$A$166&gt;35,DO33+DN34-DW33,IF(A34&lt;'Données projet'!$A$166,$DL$205^A34,IF(A34='Données projet'!$A$166,'Données projet'!$B$166,DO33+DN34-DW33)))</f>
        <v>105.79999999999998</v>
      </c>
      <c r="DP34" s="18">
        <f>DO34*VLOOKUP('Données projet'!$B$14,Paramètres!$A$1:$I$89,3,0)*VLOOKUP('Données projet'!$B$14,Paramètres!$A$1:$I$89,5,0)</f>
        <v>92.426879999999997</v>
      </c>
      <c r="DQ34" s="14">
        <f t="shared" si="43"/>
        <v>25.149620531579263</v>
      </c>
      <c r="DR34" s="22">
        <f t="shared" si="16"/>
        <v>204.77907175916721</v>
      </c>
      <c r="DS34" s="60">
        <f t="shared" si="17"/>
        <v>498.11240509250052</v>
      </c>
      <c r="DT34" s="60">
        <f ca="1">AVERAGE(OFFSET($DS$3,0,0,'Données projet'!$E$14+1,1))-AVERAGE(OFFSET($H$3,0,0,'Données projet'!$E$14+1,1))</f>
        <v>266.98113257513319</v>
      </c>
      <c r="DU34" s="60">
        <f t="shared" si="44"/>
        <v>275.73257102713393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10.829360873042535</v>
      </c>
      <c r="EC34" s="23">
        <f>EXP(-LN(2)/2)*EC33+(1-EXP(-LN(2)/2))/(LN(2)/2)*DW34*DZ34*VLOOKUP('Données projet'!$B$14,Paramètres!$A$1:$I$89,3,0)*0.475*44/12</f>
        <v>7.4010026943639327</v>
      </c>
      <c r="ED34" s="24">
        <f t="shared" si="18"/>
        <v>18.230363567406467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7.8</v>
      </c>
      <c r="EJ34" s="13">
        <f>IF('Données projet'!$A$192&gt;35,EJ33+EI34-ER33,IF(A34&lt;'Données projet'!$A$192,$EG$205^A34,IF(A34='Données projet'!$A$192,'Données projet'!$B$192,EJ33+EI34-ER33)))</f>
        <v>84.8</v>
      </c>
      <c r="EK34" s="18">
        <f>EJ34*VLOOKUP('Données projet'!$B$15,Paramètres!$A$1:$I$89,3,0)*VLOOKUP('Données projet'!$B$15,Paramètres!$A$1:$I$89,5,0)</f>
        <v>96.570239999999998</v>
      </c>
      <c r="EL34" s="14">
        <f t="shared" si="45"/>
        <v>26.143252304444918</v>
      </c>
      <c r="EM34" s="22">
        <f t="shared" si="19"/>
        <v>213.72599909690823</v>
      </c>
      <c r="EN34" s="60">
        <f t="shared" si="20"/>
        <v>507.05933243024151</v>
      </c>
      <c r="EO34" s="60">
        <f ca="1">AVERAGE(OFFSET($EN$3,0,0,'Données projet'!$E$15+1,1))-AVERAGE(OFFSET($H$3,0,0,'Données projet'!$E$15+1,1))</f>
        <v>457.62828850677369</v>
      </c>
      <c r="EP34" s="60">
        <f t="shared" si="46"/>
        <v>282.78263556175563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7.8</v>
      </c>
      <c r="FE34" s="13">
        <f>IF('Données projet'!$A$218&gt;35,FE33+FD34-FM33,IF(A34&lt;'Données projet'!$A$218,$FB$205^A34,IF(A34='Données projet'!$A$218,'Données projet'!$B$218,FE33+FD34-FM33)))</f>
        <v>84.8</v>
      </c>
      <c r="FF34" s="18">
        <f>FE34*VLOOKUP('Données projet'!$B$16,Paramètres!$A$1:$I$89,3,0)*VLOOKUP('Données projet'!$B$16,Paramètres!$A$1:$I$89,5,0)</f>
        <v>92.601599999999991</v>
      </c>
      <c r="FG34" s="14">
        <f t="shared" si="47"/>
        <v>25.191623861555186</v>
      </c>
      <c r="FH34" s="22">
        <f t="shared" si="22"/>
        <v>205.15653155887526</v>
      </c>
      <c r="FI34" s="60">
        <f t="shared" si="23"/>
        <v>498.48986489220857</v>
      </c>
      <c r="FJ34" s="60">
        <f ca="1">AVERAGE(OFFSET($FI$3,0,0,'Données projet'!$E$16+1,1))-AVERAGE(OFFSET($H$3,0,0,'Données projet'!$E$16+1,1))</f>
        <v>440.52623925652182</v>
      </c>
      <c r="FK34" s="60">
        <f t="shared" si="48"/>
        <v>272.91122662088918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17</v>
      </c>
      <c r="FZ34" s="13">
        <f>IF('Données projet'!$A$244&gt;35,FZ33+FY34-GH33,IF(A34&lt;'Données projet'!$A$244,$FW$205^A34,IF(A34='Données projet'!$A$244,'Données projet'!$B$244,FZ33+FY34-GH33)))</f>
        <v>212</v>
      </c>
      <c r="GA34" s="18">
        <f>FZ34*VLOOKUP('Données projet'!$B$17,Paramètres!$A$1:$I$89,3,0)*VLOOKUP('Données projet'!$B$17,Paramètres!$A$1:$I$89,5,0)</f>
        <v>99.215999999999994</v>
      </c>
      <c r="GB34" s="14">
        <f t="shared" si="49"/>
        <v>26.775134885576414</v>
      </c>
      <c r="GC34" s="22">
        <f t="shared" si="25"/>
        <v>219.43455992571219</v>
      </c>
      <c r="GD34" s="60">
        <f t="shared" si="26"/>
        <v>512.76789325904554</v>
      </c>
      <c r="GE34" s="60">
        <f ca="1">AVERAGE(OFFSET($GD$3,0,0,'Données projet'!$E$17+1,1))-AVERAGE(OFFSET($H$3,0,0,'Données projet'!$E$17+1,1))</f>
        <v>317.54276561627643</v>
      </c>
      <c r="GF34" s="60">
        <f t="shared" si="50"/>
        <v>238.92443174298893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>
        <f>GU34*VLOOKUP('Données projet'!$B$18,Paramètres!$A$1:$I$89,3,0)*VLOOKUP('Données projet'!$B$18,Paramètres!$A$1:$I$89,5,0)</f>
        <v>0</v>
      </c>
      <c r="GW34" s="14" t="e">
        <f t="shared" si="51"/>
        <v>#NUM!</v>
      </c>
      <c r="GX34" s="22" t="e">
        <f t="shared" si="28"/>
        <v>#NUM!</v>
      </c>
      <c r="GY34" s="60" t="e">
        <f t="shared" si="29"/>
        <v>#NUM!</v>
      </c>
      <c r="GZ34" s="60">
        <f ca="1">AVERAGE(OFFSET($GY$3,0,0,'Données projet'!$E$18+1,1))-AVERAGE(OFFSET($H$3,0,0,'Données projet'!$E$18+1,1))</f>
        <v>79.868679770907136</v>
      </c>
      <c r="HA34" s="60">
        <f t="shared" si="52"/>
        <v>370.47471103028312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60.91387163558467</v>
      </c>
      <c r="HH34" s="23">
        <f>EXP(-LN(2)/25)*HH33+(1-EXP(-LN(2)/25))/(LN(2)/25)*Calculateur!HC34*Calculateur!HE34*VLOOKUP('Données projet'!$B$18,Paramètres!$A$1:$I$89,3,0)*0.475*44/12</f>
        <v>14.693534366898987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75.607406002483657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0">
        <f t="shared" si="0"/>
        <v>636.35661254650108</v>
      </c>
      <c r="S35" s="60">
        <f ca="1">AVERAGE(OFFSET($R$3,0,0,'Données projet'!$E$9+1,1))-AVERAGE(OFFSET($H$3,0,0,'Données projet'!$E$9+1,1))</f>
        <v>206.5885410269899</v>
      </c>
      <c r="T35" s="60">
        <f t="shared" si="34"/>
        <v>347.41156847586302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12.625</v>
      </c>
      <c r="AI35" s="14">
        <f>IF('Données projet'!$A$62&gt;35,AI34+AH35-AQ34,IF(A35&lt;'Données projet'!$A$62,$AF$205^A35,IF(A35='Données projet'!$A$62,'Données projet'!$B$62,AI34+AH35-AQ34)))</f>
        <v>262.25000000000006</v>
      </c>
      <c r="AJ35" s="14">
        <f>AI35*VLOOKUP('Données projet'!$B$10,Paramètres!$A$1:$I$89,3,0)*VLOOKUP('Données projet'!$B$10,Paramètres!$A$1:$I$89,5,0)</f>
        <v>156.82550000000006</v>
      </c>
      <c r="AK35" s="14">
        <f t="shared" si="35"/>
        <v>40.12566509846944</v>
      </c>
      <c r="AL35" s="22">
        <f t="shared" si="4"/>
        <v>343.02327921316777</v>
      </c>
      <c r="AM35" s="60">
        <f t="shared" si="5"/>
        <v>636.35661254650108</v>
      </c>
      <c r="AN35" s="60">
        <f ca="1">AVERAGE(OFFSET($AM$3,0,0,'Données projet'!$E$10+1,1))-AVERAGE(OFFSET($H$3,0,0,'Données projet'!$E$10+1,1))</f>
        <v>206.5885410269899</v>
      </c>
      <c r="AO35" s="60">
        <f t="shared" si="36"/>
        <v>347.41156847586302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10.023989048574924</v>
      </c>
      <c r="AV35" s="23">
        <f>EXP(-LN(2)/25)*AV34+(1-EXP(-LN(2)/25))/(LN(2)/25)*Calculateur!AQ35*Calculateur!AS35*VLOOKUP('Données projet'!$B$10,Paramètres!$A$1:$I$89,3,0)*0.475*44/12</f>
        <v>3.1627440891777532</v>
      </c>
      <c r="AW35" s="23">
        <f>EXP(-LN(2)/2)*AW34+(1-EXP(-LN(2)/2))/(LN(2)/2)*AQ35*AT35*VLOOKUP('Données projet'!$B$10,Paramètres!$A$1:$I$89,3,0)*0.475*44/12</f>
        <v>1.516149171945008</v>
      </c>
      <c r="AX35" s="23">
        <f t="shared" si="6"/>
        <v>14.702882309697685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92.6</v>
      </c>
      <c r="BE35" s="14">
        <f>BD35*VLOOKUP('Données projet'!$B$11,Paramètres!$A$1:$I$89,3,0)*VLOOKUP('Données projet'!$B$11,Paramètres!$A$1:$I$89,5,0)</f>
        <v>88.118160000000003</v>
      </c>
      <c r="BF35" s="14">
        <f t="shared" si="37"/>
        <v>24.110813848758355</v>
      </c>
      <c r="BG35" s="22">
        <f t="shared" si="7"/>
        <v>195.46546278658749</v>
      </c>
      <c r="BH35" s="60">
        <f t="shared" si="8"/>
        <v>488.79879611992078</v>
      </c>
      <c r="BI35" s="60">
        <f ca="1">AVERAGE(OFFSET($BH$3,0,0,'Données projet'!$E$11+1,1))-AVERAGE(OFFSET($H$3,0,0,'Données projet'!$E$11+1,1))</f>
        <v>389.12604446638119</v>
      </c>
      <c r="BJ35" s="60">
        <f t="shared" si="38"/>
        <v>243.23852967152732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7.8</v>
      </c>
      <c r="BY35" s="13">
        <f>IF('Données projet'!$A$114&gt;35,BY34+BX35-CG34,IF(A35&lt;'Données projet'!$A$114,$BV$205^A35,IF(A35='Données projet'!$A$114,'Données projet'!$B$114,BY34+BX35-CG34)))</f>
        <v>92.6</v>
      </c>
      <c r="BZ35" s="14">
        <f>BY35*VLOOKUP('Données projet'!$B$12,Paramètres!$A$1:$I$89,3,0)*VLOOKUP('Données projet'!$B$12,Paramètres!$A$1:$I$89,5,0)</f>
        <v>83.784479999999988</v>
      </c>
      <c r="CA35" s="14">
        <f t="shared" si="39"/>
        <v>23.06000530770384</v>
      </c>
      <c r="CB35" s="22">
        <f t="shared" si="10"/>
        <v>186.08747857758416</v>
      </c>
      <c r="CC35" s="60">
        <f t="shared" si="11"/>
        <v>479.42081191091745</v>
      </c>
      <c r="CD35" s="60">
        <f ca="1">AVERAGE(OFFSET($CC$3,0,0,'Données projet'!$E$12+1,1))-AVERAGE(OFFSET($H$3,0,0,'Données projet'!$E$12+1,1))</f>
        <v>371.95849973474657</v>
      </c>
      <c r="CE35" s="60">
        <f t="shared" si="40"/>
        <v>233.32640143610547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9.5675423876534076</v>
      </c>
      <c r="CN35" s="24">
        <f t="shared" si="12"/>
        <v>9.5675423876534076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7.8</v>
      </c>
      <c r="CT35" s="13">
        <f>IF('Données projet'!$A$140&gt;35,CT34+CS35-DB34,IF(A35&lt;'Données projet'!$A$140,$CQ$205^A35,IF(A35='Données projet'!$A$140,'Données projet'!$B$140,CT34+CS35-DB34)))</f>
        <v>92.6</v>
      </c>
      <c r="CU35" s="18">
        <f>CT35*VLOOKUP('Données projet'!$B$13,Paramètres!$A$1:$I$89,3,0)*VLOOKUP('Données projet'!$B$13,Paramètres!$A$1:$I$89,5,0)</f>
        <v>89.562719999999999</v>
      </c>
      <c r="CV35" s="14">
        <f t="shared" si="41"/>
        <v>24.459733711744541</v>
      </c>
      <c r="CW35" s="22">
        <f t="shared" si="13"/>
        <v>198.58910688128836</v>
      </c>
      <c r="CX35" s="60">
        <f t="shared" si="14"/>
        <v>491.9224402146217</v>
      </c>
      <c r="CY35" s="60">
        <f ca="1">AVERAGE(OFFSET($CX$3,0,0,'Données projet'!$E$13+1,1))-AVERAGE(OFFSET($H$3,0,0,'Données projet'!$E$13+1,1))</f>
        <v>394.8445842828649</v>
      </c>
      <c r="CZ35" s="60">
        <f t="shared" si="42"/>
        <v>246.54010105494143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10.227372897146749</v>
      </c>
      <c r="DI35" s="24">
        <f t="shared" si="15"/>
        <v>10.227372897146749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7.8</v>
      </c>
      <c r="DO35" s="13">
        <f>IF('Données projet'!$A$166&gt;35,DO34+DN35-DW34,IF(A35&lt;'Données projet'!$A$166,$DL$205^A35,IF(A35='Données projet'!$A$166,'Données projet'!$B$166,DO34+DN35-DW34)))</f>
        <v>113.59999999999998</v>
      </c>
      <c r="DP35" s="18">
        <f>DO35*VLOOKUP('Données projet'!$B$14,Paramètres!$A$1:$I$89,3,0)*VLOOKUP('Données projet'!$B$14,Paramètres!$A$1:$I$89,5,0)</f>
        <v>99.240959999999987</v>
      </c>
      <c r="DQ35" s="14">
        <f t="shared" si="43"/>
        <v>26.781086624650886</v>
      </c>
      <c r="DR35" s="22">
        <f t="shared" si="16"/>
        <v>219.48839787126693</v>
      </c>
      <c r="DS35" s="60">
        <f t="shared" si="17"/>
        <v>512.82173120460027</v>
      </c>
      <c r="DT35" s="60">
        <f ca="1">AVERAGE(OFFSET($DS$3,0,0,'Données projet'!$E$14+1,1))-AVERAGE(OFFSET($H$3,0,0,'Données projet'!$E$14+1,1))</f>
        <v>266.98113257513319</v>
      </c>
      <c r="DU35" s="60">
        <f t="shared" si="44"/>
        <v>275.73257102713393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10.53323143047785</v>
      </c>
      <c r="EC35" s="23">
        <f>EXP(-LN(2)/2)*EC34+(1-EXP(-LN(2)/2))/(LN(2)/2)*DW35*DZ35*VLOOKUP('Données projet'!$B$14,Paramètres!$A$1:$I$89,3,0)*0.475*44/12</f>
        <v>5.2332991927646466</v>
      </c>
      <c r="ED35" s="24">
        <f t="shared" si="18"/>
        <v>15.766530623242495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7.8</v>
      </c>
      <c r="EJ35" s="13">
        <f>IF('Données projet'!$A$192&gt;35,EJ34+EI35-ER34,IF(A35&lt;'Données projet'!$A$192,$EG$205^A35,IF(A35='Données projet'!$A$192,'Données projet'!$B$192,EJ34+EI35-ER34)))</f>
        <v>92.6</v>
      </c>
      <c r="EK35" s="18">
        <f>EJ35*VLOOKUP('Données projet'!$B$15,Paramètres!$A$1:$I$89,3,0)*VLOOKUP('Données projet'!$B$15,Paramètres!$A$1:$I$89,5,0)</f>
        <v>105.45288000000001</v>
      </c>
      <c r="EL35" s="14">
        <f t="shared" si="45"/>
        <v>28.25702962977704</v>
      </c>
      <c r="EM35" s="22">
        <f t="shared" si="19"/>
        <v>232.87809260519506</v>
      </c>
      <c r="EN35" s="60">
        <f t="shared" si="20"/>
        <v>526.21142593852835</v>
      </c>
      <c r="EO35" s="60">
        <f ca="1">AVERAGE(OFFSET($EN$3,0,0,'Données projet'!$E$15+1,1))-AVERAGE(OFFSET($H$3,0,0,'Données projet'!$E$15+1,1))</f>
        <v>457.62828850677369</v>
      </c>
      <c r="EP35" s="60">
        <f t="shared" si="46"/>
        <v>282.78263556175563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7.8</v>
      </c>
      <c r="FE35" s="13">
        <f>IF('Données projet'!$A$218&gt;35,FE34+FD35-FM34,IF(A35&lt;'Données projet'!$A$218,$FB$205^A35,IF(A35='Données projet'!$A$218,'Données projet'!$B$218,FE34+FD35-FM34)))</f>
        <v>92.6</v>
      </c>
      <c r="FF35" s="18">
        <f>FE35*VLOOKUP('Données projet'!$B$16,Paramètres!$A$1:$I$89,3,0)*VLOOKUP('Données projet'!$B$16,Paramètres!$A$1:$I$89,5,0)</f>
        <v>101.11919999999999</v>
      </c>
      <c r="FG35" s="14">
        <f t="shared" si="47"/>
        <v>27.228458555523137</v>
      </c>
      <c r="FH35" s="22">
        <f t="shared" si="22"/>
        <v>223.53883865086948</v>
      </c>
      <c r="FI35" s="60">
        <f t="shared" si="23"/>
        <v>516.87217198420285</v>
      </c>
      <c r="FJ35" s="60">
        <f ca="1">AVERAGE(OFFSET($FI$3,0,0,'Données projet'!$E$16+1,1))-AVERAGE(OFFSET($H$3,0,0,'Données projet'!$E$16+1,1))</f>
        <v>440.52623925652182</v>
      </c>
      <c r="FK35" s="60">
        <f t="shared" si="48"/>
        <v>272.91122662088918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17</v>
      </c>
      <c r="FZ35" s="13">
        <f>IF('Données projet'!$A$244&gt;35,FZ34+FY35-GH34,IF(A35&lt;'Données projet'!$A$244,$FW$205^A35,IF(A35='Données projet'!$A$244,'Données projet'!$B$244,FZ34+FY35-GH34)))</f>
        <v>229</v>
      </c>
      <c r="GA35" s="18">
        <f>FZ35*VLOOKUP('Données projet'!$B$17,Paramètres!$A$1:$I$89,3,0)*VLOOKUP('Données projet'!$B$17,Paramètres!$A$1:$I$89,5,0)</f>
        <v>107.172</v>
      </c>
      <c r="GB35" s="14">
        <f t="shared" si="49"/>
        <v>28.663679082578788</v>
      </c>
      <c r="GC35" s="22">
        <f t="shared" si="25"/>
        <v>236.58047440215805</v>
      </c>
      <c r="GD35" s="60">
        <f t="shared" si="26"/>
        <v>529.91380773549133</v>
      </c>
      <c r="GE35" s="60">
        <f ca="1">AVERAGE(OFFSET($GD$3,0,0,'Données projet'!$E$17+1,1))-AVERAGE(OFFSET($H$3,0,0,'Données projet'!$E$17+1,1))</f>
        <v>317.54276561627643</v>
      </c>
      <c r="GF35" s="60">
        <f t="shared" si="50"/>
        <v>238.92443174298893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>
        <f>GU35*VLOOKUP('Données projet'!$B$18,Paramètres!$A$1:$I$89,3,0)*VLOOKUP('Données projet'!$B$18,Paramètres!$A$1:$I$89,5,0)</f>
        <v>0</v>
      </c>
      <c r="GW35" s="14" t="e">
        <f t="shared" si="51"/>
        <v>#NUM!</v>
      </c>
      <c r="GX35" s="22" t="e">
        <f t="shared" si="28"/>
        <v>#NUM!</v>
      </c>
      <c r="GY35" s="60" t="e">
        <f t="shared" si="29"/>
        <v>#NUM!</v>
      </c>
      <c r="GZ35" s="60">
        <f ca="1">AVERAGE(OFFSET($GY$3,0,0,'Données projet'!$E$18+1,1))-AVERAGE(OFFSET($H$3,0,0,'Données projet'!$E$18+1,1))</f>
        <v>79.868679770907136</v>
      </c>
      <c r="HA35" s="60">
        <f t="shared" si="52"/>
        <v>370.47471103028312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59.719387766603923</v>
      </c>
      <c r="HH35" s="23">
        <f>EXP(-LN(2)/25)*HH34+(1-EXP(-LN(2)/25))/(LN(2)/25)*Calculateur!HC35*Calculateur!HE35*VLOOKUP('Données projet'!$B$18,Paramètres!$A$1:$I$89,3,0)*0.475*44/12</f>
        <v>14.291738896936744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74.011126663540665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0">
        <f t="shared" si="0"/>
        <v>652.47033027175962</v>
      </c>
      <c r="S36" s="60">
        <f ca="1">AVERAGE(OFFSET($R$3,0,0,'Données projet'!$E$9+1,1))-AVERAGE(OFFSET($H$3,0,0,'Données projet'!$E$9+1,1))</f>
        <v>206.5885410269899</v>
      </c>
      <c r="T36" s="60">
        <f t="shared" si="34"/>
        <v>347.41156847586302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12.625</v>
      </c>
      <c r="AI36" s="14">
        <f>IF('Données projet'!$A$62&gt;35,AI35+AH36-AQ35,IF(A36&lt;'Données projet'!$A$62,$AF$205^A36,IF(A36='Données projet'!$A$62,'Données projet'!$B$62,AI35+AH36-AQ35)))</f>
        <v>274.87500000000006</v>
      </c>
      <c r="AJ36" s="14">
        <f>AI36*VLOOKUP('Données projet'!$B$10,Paramètres!$A$1:$I$89,3,0)*VLOOKUP('Données projet'!$B$10,Paramètres!$A$1:$I$89,5,0)</f>
        <v>164.37525000000005</v>
      </c>
      <c r="AK36" s="14">
        <f t="shared" si="35"/>
        <v>41.827810443115574</v>
      </c>
      <c r="AL36" s="22">
        <f t="shared" si="4"/>
        <v>359.13699693842636</v>
      </c>
      <c r="AM36" s="60">
        <f t="shared" si="5"/>
        <v>652.47033027175962</v>
      </c>
      <c r="AN36" s="60">
        <f ca="1">AVERAGE(OFFSET($AM$3,0,0,'Données projet'!$E$10+1,1))-AVERAGE(OFFSET($H$3,0,0,'Données projet'!$E$10+1,1))</f>
        <v>206.5885410269899</v>
      </c>
      <c r="AO36" s="60">
        <f t="shared" si="36"/>
        <v>347.41156847586302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9.8274247373619783</v>
      </c>
      <c r="AV36" s="23">
        <f>EXP(-LN(2)/25)*AV35+(1-EXP(-LN(2)/25))/(LN(2)/25)*Calculateur!AQ36*Calculateur!AS36*VLOOKUP('Données projet'!$B$10,Paramètres!$A$1:$I$89,3,0)*0.475*44/12</f>
        <v>3.0762586857377046</v>
      </c>
      <c r="AW36" s="23">
        <f>EXP(-LN(2)/2)*AW35+(1-EXP(-LN(2)/2))/(LN(2)/2)*AQ36*AT36*VLOOKUP('Données projet'!$B$10,Paramètres!$A$1:$I$89,3,0)*0.475*44/12</f>
        <v>1.072079360772684</v>
      </c>
      <c r="AX36" s="23">
        <f t="shared" si="6"/>
        <v>13.975762783872366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100.39999999999999</v>
      </c>
      <c r="BE36" s="14">
        <f>BD36*VLOOKUP('Données projet'!$B$11,Paramètres!$A$1:$I$89,3,0)*VLOOKUP('Données projet'!$B$11,Paramètres!$A$1:$I$89,5,0)</f>
        <v>95.540639999999996</v>
      </c>
      <c r="BF36" s="14">
        <f t="shared" si="37"/>
        <v>25.89681240703468</v>
      </c>
      <c r="BG36" s="22">
        <f t="shared" si="7"/>
        <v>211.50356294225205</v>
      </c>
      <c r="BH36" s="60">
        <f t="shared" si="8"/>
        <v>504.83689627558533</v>
      </c>
      <c r="BI36" s="60">
        <f ca="1">AVERAGE(OFFSET($BH$3,0,0,'Données projet'!$E$11+1,1))-AVERAGE(OFFSET($H$3,0,0,'Données projet'!$E$11+1,1))</f>
        <v>389.12604446638119</v>
      </c>
      <c r="BJ36" s="60">
        <f t="shared" si="38"/>
        <v>243.23852967152732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7.8</v>
      </c>
      <c r="BY36" s="13">
        <f>IF('Données projet'!$A$114&gt;35,BY35+BX36-CG35,IF(A36&lt;'Données projet'!$A$114,$BV$205^A36,IF(A36='Données projet'!$A$114,'Données projet'!$B$114,BY35+BX36-CG35)))</f>
        <v>100.39999999999999</v>
      </c>
      <c r="BZ36" s="14">
        <f>BY36*VLOOKUP('Données projet'!$B$12,Paramètres!$A$1:$I$89,3,0)*VLOOKUP('Données projet'!$B$12,Paramètres!$A$1:$I$89,5,0)</f>
        <v>90.841919999999988</v>
      </c>
      <c r="CA36" s="14">
        <f t="shared" si="39"/>
        <v>24.768165658148625</v>
      </c>
      <c r="CB36" s="22">
        <f t="shared" si="10"/>
        <v>201.35423252127552</v>
      </c>
      <c r="CC36" s="60">
        <f t="shared" si="11"/>
        <v>494.68756585460881</v>
      </c>
      <c r="CD36" s="60">
        <f ca="1">AVERAGE(OFFSET($CC$3,0,0,'Données projet'!$E$12+1,1))-AVERAGE(OFFSET($H$3,0,0,'Données projet'!$E$12+1,1))</f>
        <v>371.95849973474657</v>
      </c>
      <c r="CE36" s="60">
        <f t="shared" si="40"/>
        <v>233.32640143610547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6.7652741015994566</v>
      </c>
      <c r="CN36" s="24">
        <f t="shared" si="12"/>
        <v>6.7652741015994566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7.8</v>
      </c>
      <c r="CT36" s="13">
        <f>IF('Données projet'!$A$140&gt;35,CT35+CS36-DB35,IF(A36&lt;'Données projet'!$A$140,$CQ$205^A36,IF(A36='Données projet'!$A$140,'Données projet'!$B$140,CT35+CS36-DB35)))</f>
        <v>100.39999999999999</v>
      </c>
      <c r="CU36" s="18">
        <f>CT36*VLOOKUP('Données projet'!$B$13,Paramètres!$A$1:$I$89,3,0)*VLOOKUP('Données projet'!$B$13,Paramètres!$A$1:$I$89,5,0)</f>
        <v>97.106880000000004</v>
      </c>
      <c r="CV36" s="14">
        <f t="shared" si="41"/>
        <v>26.271578364481066</v>
      </c>
      <c r="CW36" s="22">
        <f t="shared" si="13"/>
        <v>214.88414831813785</v>
      </c>
      <c r="CX36" s="60">
        <f t="shared" si="14"/>
        <v>508.21748165147119</v>
      </c>
      <c r="CY36" s="60">
        <f ca="1">AVERAGE(OFFSET($CX$3,0,0,'Données projet'!$E$13+1,1))-AVERAGE(OFFSET($H$3,0,0,'Données projet'!$E$13+1,1))</f>
        <v>394.8445842828649</v>
      </c>
      <c r="CZ36" s="60">
        <f t="shared" si="42"/>
        <v>246.54010105494143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7.2318447292959736</v>
      </c>
      <c r="DI36" s="24">
        <f t="shared" si="15"/>
        <v>7.2318447292959736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7.8</v>
      </c>
      <c r="DO36" s="13">
        <f>IF('Données projet'!$A$166&gt;35,DO35+DN36-DW35,IF(A36&lt;'Données projet'!$A$166,$DL$205^A36,IF(A36='Données projet'!$A$166,'Données projet'!$B$166,DO35+DN36-DW35)))</f>
        <v>121.39999999999998</v>
      </c>
      <c r="DP36" s="18">
        <f>DO36*VLOOKUP('Données projet'!$B$14,Paramètres!$A$1:$I$89,3,0)*VLOOKUP('Données projet'!$B$14,Paramètres!$A$1:$I$89,5,0)</f>
        <v>106.05503999999999</v>
      </c>
      <c r="DQ36" s="14">
        <f t="shared" si="43"/>
        <v>28.399554817794122</v>
      </c>
      <c r="DR36" s="22">
        <f t="shared" si="16"/>
        <v>234.17508597432473</v>
      </c>
      <c r="DS36" s="60">
        <f t="shared" si="17"/>
        <v>527.50841930765807</v>
      </c>
      <c r="DT36" s="60">
        <f ca="1">AVERAGE(OFFSET($DS$3,0,0,'Données projet'!$E$14+1,1))-AVERAGE(OFFSET($H$3,0,0,'Données projet'!$E$14+1,1))</f>
        <v>266.98113257513319</v>
      </c>
      <c r="DU36" s="60">
        <f t="shared" si="44"/>
        <v>275.73257102713393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10.245199663092865</v>
      </c>
      <c r="EC36" s="23">
        <f>EXP(-LN(2)/2)*EC35+(1-EXP(-LN(2)/2))/(LN(2)/2)*DW36*DZ36*VLOOKUP('Données projet'!$B$14,Paramètres!$A$1:$I$89,3,0)*0.475*44/12</f>
        <v>3.7005013471819672</v>
      </c>
      <c r="ED36" s="24">
        <f t="shared" si="18"/>
        <v>13.945701010274833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7.8</v>
      </c>
      <c r="EJ36" s="13">
        <f>IF('Données projet'!$A$192&gt;35,EJ35+EI36-ER35,IF(A36&lt;'Données projet'!$A$192,$EG$205^A36,IF(A36='Données projet'!$A$192,'Données projet'!$B$192,EJ35+EI36-ER35)))</f>
        <v>100.39999999999999</v>
      </c>
      <c r="EK36" s="18">
        <f>EJ36*VLOOKUP('Données projet'!$B$15,Paramètres!$A$1:$I$89,3,0)*VLOOKUP('Données projet'!$B$15,Paramètres!$A$1:$I$89,5,0)</f>
        <v>114.33551999999999</v>
      </c>
      <c r="EL36" s="14">
        <f t="shared" si="45"/>
        <v>30.350157406239582</v>
      </c>
      <c r="EM36" s="22">
        <f t="shared" si="19"/>
        <v>251.99422148253385</v>
      </c>
      <c r="EN36" s="60">
        <f t="shared" si="20"/>
        <v>545.32755481586719</v>
      </c>
      <c r="EO36" s="60">
        <f ca="1">AVERAGE(OFFSET($EN$3,0,0,'Données projet'!$E$15+1,1))-AVERAGE(OFFSET($H$3,0,0,'Données projet'!$E$15+1,1))</f>
        <v>457.62828850677369</v>
      </c>
      <c r="EP36" s="60">
        <f t="shared" si="46"/>
        <v>282.78263556175563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7.8</v>
      </c>
      <c r="FE36" s="13">
        <f>IF('Données projet'!$A$218&gt;35,FE35+FD36-FM35,IF(A36&lt;'Données projet'!$A$218,$FB$205^A36,IF(A36='Données projet'!$A$218,'Données projet'!$B$218,FE35+FD36-FM35)))</f>
        <v>100.39999999999999</v>
      </c>
      <c r="FF36" s="18">
        <f>FE36*VLOOKUP('Données projet'!$B$16,Paramètres!$A$1:$I$89,3,0)*VLOOKUP('Données projet'!$B$16,Paramètres!$A$1:$I$89,5,0)</f>
        <v>109.63679999999998</v>
      </c>
      <c r="FG36" s="14">
        <f t="shared" si="47"/>
        <v>29.245395355305003</v>
      </c>
      <c r="FH36" s="22">
        <f t="shared" si="22"/>
        <v>241.88649024382281</v>
      </c>
      <c r="FI36" s="60">
        <f t="shared" si="23"/>
        <v>535.21982357715615</v>
      </c>
      <c r="FJ36" s="60">
        <f ca="1">AVERAGE(OFFSET($FI$3,0,0,'Données projet'!$E$16+1,1))-AVERAGE(OFFSET($H$3,0,0,'Données projet'!$E$16+1,1))</f>
        <v>440.52623925652182</v>
      </c>
      <c r="FK36" s="60">
        <f t="shared" si="48"/>
        <v>272.91122662088918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17</v>
      </c>
      <c r="FZ36" s="13">
        <f>IF('Données projet'!$A$244&gt;35,FZ35+FY36-GH35,IF(A36&lt;'Données projet'!$A$244,$FW$205^A36,IF(A36='Données projet'!$A$244,'Données projet'!$B$244,FZ35+FY36-GH35)))</f>
        <v>246</v>
      </c>
      <c r="GA36" s="18">
        <f>FZ36*VLOOKUP('Données projet'!$B$17,Paramètres!$A$1:$I$89,3,0)*VLOOKUP('Données projet'!$B$17,Paramètres!$A$1:$I$89,5,0)</f>
        <v>115.128</v>
      </c>
      <c r="GB36" s="14">
        <f t="shared" si="49"/>
        <v>30.53595882135</v>
      </c>
      <c r="GC36" s="22">
        <f t="shared" si="25"/>
        <v>253.69806161385125</v>
      </c>
      <c r="GD36" s="60">
        <f t="shared" si="26"/>
        <v>547.03139494718459</v>
      </c>
      <c r="GE36" s="60">
        <f ca="1">AVERAGE(OFFSET($GD$3,0,0,'Données projet'!$E$17+1,1))-AVERAGE(OFFSET($H$3,0,0,'Données projet'!$E$17+1,1))</f>
        <v>317.54276561627643</v>
      </c>
      <c r="GF36" s="60">
        <f t="shared" si="50"/>
        <v>238.92443174298893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>
        <f>GU36*VLOOKUP('Données projet'!$B$18,Paramètres!$A$1:$I$89,3,0)*VLOOKUP('Données projet'!$B$18,Paramètres!$A$1:$I$89,5,0)</f>
        <v>0</v>
      </c>
      <c r="GW36" s="14" t="e">
        <f t="shared" si="51"/>
        <v>#NUM!</v>
      </c>
      <c r="GX36" s="22" t="e">
        <f t="shared" si="28"/>
        <v>#NUM!</v>
      </c>
      <c r="GY36" s="60" t="e">
        <f t="shared" si="29"/>
        <v>#NUM!</v>
      </c>
      <c r="GZ36" s="60">
        <f ca="1">AVERAGE(OFFSET($GY$3,0,0,'Données projet'!$E$18+1,1))-AVERAGE(OFFSET($H$3,0,0,'Données projet'!$E$18+1,1))</f>
        <v>79.868679770907136</v>
      </c>
      <c r="HA36" s="60">
        <f t="shared" si="52"/>
        <v>370.47471103028312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58.548326997730662</v>
      </c>
      <c r="HH36" s="23">
        <f>EXP(-LN(2)/25)*HH35+(1-EXP(-LN(2)/25))/(LN(2)/25)*Calculateur!HC36*Calculateur!HE36*VLOOKUP('Données projet'!$B$18,Paramètres!$A$1:$I$89,3,0)*0.475*44/12</f>
        <v>13.900930545230125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72.449257542960794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0">
        <f t="shared" si="0"/>
        <v>668.56823509196704</v>
      </c>
      <c r="S37" s="60">
        <f ca="1">AVERAGE(OFFSET($R$3,0,0,'Données projet'!$E$9+1,1))-AVERAGE(OFFSET($H$3,0,0,'Données projet'!$E$9+1,1))</f>
        <v>206.5885410269899</v>
      </c>
      <c r="T37" s="60">
        <f t="shared" si="34"/>
        <v>347.41156847586302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12.625</v>
      </c>
      <c r="AI37" s="14">
        <f>IF('Données projet'!$A$62&gt;35,AI36+AH37-AQ36,IF(A37&lt;'Données projet'!$A$62,$AF$205^A37,IF(A37='Données projet'!$A$62,'Données projet'!$B$62,AI36+AH37-AQ36)))</f>
        <v>287.50000000000006</v>
      </c>
      <c r="AJ37" s="14">
        <f>AI37*VLOOKUP('Données projet'!$B$10,Paramètres!$A$1:$I$89,3,0)*VLOOKUP('Données projet'!$B$10,Paramètres!$A$1:$I$89,5,0)</f>
        <v>171.92500000000004</v>
      </c>
      <c r="AK37" s="14">
        <f t="shared" si="35"/>
        <v>43.520876607827979</v>
      </c>
      <c r="AL37" s="22">
        <f t="shared" si="4"/>
        <v>375.23490175863373</v>
      </c>
      <c r="AM37" s="60">
        <f t="shared" si="5"/>
        <v>668.56823509196704</v>
      </c>
      <c r="AN37" s="60">
        <f ca="1">AVERAGE(OFFSET($AM$3,0,0,'Données projet'!$E$10+1,1))-AVERAGE(OFFSET($H$3,0,0,'Données projet'!$E$10+1,1))</f>
        <v>206.5885410269899</v>
      </c>
      <c r="AO37" s="60">
        <f t="shared" si="36"/>
        <v>347.41156847586302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9.6347149323995271</v>
      </c>
      <c r="AV37" s="23">
        <f>EXP(-LN(2)/25)*AV36+(1-EXP(-LN(2)/25))/(LN(2)/25)*Calculateur!AQ37*Calculateur!AS37*VLOOKUP('Données projet'!$B$10,Paramètres!$A$1:$I$89,3,0)*0.475*44/12</f>
        <v>2.9921382302027935</v>
      </c>
      <c r="AW37" s="23">
        <f>EXP(-LN(2)/2)*AW36+(1-EXP(-LN(2)/2))/(LN(2)/2)*AQ37*AT37*VLOOKUP('Données projet'!$B$10,Paramètres!$A$1:$I$89,3,0)*0.475*44/12</f>
        <v>0.75807458597250399</v>
      </c>
      <c r="AX37" s="23">
        <f t="shared" si="6"/>
        <v>13.384927748574825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108.19999999999999</v>
      </c>
      <c r="BE37" s="14">
        <f>BD37*VLOOKUP('Données projet'!$B$11,Paramètres!$A$1:$I$89,3,0)*VLOOKUP('Données projet'!$B$11,Paramètres!$A$1:$I$89,5,0)</f>
        <v>102.96311999999999</v>
      </c>
      <c r="BF37" s="14">
        <f t="shared" si="37"/>
        <v>27.666715856510024</v>
      </c>
      <c r="BG37" s="22">
        <f t="shared" si="7"/>
        <v>227.51363078342158</v>
      </c>
      <c r="BH37" s="60">
        <f t="shared" si="8"/>
        <v>520.84696411675486</v>
      </c>
      <c r="BI37" s="60">
        <f ca="1">AVERAGE(OFFSET($BH$3,0,0,'Données projet'!$E$11+1,1))-AVERAGE(OFFSET($H$3,0,0,'Données projet'!$E$11+1,1))</f>
        <v>389.12604446638119</v>
      </c>
      <c r="BJ37" s="60">
        <f t="shared" si="38"/>
        <v>243.23852967152732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7.8</v>
      </c>
      <c r="BY37" s="13">
        <f>IF('Données projet'!$A$114&gt;35,BY36+BX37-CG36,IF(A37&lt;'Données projet'!$A$114,$BV$205^A37,IF(A37='Données projet'!$A$114,'Données projet'!$B$114,BY36+BX37-CG36)))</f>
        <v>108.19999999999999</v>
      </c>
      <c r="BZ37" s="14">
        <f>BY37*VLOOKUP('Données projet'!$B$12,Paramètres!$A$1:$I$89,3,0)*VLOOKUP('Données projet'!$B$12,Paramètres!$A$1:$I$89,5,0)</f>
        <v>97.899359999999987</v>
      </c>
      <c r="CA37" s="14">
        <f t="shared" si="39"/>
        <v>26.460932364201845</v>
      </c>
      <c r="CB37" s="22">
        <f t="shared" si="10"/>
        <v>216.59417586765153</v>
      </c>
      <c r="CC37" s="60">
        <f t="shared" si="11"/>
        <v>509.92750920098484</v>
      </c>
      <c r="CD37" s="60">
        <f ca="1">AVERAGE(OFFSET($CC$3,0,0,'Données projet'!$E$12+1,1))-AVERAGE(OFFSET($H$3,0,0,'Données projet'!$E$12+1,1))</f>
        <v>371.95849973474657</v>
      </c>
      <c r="CE37" s="60">
        <f t="shared" si="40"/>
        <v>233.32640143610547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4.7837711938267038</v>
      </c>
      <c r="CN37" s="24">
        <f t="shared" si="12"/>
        <v>4.7837711938267038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7.8</v>
      </c>
      <c r="CT37" s="13">
        <f>IF('Données projet'!$A$140&gt;35,CT36+CS37-DB36,IF(A37&lt;'Données projet'!$A$140,$CQ$205^A37,IF(A37='Données projet'!$A$140,'Données projet'!$B$140,CT36+CS37-DB36)))</f>
        <v>108.19999999999999</v>
      </c>
      <c r="CU37" s="18">
        <f>CT37*VLOOKUP('Données projet'!$B$13,Paramètres!$A$1:$I$89,3,0)*VLOOKUP('Données projet'!$B$13,Paramètres!$A$1:$I$89,5,0)</f>
        <v>104.65103999999998</v>
      </c>
      <c r="CV37" s="14">
        <f t="shared" si="41"/>
        <v>28.067094987902482</v>
      </c>
      <c r="CW37" s="22">
        <f t="shared" si="13"/>
        <v>231.15075177059677</v>
      </c>
      <c r="CX37" s="60">
        <f t="shared" si="14"/>
        <v>524.48408510393006</v>
      </c>
      <c r="CY37" s="60">
        <f ca="1">AVERAGE(OFFSET($CX$3,0,0,'Données projet'!$E$13+1,1))-AVERAGE(OFFSET($H$3,0,0,'Données projet'!$E$13+1,1))</f>
        <v>394.8445842828649</v>
      </c>
      <c r="CZ37" s="60">
        <f t="shared" si="42"/>
        <v>246.54010105494143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5.1136864485733753</v>
      </c>
      <c r="DI37" s="24">
        <f t="shared" si="15"/>
        <v>5.1136864485733753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7.8</v>
      </c>
      <c r="DO37" s="13">
        <f>IF('Données projet'!$A$166&gt;35,DO36+DN37-DW36,IF(A37&lt;'Données projet'!$A$166,$DL$205^A37,IF(A37='Données projet'!$A$166,'Données projet'!$B$166,DO36+DN37-DW36)))</f>
        <v>129.19999999999999</v>
      </c>
      <c r="DP37" s="18">
        <f>DO37*VLOOKUP('Données projet'!$B$14,Paramètres!$A$1:$I$89,3,0)*VLOOKUP('Données projet'!$B$14,Paramètres!$A$1:$I$89,5,0)</f>
        <v>112.86912000000001</v>
      </c>
      <c r="DQ37" s="14">
        <f t="shared" si="43"/>
        <v>30.00595528244644</v>
      </c>
      <c r="DR37" s="22">
        <f t="shared" si="16"/>
        <v>248.84075611692757</v>
      </c>
      <c r="DS37" s="60">
        <f t="shared" si="17"/>
        <v>542.17408945026091</v>
      </c>
      <c r="DT37" s="60">
        <f ca="1">AVERAGE(OFFSET($DS$3,0,0,'Données projet'!$E$14+1,1))-AVERAGE(OFFSET($H$3,0,0,'Données projet'!$E$14+1,1))</f>
        <v>266.98113257513319</v>
      </c>
      <c r="DU37" s="60">
        <f t="shared" si="44"/>
        <v>275.73257102713393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9.9650441395339566</v>
      </c>
      <c r="EC37" s="23">
        <f>EXP(-LN(2)/2)*EC36+(1-EXP(-LN(2)/2))/(LN(2)/2)*DW37*DZ37*VLOOKUP('Données projet'!$B$14,Paramètres!$A$1:$I$89,3,0)*0.475*44/12</f>
        <v>2.6166495963823238</v>
      </c>
      <c r="ED37" s="24">
        <f t="shared" si="18"/>
        <v>12.58169373591628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7.8</v>
      </c>
      <c r="EJ37" s="13">
        <f>IF('Données projet'!$A$192&gt;35,EJ36+EI37-ER36,IF(A37&lt;'Données projet'!$A$192,$EG$205^A37,IF(A37='Données projet'!$A$192,'Données projet'!$B$192,EJ36+EI37-ER36)))</f>
        <v>108.19999999999999</v>
      </c>
      <c r="EK37" s="18">
        <f>EJ37*VLOOKUP('Données projet'!$B$15,Paramètres!$A$1:$I$89,3,0)*VLOOKUP('Données projet'!$B$15,Paramètres!$A$1:$I$89,5,0)</f>
        <v>123.21815999999998</v>
      </c>
      <c r="EL37" s="14">
        <f t="shared" si="45"/>
        <v>32.424422278731427</v>
      </c>
      <c r="EM37" s="22">
        <f t="shared" si="19"/>
        <v>271.07749746879057</v>
      </c>
      <c r="EN37" s="60">
        <f t="shared" si="20"/>
        <v>564.41083080212388</v>
      </c>
      <c r="EO37" s="60">
        <f ca="1">AVERAGE(OFFSET($EN$3,0,0,'Données projet'!$E$15+1,1))-AVERAGE(OFFSET($H$3,0,0,'Données projet'!$E$15+1,1))</f>
        <v>457.62828850677369</v>
      </c>
      <c r="EP37" s="60">
        <f t="shared" si="46"/>
        <v>282.78263556175563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7.8</v>
      </c>
      <c r="FE37" s="13">
        <f>IF('Données projet'!$A$218&gt;35,FE36+FD37-FM36,IF(A37&lt;'Données projet'!$A$218,$FB$205^A37,IF(A37='Données projet'!$A$218,'Données projet'!$B$218,FE36+FD37-FM36)))</f>
        <v>108.19999999999999</v>
      </c>
      <c r="FF37" s="18">
        <f>FE37*VLOOKUP('Données projet'!$B$16,Paramètres!$A$1:$I$89,3,0)*VLOOKUP('Données projet'!$B$16,Paramètres!$A$1:$I$89,5,0)</f>
        <v>118.15439999999997</v>
      </c>
      <c r="FG37" s="14">
        <f t="shared" si="47"/>
        <v>31.244155870964601</v>
      </c>
      <c r="FH37" s="22">
        <f t="shared" si="22"/>
        <v>260.20248480859658</v>
      </c>
      <c r="FI37" s="60">
        <f t="shared" si="23"/>
        <v>553.53581814192989</v>
      </c>
      <c r="FJ37" s="60">
        <f ca="1">AVERAGE(OFFSET($FI$3,0,0,'Données projet'!$E$16+1,1))-AVERAGE(OFFSET($H$3,0,0,'Données projet'!$E$16+1,1))</f>
        <v>440.52623925652182</v>
      </c>
      <c r="FK37" s="60">
        <f t="shared" si="48"/>
        <v>272.91122662088918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17</v>
      </c>
      <c r="FZ37" s="13">
        <f>IF('Données projet'!$A$244&gt;35,FZ36+FY37-GH36,IF(A37&lt;'Données projet'!$A$244,$FW$205^A37,IF(A37='Données projet'!$A$244,'Données projet'!$B$244,FZ36+FY37-GH36)))</f>
        <v>263</v>
      </c>
      <c r="GA37" s="18">
        <f>FZ37*VLOOKUP('Données projet'!$B$17,Paramètres!$A$1:$I$89,3,0)*VLOOKUP('Données projet'!$B$17,Paramètres!$A$1:$I$89,5,0)</f>
        <v>123.08399999999999</v>
      </c>
      <c r="GB37" s="14">
        <f t="shared" si="49"/>
        <v>32.393225926509828</v>
      </c>
      <c r="GC37" s="22">
        <f t="shared" si="25"/>
        <v>270.78950182200458</v>
      </c>
      <c r="GD37" s="60">
        <f t="shared" si="26"/>
        <v>564.12283515533795</v>
      </c>
      <c r="GE37" s="60">
        <f ca="1">AVERAGE(OFFSET($GD$3,0,0,'Données projet'!$E$17+1,1))-AVERAGE(OFFSET($H$3,0,0,'Données projet'!$E$17+1,1))</f>
        <v>317.54276561627643</v>
      </c>
      <c r="GF37" s="60">
        <f t="shared" si="50"/>
        <v>238.92443174298893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>
        <f>GU37*VLOOKUP('Données projet'!$B$18,Paramètres!$A$1:$I$89,3,0)*VLOOKUP('Données projet'!$B$18,Paramètres!$A$1:$I$89,5,0)</f>
        <v>0</v>
      </c>
      <c r="GW37" s="14" t="e">
        <f t="shared" si="51"/>
        <v>#NUM!</v>
      </c>
      <c r="GX37" s="22" t="e">
        <f t="shared" si="28"/>
        <v>#NUM!</v>
      </c>
      <c r="GY37" s="60" t="e">
        <f t="shared" si="29"/>
        <v>#NUM!</v>
      </c>
      <c r="GZ37" s="60">
        <f ca="1">AVERAGE(OFFSET($GY$3,0,0,'Données projet'!$E$18+1,1))-AVERAGE(OFFSET($H$3,0,0,'Données projet'!$E$18+1,1))</f>
        <v>79.868679770907136</v>
      </c>
      <c r="HA37" s="60">
        <f t="shared" si="52"/>
        <v>370.47471103028312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57.400230016258469</v>
      </c>
      <c r="HH37" s="23">
        <f>EXP(-LN(2)/25)*HH36+(1-EXP(-LN(2)/25))/(LN(2)/25)*Calculateur!HC37*Calculateur!HE37*VLOOKUP('Données projet'!$B$18,Paramètres!$A$1:$I$89,3,0)*0.475*44/12</f>
        <v>13.52080886845264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70.921038884711109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0">
        <f t="shared" si="0"/>
        <v>684.65110075710459</v>
      </c>
      <c r="S38" s="60">
        <f ca="1">AVERAGE(OFFSET($R$3,0,0,'Données projet'!$E$9+1,1))-AVERAGE(OFFSET($H$3,0,0,'Données projet'!$E$9+1,1))</f>
        <v>206.5885410269899</v>
      </c>
      <c r="T38" s="60">
        <f t="shared" si="34"/>
        <v>347.41156847586302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12.625</v>
      </c>
      <c r="AI38" s="14">
        <f>IF('Données projet'!$A$62&gt;35,AI37+AH38-AQ37,IF(A38&lt;'Données projet'!$A$62,$AF$205^A38,IF(A38='Données projet'!$A$62,'Données projet'!$B$62,AI37+AH38-AQ37)))</f>
        <v>300.12500000000006</v>
      </c>
      <c r="AJ38" s="14">
        <f>AI38*VLOOKUP('Données projet'!$B$10,Paramètres!$A$1:$I$89,3,0)*VLOOKUP('Données projet'!$B$10,Paramètres!$A$1:$I$89,5,0)</f>
        <v>179.47475000000006</v>
      </c>
      <c r="AK38" s="14">
        <f t="shared" si="35"/>
        <v>45.205307850969106</v>
      </c>
      <c r="AL38" s="22">
        <f t="shared" si="4"/>
        <v>391.31776742377127</v>
      </c>
      <c r="AM38" s="60">
        <f t="shared" si="5"/>
        <v>684.65110075710459</v>
      </c>
      <c r="AN38" s="60">
        <f ca="1">AVERAGE(OFFSET($AM$3,0,0,'Données projet'!$E$10+1,1))-AVERAGE(OFFSET($H$3,0,0,'Données projet'!$E$10+1,1))</f>
        <v>206.5885410269899</v>
      </c>
      <c r="AO38" s="60">
        <f t="shared" si="36"/>
        <v>347.41156847586302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9.4457840491710154</v>
      </c>
      <c r="AV38" s="23">
        <f>EXP(-LN(2)/25)*AV37+(1-EXP(-LN(2)/25))/(LN(2)/25)*Calculateur!AQ38*Calculateur!AS38*VLOOKUP('Données projet'!$B$10,Paramètres!$A$1:$I$89,3,0)*0.475*44/12</f>
        <v>2.9103180529481874</v>
      </c>
      <c r="AW38" s="23">
        <f>EXP(-LN(2)/2)*AW37+(1-EXP(-LN(2)/2))/(LN(2)/2)*AQ38*AT38*VLOOKUP('Données projet'!$B$10,Paramètres!$A$1:$I$89,3,0)*0.475*44/12</f>
        <v>0.53603968038634198</v>
      </c>
      <c r="AX38" s="23">
        <f t="shared" si="6"/>
        <v>12.892141782505544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115.99999999999999</v>
      </c>
      <c r="BE38" s="14">
        <f>BD38*VLOOKUP('Données projet'!$B$11,Paramètres!$A$1:$I$89,3,0)*VLOOKUP('Données projet'!$B$11,Paramètres!$A$1:$I$89,5,0)</f>
        <v>110.3856</v>
      </c>
      <c r="BF38" s="14">
        <f t="shared" si="37"/>
        <v>29.421816429201407</v>
      </c>
      <c r="BG38" s="22">
        <f t="shared" si="7"/>
        <v>243.49791694752571</v>
      </c>
      <c r="BH38" s="60">
        <f t="shared" si="8"/>
        <v>536.83125028085897</v>
      </c>
      <c r="BI38" s="60">
        <f ca="1">AVERAGE(OFFSET($BH$3,0,0,'Données projet'!$E$11+1,1))-AVERAGE(OFFSET($H$3,0,0,'Données projet'!$E$11+1,1))</f>
        <v>389.12604446638119</v>
      </c>
      <c r="BJ38" s="60">
        <f t="shared" si="38"/>
        <v>243.23852967152732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7.8</v>
      </c>
      <c r="BX38" s="13">
        <f t="array" ref="BX38">INDEX(BW:BW,MIN(IF(ISNUMBER(BW38:BW234),ROW(BW38:BW234),"")))</f>
        <v>7.8</v>
      </c>
      <c r="BY38" s="13">
        <f>IF('Données projet'!$A$114&gt;35,BY37+BX38-CG37,IF(A38&lt;'Données projet'!$A$114,$BV$205^A38,IF(A38='Données projet'!$A$114,'Données projet'!$B$114,BY37+BX38-CG37)))</f>
        <v>115.99999999999999</v>
      </c>
      <c r="BZ38" s="14">
        <f>BY38*VLOOKUP('Données projet'!$B$12,Paramètres!$A$1:$I$89,3,0)*VLOOKUP('Données projet'!$B$12,Paramètres!$A$1:$I$89,5,0)</f>
        <v>104.95679999999999</v>
      </c>
      <c r="CA38" s="14">
        <f t="shared" si="39"/>
        <v>28.139541339232373</v>
      </c>
      <c r="CB38" s="22">
        <f t="shared" si="10"/>
        <v>231.8094611658297</v>
      </c>
      <c r="CC38" s="60">
        <f t="shared" si="11"/>
        <v>525.14279449916307</v>
      </c>
      <c r="CD38" s="60">
        <f ca="1">AVERAGE(OFFSET($CC$3,0,0,'Données projet'!$E$12+1,1))-AVERAGE(OFFSET($H$3,0,0,'Données projet'!$E$12+1,1))</f>
        <v>371.95849973474657</v>
      </c>
      <c r="CE38" s="60">
        <f t="shared" si="40"/>
        <v>233.32640143610547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21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3.3826370507997283</v>
      </c>
      <c r="CN38" s="24">
        <f t="shared" si="12"/>
        <v>3.3826370507997283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7.8</v>
      </c>
      <c r="CS38" s="13">
        <f t="array" ref="CS38">INDEX(CR:CR,MIN(IF(ISNUMBER(CR38:CR234),ROW(CR38:CR234),"")))</f>
        <v>7.8</v>
      </c>
      <c r="CT38" s="13">
        <f>IF('Données projet'!$A$140&gt;35,CT37+CS38-DB37,IF(A38&lt;'Données projet'!$A$140,$CQ$205^A38,IF(A38='Données projet'!$A$140,'Données projet'!$B$140,CT37+CS38-DB37)))</f>
        <v>115.99999999999999</v>
      </c>
      <c r="CU38" s="18">
        <f>CT38*VLOOKUP('Données projet'!$B$13,Paramètres!$A$1:$I$89,3,0)*VLOOKUP('Données projet'!$B$13,Paramètres!$A$1:$I$89,5,0)</f>
        <v>112.19519999999999</v>
      </c>
      <c r="CV38" s="14">
        <f t="shared" si="41"/>
        <v>29.847594514573263</v>
      </c>
      <c r="CW38" s="22">
        <f t="shared" si="13"/>
        <v>247.39120044621504</v>
      </c>
      <c r="CX38" s="60">
        <f t="shared" si="14"/>
        <v>540.72453377954832</v>
      </c>
      <c r="CY38" s="60">
        <f ca="1">AVERAGE(OFFSET($CX$3,0,0,'Données projet'!$E$13+1,1))-AVERAGE(OFFSET($H$3,0,0,'Données projet'!$E$13+1,1))</f>
        <v>394.8445842828649</v>
      </c>
      <c r="CZ38" s="60">
        <f t="shared" si="42"/>
        <v>246.54010105494143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21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3.6159223646479872</v>
      </c>
      <c r="DI38" s="24">
        <f t="shared" si="15"/>
        <v>3.6159223646479872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137</v>
      </c>
      <c r="DM38" s="13">
        <f>VLOOKUP(A38,'Données projet'!$A$165:$I$185,9,0)</f>
        <v>7.8</v>
      </c>
      <c r="DN38" s="13">
        <f t="array" ref="DN38">INDEX(DM:DM,MIN(IF(ISNUMBER(DM38:DM234),ROW(DM38:DM234),"")))</f>
        <v>7.8</v>
      </c>
      <c r="DO38" s="13">
        <f>IF('Données projet'!$A$166&gt;35,DO37+DN38-DW37,IF(A38&lt;'Données projet'!$A$166,$DL$205^A38,IF(A38='Données projet'!$A$166,'Données projet'!$B$166,DO37+DN38-DW37)))</f>
        <v>137</v>
      </c>
      <c r="DP38" s="18">
        <f>DO38*VLOOKUP('Données projet'!$B$14,Paramètres!$A$1:$I$89,3,0)*VLOOKUP('Données projet'!$B$14,Paramètres!$A$1:$I$89,5,0)</f>
        <v>119.68320000000003</v>
      </c>
      <c r="DQ38" s="14">
        <f t="shared" si="43"/>
        <v>31.601099532596194</v>
      </c>
      <c r="DR38" s="22">
        <f t="shared" si="16"/>
        <v>263.48682168593842</v>
      </c>
      <c r="DS38" s="60">
        <f t="shared" si="17"/>
        <v>556.82015501927174</v>
      </c>
      <c r="DT38" s="60">
        <f ca="1">AVERAGE(OFFSET($DS$3,0,0,'Données projet'!$E$14+1,1))-AVERAGE(OFFSET($H$3,0,0,'Données projet'!$E$14+1,1))</f>
        <v>266.98113257513319</v>
      </c>
      <c r="DU38" s="60">
        <f t="shared" si="44"/>
        <v>275.73257102713393</v>
      </c>
      <c r="DV38" s="16">
        <f>IF(ISNA(VLOOKUP(A38,'Données projet'!$A$165:$I$185,3,0)),0,VLOOKUP(A38,'Données projet'!$A$165:$I$185,3,0))</f>
        <v>4</v>
      </c>
      <c r="DW38" s="16">
        <f>IF(ISNA(VLOOKUP(A38,'Données projet'!$A$165:$I$185,4,0)),0,VLOOKUP(A38,'Données projet'!$A$165:$I$185,4,0))</f>
        <v>25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9.692549483499505</v>
      </c>
      <c r="EC38" s="23">
        <f>EXP(-LN(2)/2)*EC37+(1-EXP(-LN(2)/2))/(LN(2)/2)*DW38*DZ38*VLOOKUP('Données projet'!$B$14,Paramètres!$A$1:$I$89,3,0)*0.475*44/12</f>
        <v>1.8502506735909838</v>
      </c>
      <c r="ED38" s="24">
        <f t="shared" si="18"/>
        <v>11.54280015709049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116</v>
      </c>
      <c r="EH38" s="13">
        <f>VLOOKUP(A38,'Données projet'!$A$191:$I$211,9,0)</f>
        <v>7.8</v>
      </c>
      <c r="EI38" s="13">
        <f t="array" ref="EI38">INDEX(EH:EH,MIN(IF(ISNUMBER(EH38:EH234),ROW(EH38:EH234),"")))</f>
        <v>7.8</v>
      </c>
      <c r="EJ38" s="13">
        <f>IF('Données projet'!$A$192&gt;35,EJ37+EI38-ER37,IF(A38&lt;'Données projet'!$A$192,$EG$205^A38,IF(A38='Données projet'!$A$192,'Données projet'!$B$192,EJ37+EI38-ER37)))</f>
        <v>115.99999999999999</v>
      </c>
      <c r="EK38" s="18">
        <f>EJ38*VLOOKUP('Données projet'!$B$15,Paramètres!$A$1:$I$89,3,0)*VLOOKUP('Données projet'!$B$15,Paramètres!$A$1:$I$89,5,0)</f>
        <v>132.10079999999999</v>
      </c>
      <c r="EL38" s="14">
        <f t="shared" si="45"/>
        <v>34.481338697931115</v>
      </c>
      <c r="EM38" s="22">
        <f t="shared" si="19"/>
        <v>290.13055823222999</v>
      </c>
      <c r="EN38" s="60">
        <f t="shared" si="20"/>
        <v>583.46389156556324</v>
      </c>
      <c r="EO38" s="60">
        <f ca="1">AVERAGE(OFFSET($EN$3,0,0,'Données projet'!$E$15+1,1))-AVERAGE(OFFSET($H$3,0,0,'Données projet'!$E$15+1,1))</f>
        <v>457.62828850677369</v>
      </c>
      <c r="EP38" s="60">
        <f t="shared" si="46"/>
        <v>282.78263556175563</v>
      </c>
      <c r="EQ38" s="16">
        <f>IF(ISNA(VLOOKUP(A38,'Données projet'!$A$191:$I$211,3,0)),0,VLOOKUP(A38,'Données projet'!$A$191:$I$211,3,0))</f>
        <v>3</v>
      </c>
      <c r="ER38" s="16">
        <f>IF(ISNA(VLOOKUP(A38,'Données projet'!$A$191:$I$211,4,0)),0,VLOOKUP(A38,'Données projet'!$A$191:$I$211,4,0))</f>
        <v>21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116</v>
      </c>
      <c r="FC38" s="13">
        <f>VLOOKUP(A38,'Données projet'!$A$217:$I$237,9,0)</f>
        <v>7.8</v>
      </c>
      <c r="FD38" s="13">
        <f t="array" ref="FD38">INDEX(FC:FC,MIN(IF(ISNUMBER(FC38:FC234),ROW(FC38:FC234),"")))</f>
        <v>7.8</v>
      </c>
      <c r="FE38" s="13">
        <f>IF('Données projet'!$A$218&gt;35,FE37+FD38-FM37,IF(A38&lt;'Données projet'!$A$218,$FB$205^A38,IF(A38='Données projet'!$A$218,'Données projet'!$B$218,FE37+FD38-FM37)))</f>
        <v>115.99999999999999</v>
      </c>
      <c r="FF38" s="18">
        <f>FE38*VLOOKUP('Données projet'!$B$16,Paramètres!$A$1:$I$89,3,0)*VLOOKUP('Données projet'!$B$16,Paramètres!$A$1:$I$89,5,0)</f>
        <v>126.67199999999998</v>
      </c>
      <c r="FG38" s="14">
        <f t="shared" si="47"/>
        <v>33.226199426361347</v>
      </c>
      <c r="FH38" s="22">
        <f t="shared" si="22"/>
        <v>278.48936400091264</v>
      </c>
      <c r="FI38" s="60">
        <f t="shared" si="23"/>
        <v>571.82269733424596</v>
      </c>
      <c r="FJ38" s="60">
        <f ca="1">AVERAGE(OFFSET($FI$3,0,0,'Données projet'!$E$16+1,1))-AVERAGE(OFFSET($H$3,0,0,'Données projet'!$E$16+1,1))</f>
        <v>440.52623925652182</v>
      </c>
      <c r="FK38" s="60">
        <f t="shared" si="48"/>
        <v>272.91122662088918</v>
      </c>
      <c r="FL38" s="16">
        <f>IF(ISNA(VLOOKUP(A38,'Données projet'!$A$217:$I$237,3,0)),0,VLOOKUP(A38,'Données projet'!$A$217:$I$237,3,0))</f>
        <v>3</v>
      </c>
      <c r="FM38" s="16">
        <f>IF(ISNA(VLOOKUP(A38,'Données projet'!$A$217:$I$237,4,0)),0,VLOOKUP(A38,'Données projet'!$A$217:$I$237,4,0))</f>
        <v>21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280</v>
      </c>
      <c r="FX38" s="13">
        <f>VLOOKUP(A38,'Données projet'!$A$243:$I$263,9,0)</f>
        <v>17</v>
      </c>
      <c r="FY38" s="13">
        <f t="array" ref="FY38">INDEX(FX:FX,MIN(IF(ISNUMBER(FX38:FX234),ROW(FX38:FX234),"")))</f>
        <v>17</v>
      </c>
      <c r="FZ38" s="13">
        <f>IF('Données projet'!$A$244&gt;35,FZ37+FY38-GH37,IF(A38&lt;'Données projet'!$A$244,$FW$205^A38,IF(A38='Données projet'!$A$244,'Données projet'!$B$244,FZ37+FY38-GH37)))</f>
        <v>280</v>
      </c>
      <c r="GA38" s="18">
        <f>FZ38*VLOOKUP('Données projet'!$B$17,Paramètres!$A$1:$I$89,3,0)*VLOOKUP('Données projet'!$B$17,Paramètres!$A$1:$I$89,5,0)</f>
        <v>131.04</v>
      </c>
      <c r="GB38" s="14">
        <f t="shared" si="49"/>
        <v>34.236561238949918</v>
      </c>
      <c r="GC38" s="22">
        <f t="shared" si="25"/>
        <v>287.85667749117107</v>
      </c>
      <c r="GD38" s="60">
        <f t="shared" si="26"/>
        <v>581.19001082450438</v>
      </c>
      <c r="GE38" s="60">
        <f ca="1">AVERAGE(OFFSET($GD$3,0,0,'Données projet'!$E$17+1,1))-AVERAGE(OFFSET($H$3,0,0,'Données projet'!$E$17+1,1))</f>
        <v>317.54276561627643</v>
      </c>
      <c r="GF38" s="60">
        <f t="shared" si="50"/>
        <v>238.92443174298893</v>
      </c>
      <c r="GG38" s="16">
        <f>IF(ISNA(VLOOKUP(A38,'Données projet'!$A$243:$I$263,3,0)),0,VLOOKUP(A38,'Données projet'!$A$243:$I$263,3,0))</f>
        <v>2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>
        <f>GU38*VLOOKUP('Données projet'!$B$18,Paramètres!$A$1:$I$89,3,0)*VLOOKUP('Données projet'!$B$18,Paramètres!$A$1:$I$89,5,0)</f>
        <v>0</v>
      </c>
      <c r="GW38" s="14" t="e">
        <f t="shared" si="51"/>
        <v>#NUM!</v>
      </c>
      <c r="GX38" s="22" t="e">
        <f t="shared" si="28"/>
        <v>#NUM!</v>
      </c>
      <c r="GY38" s="60" t="e">
        <f t="shared" si="29"/>
        <v>#NUM!</v>
      </c>
      <c r="GZ38" s="60">
        <f ca="1">AVERAGE(OFFSET($GY$3,0,0,'Données projet'!$E$18+1,1))-AVERAGE(OFFSET($H$3,0,0,'Données projet'!$E$18+1,1))</f>
        <v>79.868679770907136</v>
      </c>
      <c r="HA38" s="60">
        <f t="shared" si="52"/>
        <v>370.47471103028312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56.274646516322932</v>
      </c>
      <c r="HH38" s="23">
        <f>EXP(-LN(2)/25)*HH37+(1-EXP(-LN(2)/25))/(LN(2)/25)*Calculateur!HC38*Calculateur!HE38*VLOOKUP('Données projet'!$B$18,Paramètres!$A$1:$I$89,3,0)*0.475*44/12</f>
        <v>13.151081638916367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69.425728155239298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0">
        <f t="shared" si="0"/>
        <v>700.71963223779881</v>
      </c>
      <c r="S39" s="60">
        <f ca="1">AVERAGE(OFFSET($R$3,0,0,'Données projet'!$E$9+1,1))-AVERAGE(OFFSET($H$3,0,0,'Données projet'!$E$9+1,1))</f>
        <v>206.5885410269899</v>
      </c>
      <c r="T39" s="60">
        <f t="shared" si="34"/>
        <v>347.41156847586302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12.625</v>
      </c>
      <c r="AI39" s="14">
        <f>IF('Données projet'!$A$62&gt;35,AI38+AH39-AQ38,IF(A39&lt;'Données projet'!$A$62,$AF$205^A39,IF(A39='Données projet'!$A$62,'Données projet'!$B$62,AI38+AH39-AQ38)))</f>
        <v>312.75000000000006</v>
      </c>
      <c r="AJ39" s="14">
        <f>AI39*VLOOKUP('Données projet'!$B$10,Paramètres!$A$1:$I$89,3,0)*VLOOKUP('Données projet'!$B$10,Paramètres!$A$1:$I$89,5,0)</f>
        <v>187.02450000000005</v>
      </c>
      <c r="AK39" s="14">
        <f t="shared" si="35"/>
        <v>46.881508940362963</v>
      </c>
      <c r="AL39" s="22">
        <f t="shared" si="4"/>
        <v>407.38629890446555</v>
      </c>
      <c r="AM39" s="60">
        <f t="shared" si="5"/>
        <v>700.71963223779881</v>
      </c>
      <c r="AN39" s="60">
        <f ca="1">AVERAGE(OFFSET($AM$3,0,0,'Données projet'!$E$10+1,1))-AVERAGE(OFFSET($H$3,0,0,'Données projet'!$E$10+1,1))</f>
        <v>206.5885410269899</v>
      </c>
      <c r="AO39" s="60">
        <f t="shared" si="36"/>
        <v>347.41156847586302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9.2605579853261553</v>
      </c>
      <c r="AV39" s="23">
        <f>EXP(-LN(2)/25)*AV38+(1-EXP(-LN(2)/25))/(LN(2)/25)*Calculateur!AQ39*Calculateur!AS39*VLOOKUP('Données projet'!$B$10,Paramètres!$A$1:$I$89,3,0)*0.475*44/12</f>
        <v>2.8307352527433443</v>
      </c>
      <c r="AW39" s="23">
        <f>EXP(-LN(2)/2)*AW38+(1-EXP(-LN(2)/2))/(LN(2)/2)*AQ39*AT39*VLOOKUP('Données projet'!$B$10,Paramètres!$A$1:$I$89,3,0)*0.475*44/12</f>
        <v>0.37903729298625199</v>
      </c>
      <c r="AX39" s="23">
        <f t="shared" si="6"/>
        <v>12.470330531055753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103.39999999999999</v>
      </c>
      <c r="BE39" s="14">
        <f>BD39*VLOOKUP('Données projet'!$B$11,Paramètres!$A$1:$I$89,3,0)*VLOOKUP('Données projet'!$B$11,Paramètres!$A$1:$I$89,5,0)</f>
        <v>98.395439999999994</v>
      </c>
      <c r="BF39" s="14">
        <f t="shared" si="37"/>
        <v>26.57937412584554</v>
      </c>
      <c r="BG39" s="22">
        <f t="shared" si="7"/>
        <v>217.66446793584763</v>
      </c>
      <c r="BH39" s="60">
        <f t="shared" si="8"/>
        <v>510.99780126918097</v>
      </c>
      <c r="BI39" s="60">
        <f ca="1">AVERAGE(OFFSET($BH$3,0,0,'Données projet'!$E$11+1,1))-AVERAGE(OFFSET($H$3,0,0,'Données projet'!$E$11+1,1))</f>
        <v>389.12604446638119</v>
      </c>
      <c r="BJ39" s="60">
        <f t="shared" si="38"/>
        <v>243.23852967152732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103.39999999999999</v>
      </c>
      <c r="BZ39" s="14">
        <f>BY39*VLOOKUP('Données projet'!$B$12,Paramètres!$A$1:$I$89,3,0)*VLOOKUP('Données projet'!$B$12,Paramètres!$A$1:$I$89,5,0)</f>
        <v>93.556319999999999</v>
      </c>
      <c r="CA39" s="14">
        <f t="shared" si="39"/>
        <v>25.420979659258073</v>
      </c>
      <c r="CB39" s="22">
        <f t="shared" si="10"/>
        <v>207.21879690654114</v>
      </c>
      <c r="CC39" s="60">
        <f t="shared" si="11"/>
        <v>500.55213023987449</v>
      </c>
      <c r="CD39" s="60">
        <f ca="1">AVERAGE(OFFSET($CC$3,0,0,'Données projet'!$E$12+1,1))-AVERAGE(OFFSET($H$3,0,0,'Données projet'!$E$12+1,1))</f>
        <v>371.95849973474657</v>
      </c>
      <c r="CE39" s="60">
        <f t="shared" si="40"/>
        <v>233.32640143610547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2.3918855969133519</v>
      </c>
      <c r="CN39" s="24">
        <f t="shared" si="12"/>
        <v>2.3918855969133519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103.39999999999999</v>
      </c>
      <c r="CU39" s="18">
        <f>CT39*VLOOKUP('Données projet'!$B$13,Paramètres!$A$1:$I$89,3,0)*VLOOKUP('Données projet'!$B$13,Paramètres!$A$1:$I$89,5,0)</f>
        <v>100.00847999999999</v>
      </c>
      <c r="CV39" s="14">
        <f t="shared" si="41"/>
        <v>26.964017781444337</v>
      </c>
      <c r="CW39" s="22">
        <f t="shared" si="13"/>
        <v>221.14376696934883</v>
      </c>
      <c r="CX39" s="60">
        <f t="shared" si="14"/>
        <v>514.47710030268217</v>
      </c>
      <c r="CY39" s="60">
        <f ca="1">AVERAGE(OFFSET($CX$3,0,0,'Données projet'!$E$13+1,1))-AVERAGE(OFFSET($H$3,0,0,'Données projet'!$E$13+1,1))</f>
        <v>394.8445842828649</v>
      </c>
      <c r="CZ39" s="60">
        <f t="shared" si="42"/>
        <v>246.54010105494143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2.5568432242866881</v>
      </c>
      <c r="DI39" s="24">
        <f t="shared" si="15"/>
        <v>2.5568432242866881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7.2</v>
      </c>
      <c r="DO39" s="13">
        <f>IF('Données projet'!$A$166&gt;35,DO38+DN39-DW38,IF(A39&lt;'Données projet'!$A$166,$DL$205^A39,IF(A39='Données projet'!$A$166,'Données projet'!$B$166,DO38+DN39-DW38)))</f>
        <v>119.19999999999999</v>
      </c>
      <c r="DP39" s="18">
        <f>DO39*VLOOKUP('Données projet'!$B$14,Paramètres!$A$1:$I$89,3,0)*VLOOKUP('Données projet'!$B$14,Paramètres!$A$1:$I$89,5,0)</f>
        <v>104.13311999999999</v>
      </c>
      <c r="DQ39" s="14">
        <f t="shared" si="43"/>
        <v>27.944323474595436</v>
      </c>
      <c r="DR39" s="22">
        <f t="shared" si="16"/>
        <v>230.0348807182537</v>
      </c>
      <c r="DS39" s="60">
        <f t="shared" si="17"/>
        <v>523.36821405158707</v>
      </c>
      <c r="DT39" s="60">
        <f ca="1">AVERAGE(OFFSET($DS$3,0,0,'Données projet'!$E$14+1,1))-AVERAGE(OFFSET($H$3,0,0,'Données projet'!$E$14+1,1))</f>
        <v>266.98113257513319</v>
      </c>
      <c r="DU39" s="60">
        <f t="shared" si="44"/>
        <v>275.73257102713393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9.4275062081641856</v>
      </c>
      <c r="EC39" s="23">
        <f>EXP(-LN(2)/2)*EC38+(1-EXP(-LN(2)/2))/(LN(2)/2)*DW39*DZ39*VLOOKUP('Données projet'!$B$14,Paramètres!$A$1:$I$89,3,0)*0.475*44/12</f>
        <v>1.3083247981911621</v>
      </c>
      <c r="ED39" s="24">
        <f t="shared" si="18"/>
        <v>10.735831006355347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8.4</v>
      </c>
      <c r="EJ39" s="13">
        <f>IF('Données projet'!$A$192&gt;35,EJ38+EI39-ER38,IF(A39&lt;'Données projet'!$A$192,$EG$205^A39,IF(A39='Données projet'!$A$192,'Données projet'!$B$192,EJ38+EI39-ER38)))</f>
        <v>103.39999999999999</v>
      </c>
      <c r="EK39" s="18">
        <f>EJ39*VLOOKUP('Données projet'!$B$15,Paramètres!$A$1:$I$89,3,0)*VLOOKUP('Données projet'!$B$15,Paramètres!$A$1:$I$89,5,0)</f>
        <v>117.75191999999998</v>
      </c>
      <c r="EL39" s="14">
        <f t="shared" si="45"/>
        <v>31.150095841896434</v>
      </c>
      <c r="EM39" s="22">
        <f t="shared" si="19"/>
        <v>259.33767759130296</v>
      </c>
      <c r="EN39" s="60">
        <f t="shared" si="20"/>
        <v>552.67101092463622</v>
      </c>
      <c r="EO39" s="60">
        <f ca="1">AVERAGE(OFFSET($EN$3,0,0,'Données projet'!$E$15+1,1))-AVERAGE(OFFSET($H$3,0,0,'Données projet'!$E$15+1,1))</f>
        <v>457.62828850677369</v>
      </c>
      <c r="EP39" s="60">
        <f t="shared" si="46"/>
        <v>282.78263556175563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8.4</v>
      </c>
      <c r="FE39" s="13">
        <f>IF('Données projet'!$A$218&gt;35,FE38+FD39-FM38,IF(A39&lt;'Données projet'!$A$218,$FB$205^A39,IF(A39='Données projet'!$A$218,'Données projet'!$B$218,FE38+FD39-FM38)))</f>
        <v>103.39999999999999</v>
      </c>
      <c r="FF39" s="18">
        <f>FE39*VLOOKUP('Données projet'!$B$16,Paramètres!$A$1:$I$89,3,0)*VLOOKUP('Données projet'!$B$16,Paramètres!$A$1:$I$89,5,0)</f>
        <v>112.91279999999999</v>
      </c>
      <c r="FG39" s="14">
        <f t="shared" si="47"/>
        <v>30.016215601722575</v>
      </c>
      <c r="FH39" s="22">
        <f t="shared" si="22"/>
        <v>248.93470217300015</v>
      </c>
      <c r="FI39" s="60">
        <f t="shared" si="23"/>
        <v>542.26803550633349</v>
      </c>
      <c r="FJ39" s="60">
        <f ca="1">AVERAGE(OFFSET($FI$3,0,0,'Données projet'!$E$16+1,1))-AVERAGE(OFFSET($H$3,0,0,'Données projet'!$E$16+1,1))</f>
        <v>440.52623925652182</v>
      </c>
      <c r="FK39" s="60">
        <f t="shared" si="48"/>
        <v>272.91122662088918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19.571428571428573</v>
      </c>
      <c r="FZ39" s="13">
        <f>IF('Données projet'!$A$244&gt;35,FZ38+FY39-GH38,IF(A39&lt;'Données projet'!$A$244,$FW$205^A39,IF(A39='Données projet'!$A$244,'Données projet'!$B$244,FZ38+FY39-GH38)))</f>
        <v>299.57142857142856</v>
      </c>
      <c r="GA39" s="18">
        <f>FZ39*VLOOKUP('Données projet'!$B$17,Paramètres!$A$1:$I$89,3,0)*VLOOKUP('Données projet'!$B$17,Paramètres!$A$1:$I$89,5,0)</f>
        <v>140.19942857142857</v>
      </c>
      <c r="GB39" s="14">
        <f t="shared" si="49"/>
        <v>36.342687994625102</v>
      </c>
      <c r="GC39" s="22">
        <f t="shared" si="25"/>
        <v>307.47751968587681</v>
      </c>
      <c r="GD39" s="60">
        <f t="shared" si="26"/>
        <v>600.81085301921007</v>
      </c>
      <c r="GE39" s="60">
        <f ca="1">AVERAGE(OFFSET($GD$3,0,0,'Données projet'!$E$17+1,1))-AVERAGE(OFFSET($H$3,0,0,'Données projet'!$E$17+1,1))</f>
        <v>317.54276561627643</v>
      </c>
      <c r="GF39" s="60">
        <f t="shared" si="50"/>
        <v>238.92443174298893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>
        <f>GU39*VLOOKUP('Données projet'!$B$18,Paramètres!$A$1:$I$89,3,0)*VLOOKUP('Données projet'!$B$18,Paramètres!$A$1:$I$89,5,0)</f>
        <v>0</v>
      </c>
      <c r="GW39" s="14" t="e">
        <f t="shared" si="51"/>
        <v>#NUM!</v>
      </c>
      <c r="GX39" s="22" t="e">
        <f t="shared" si="28"/>
        <v>#NUM!</v>
      </c>
      <c r="GY39" s="60" t="e">
        <f t="shared" si="29"/>
        <v>#NUM!</v>
      </c>
      <c r="GZ39" s="60">
        <f ca="1">AVERAGE(OFFSET($GY$3,0,0,'Données projet'!$E$18+1,1))-AVERAGE(OFFSET($H$3,0,0,'Données projet'!$E$18+1,1))</f>
        <v>79.868679770907136</v>
      </c>
      <c r="HA39" s="60">
        <f t="shared" si="52"/>
        <v>370.47471103028312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55.171135022282989</v>
      </c>
      <c r="HH39" s="23">
        <f>EXP(-LN(2)/25)*HH38+(1-EXP(-LN(2)/25))/(LN(2)/25)*Calculateur!HC39*Calculateur!HE39*VLOOKUP('Données projet'!$B$18,Paramètres!$A$1:$I$89,3,0)*0.475*44/12</f>
        <v>12.791464619914873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67.962599642197858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0">
        <f t="shared" si="0"/>
        <v>716.77447436730927</v>
      </c>
      <c r="S40" s="60">
        <f ca="1">AVERAGE(OFFSET($R$3,0,0,'Données projet'!$E$9+1,1))-AVERAGE(OFFSET($H$3,0,0,'Données projet'!$E$9+1,1))</f>
        <v>206.5885410269899</v>
      </c>
      <c r="T40" s="60">
        <f t="shared" si="34"/>
        <v>347.41156847586302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12.625</v>
      </c>
      <c r="AI40" s="14">
        <f>IF('Données projet'!$A$62&gt;35,AI39+AH40-AQ39,IF(A40&lt;'Données projet'!$A$62,$AF$205^A40,IF(A40='Données projet'!$A$62,'Données projet'!$B$62,AI39+AH40-AQ39)))</f>
        <v>325.37500000000006</v>
      </c>
      <c r="AJ40" s="14">
        <f>AI40*VLOOKUP('Données projet'!$B$10,Paramètres!$A$1:$I$89,3,0)*VLOOKUP('Données projet'!$B$10,Paramètres!$A$1:$I$89,5,0)</f>
        <v>194.57425000000006</v>
      </c>
      <c r="AK40" s="14">
        <f t="shared" si="35"/>
        <v>48.54985011520143</v>
      </c>
      <c r="AL40" s="22">
        <f t="shared" si="4"/>
        <v>423.44114103397595</v>
      </c>
      <c r="AM40" s="60">
        <f t="shared" si="5"/>
        <v>716.77447436730927</v>
      </c>
      <c r="AN40" s="60">
        <f ca="1">AVERAGE(OFFSET($AM$3,0,0,'Données projet'!$E$10+1,1))-AVERAGE(OFFSET($H$3,0,0,'Données projet'!$E$10+1,1))</f>
        <v>206.5885410269899</v>
      </c>
      <c r="AO40" s="60">
        <f t="shared" si="36"/>
        <v>347.41156847586302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9.0789640916165482</v>
      </c>
      <c r="AV40" s="23">
        <f>EXP(-LN(2)/25)*AV39+(1-EXP(-LN(2)/25))/(LN(2)/25)*Calculateur!AQ40*Calculateur!AS40*VLOOKUP('Données projet'!$B$10,Paramètres!$A$1:$I$89,3,0)*0.475*44/12</f>
        <v>2.7533286483951804</v>
      </c>
      <c r="AW40" s="23">
        <f>EXP(-LN(2)/2)*AW39+(1-EXP(-LN(2)/2))/(LN(2)/2)*AQ40*AT40*VLOOKUP('Données projet'!$B$10,Paramètres!$A$1:$I$89,3,0)*0.475*44/12</f>
        <v>0.26801984019317099</v>
      </c>
      <c r="AX40" s="23">
        <f t="shared" si="6"/>
        <v>12.1003125802049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</v>
      </c>
      <c r="BE40" s="14">
        <f>BD40*VLOOKUP('Données projet'!$B$11,Paramètres!$A$1:$I$89,3,0)*VLOOKUP('Données projet'!$B$11,Paramètres!$A$1:$I$89,5,0)</f>
        <v>106.38887999999999</v>
      </c>
      <c r="BF40" s="14">
        <f t="shared" si="37"/>
        <v>28.478530760975403</v>
      </c>
      <c r="BG40" s="22">
        <f t="shared" si="7"/>
        <v>234.89407374203213</v>
      </c>
      <c r="BH40" s="60">
        <f t="shared" si="8"/>
        <v>528.22740707536548</v>
      </c>
      <c r="BI40" s="60">
        <f ca="1">AVERAGE(OFFSET($BH$3,0,0,'Données projet'!$E$11+1,1))-AVERAGE(OFFSET($H$3,0,0,'Données projet'!$E$11+1,1))</f>
        <v>389.12604446638119</v>
      </c>
      <c r="BJ40" s="60">
        <f t="shared" si="38"/>
        <v>243.23852967152732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111.8</v>
      </c>
      <c r="BZ40" s="14">
        <f>BY40*VLOOKUP('Données projet'!$B$12,Paramètres!$A$1:$I$89,3,0)*VLOOKUP('Données projet'!$B$12,Paramètres!$A$1:$I$89,5,0)</f>
        <v>101.15664</v>
      </c>
      <c r="CA40" s="14">
        <f t="shared" si="39"/>
        <v>27.237366379381644</v>
      </c>
      <c r="CB40" s="22">
        <f t="shared" si="10"/>
        <v>223.61956111075634</v>
      </c>
      <c r="CC40" s="60">
        <f t="shared" si="11"/>
        <v>516.95289444408968</v>
      </c>
      <c r="CD40" s="60">
        <f ca="1">AVERAGE(OFFSET($CC$3,0,0,'Données projet'!$E$12+1,1))-AVERAGE(OFFSET($H$3,0,0,'Données projet'!$E$12+1,1))</f>
        <v>371.95849973474657</v>
      </c>
      <c r="CE40" s="60">
        <f t="shared" si="40"/>
        <v>233.32640143610547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1.6913185253998642</v>
      </c>
      <c r="CN40" s="24">
        <f t="shared" si="12"/>
        <v>1.6913185253998642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111.8</v>
      </c>
      <c r="CU40" s="18">
        <f>CT40*VLOOKUP('Données projet'!$B$13,Paramètres!$A$1:$I$89,3,0)*VLOOKUP('Données projet'!$B$13,Paramètres!$A$1:$I$89,5,0)</f>
        <v>108.13296000000001</v>
      </c>
      <c r="CV40" s="14">
        <f t="shared" si="41"/>
        <v>28.890658079177882</v>
      </c>
      <c r="CW40" s="22">
        <f t="shared" si="13"/>
        <v>238.64946815456815</v>
      </c>
      <c r="CX40" s="60">
        <f t="shared" si="14"/>
        <v>531.9828014879015</v>
      </c>
      <c r="CY40" s="60">
        <f ca="1">AVERAGE(OFFSET($CX$3,0,0,'Données projet'!$E$13+1,1))-AVERAGE(OFFSET($H$3,0,0,'Données projet'!$E$13+1,1))</f>
        <v>394.8445842828649</v>
      </c>
      <c r="CZ40" s="60">
        <f t="shared" si="42"/>
        <v>246.54010105494143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1.8079611823239938</v>
      </c>
      <c r="DI40" s="24">
        <f t="shared" si="15"/>
        <v>1.8079611823239938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7.2</v>
      </c>
      <c r="DO40" s="13">
        <f>IF('Données projet'!$A$166&gt;35,DO39+DN40-DW39,IF(A40&lt;'Données projet'!$A$166,$DL$205^A40,IF(A40='Données projet'!$A$166,'Données projet'!$B$166,DO39+DN40-DW39)))</f>
        <v>126.39999999999999</v>
      </c>
      <c r="DP40" s="18">
        <f>DO40*VLOOKUP('Données projet'!$B$14,Paramètres!$A$1:$I$89,3,0)*VLOOKUP('Données projet'!$B$14,Paramètres!$A$1:$I$89,5,0)</f>
        <v>110.42304000000001</v>
      </c>
      <c r="DQ40" s="14">
        <f t="shared" si="43"/>
        <v>29.430633818872195</v>
      </c>
      <c r="DR40" s="22">
        <f t="shared" si="16"/>
        <v>243.57848190120242</v>
      </c>
      <c r="DS40" s="60">
        <f t="shared" si="17"/>
        <v>536.91181523453577</v>
      </c>
      <c r="DT40" s="60">
        <f ca="1">AVERAGE(OFFSET($DS$3,0,0,'Données projet'!$E$14+1,1))-AVERAGE(OFFSET($H$3,0,0,'Données projet'!$E$14+1,1))</f>
        <v>266.98113257513319</v>
      </c>
      <c r="DU40" s="60">
        <f t="shared" si="44"/>
        <v>275.73257102713393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9.1697105551309317</v>
      </c>
      <c r="EC40" s="23">
        <f>EXP(-LN(2)/2)*EC39+(1-EXP(-LN(2)/2))/(LN(2)/2)*DW40*DZ40*VLOOKUP('Données projet'!$B$14,Paramètres!$A$1:$I$89,3,0)*0.475*44/12</f>
        <v>0.92512533679549203</v>
      </c>
      <c r="ED40" s="24">
        <f t="shared" si="18"/>
        <v>10.094835891926424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8.4</v>
      </c>
      <c r="EJ40" s="13">
        <f>IF('Données projet'!$A$192&gt;35,EJ39+EI40-ER39,IF(A40&lt;'Données projet'!$A$192,$EG$205^A40,IF(A40='Données projet'!$A$192,'Données projet'!$B$192,EJ39+EI40-ER39)))</f>
        <v>111.8</v>
      </c>
      <c r="EK40" s="18">
        <f>EJ40*VLOOKUP('Données projet'!$B$15,Paramètres!$A$1:$I$89,3,0)*VLOOKUP('Données projet'!$B$15,Paramètres!$A$1:$I$89,5,0)</f>
        <v>127.31783999999999</v>
      </c>
      <c r="EL40" s="14">
        <f t="shared" si="45"/>
        <v>33.375840922385116</v>
      </c>
      <c r="EM40" s="22">
        <f t="shared" si="19"/>
        <v>279.87482760648737</v>
      </c>
      <c r="EN40" s="60">
        <f t="shared" si="20"/>
        <v>573.20816093982069</v>
      </c>
      <c r="EO40" s="60">
        <f ca="1">AVERAGE(OFFSET($EN$3,0,0,'Données projet'!$E$15+1,1))-AVERAGE(OFFSET($H$3,0,0,'Données projet'!$E$15+1,1))</f>
        <v>457.62828850677369</v>
      </c>
      <c r="EP40" s="60">
        <f t="shared" si="46"/>
        <v>282.78263556175563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8.4</v>
      </c>
      <c r="FE40" s="13">
        <f>IF('Données projet'!$A$218&gt;35,FE39+FD40-FM39,IF(A40&lt;'Données projet'!$A$218,$FB$205^A40,IF(A40='Données projet'!$A$218,'Données projet'!$B$218,FE39+FD40-FM39)))</f>
        <v>111.8</v>
      </c>
      <c r="FF40" s="18">
        <f>FE40*VLOOKUP('Données projet'!$B$16,Paramètres!$A$1:$I$89,3,0)*VLOOKUP('Données projet'!$B$16,Paramètres!$A$1:$I$89,5,0)</f>
        <v>122.08559999999999</v>
      </c>
      <c r="FG40" s="14">
        <f t="shared" si="47"/>
        <v>32.160942364346717</v>
      </c>
      <c r="FH40" s="22">
        <f t="shared" si="22"/>
        <v>268.64606128457052</v>
      </c>
      <c r="FI40" s="60">
        <f t="shared" si="23"/>
        <v>561.97939461790384</v>
      </c>
      <c r="FJ40" s="60">
        <f ca="1">AVERAGE(OFFSET($FI$3,0,0,'Données projet'!$E$16+1,1))-AVERAGE(OFFSET($H$3,0,0,'Données projet'!$E$16+1,1))</f>
        <v>440.52623925652182</v>
      </c>
      <c r="FK40" s="60">
        <f t="shared" si="48"/>
        <v>272.91122662088918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19.571428571428573</v>
      </c>
      <c r="FZ40" s="13">
        <f>IF('Données projet'!$A$244&gt;35,FZ39+FY40-GH39,IF(A40&lt;'Données projet'!$A$244,$FW$205^A40,IF(A40='Données projet'!$A$244,'Données projet'!$B$244,FZ39+FY40-GH39)))</f>
        <v>319.14285714285711</v>
      </c>
      <c r="GA40" s="18">
        <f>FZ40*VLOOKUP('Données projet'!$B$17,Paramètres!$A$1:$I$89,3,0)*VLOOKUP('Données projet'!$B$17,Paramètres!$A$1:$I$89,5,0)</f>
        <v>149.35885714285715</v>
      </c>
      <c r="GB40" s="14">
        <f t="shared" si="49"/>
        <v>38.432847302798578</v>
      </c>
      <c r="GC40" s="22">
        <f t="shared" si="25"/>
        <v>327.07055190951706</v>
      </c>
      <c r="GD40" s="60">
        <f t="shared" si="26"/>
        <v>620.40388524285038</v>
      </c>
      <c r="GE40" s="60">
        <f ca="1">AVERAGE(OFFSET($GD$3,0,0,'Données projet'!$E$17+1,1))-AVERAGE(OFFSET($H$3,0,0,'Données projet'!$E$17+1,1))</f>
        <v>317.54276561627643</v>
      </c>
      <c r="GF40" s="60">
        <f t="shared" si="50"/>
        <v>238.92443174298893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>
        <f>GU40*VLOOKUP('Données projet'!$B$18,Paramètres!$A$1:$I$89,3,0)*VLOOKUP('Données projet'!$B$18,Paramètres!$A$1:$I$89,5,0)</f>
        <v>0</v>
      </c>
      <c r="GW40" s="14" t="e">
        <f t="shared" si="51"/>
        <v>#NUM!</v>
      </c>
      <c r="GX40" s="22" t="e">
        <f t="shared" si="28"/>
        <v>#NUM!</v>
      </c>
      <c r="GY40" s="60" t="e">
        <f t="shared" si="29"/>
        <v>#NUM!</v>
      </c>
      <c r="GZ40" s="60">
        <f ca="1">AVERAGE(OFFSET($GY$3,0,0,'Données projet'!$E$18+1,1))-AVERAGE(OFFSET($H$3,0,0,'Données projet'!$E$18+1,1))</f>
        <v>79.868679770907136</v>
      </c>
      <c r="HA40" s="60">
        <f t="shared" si="52"/>
        <v>370.47471103028312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54.089262715565617</v>
      </c>
      <c r="HH40" s="23">
        <f>EXP(-LN(2)/25)*HH39+(1-EXP(-LN(2)/25))/(LN(2)/25)*Calculateur!HC40*Calculateur!HE40*VLOOKUP('Données projet'!$B$18,Paramètres!$A$1:$I$89,3,0)*0.475*44/12</f>
        <v>12.441681347209412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66.530944062775035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0">
        <f t="shared" si="0"/>
        <v>732.81621910449587</v>
      </c>
      <c r="S41" s="60">
        <f ca="1">AVERAGE(OFFSET($R$3,0,0,'Données projet'!$E$9+1,1))-AVERAGE(OFFSET($H$3,0,0,'Données projet'!$E$9+1,1))</f>
        <v>206.5885410269899</v>
      </c>
      <c r="T41" s="60">
        <f t="shared" si="34"/>
        <v>347.41156847586302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338</v>
      </c>
      <c r="AG41" s="13">
        <f>VLOOKUP(A41,'Données projet'!$A$61:$I$81,9,0)</f>
        <v>12.625</v>
      </c>
      <c r="AH41" s="13">
        <f t="array" ref="AH41">INDEX(AG:AG,MIN(IF(ISNUMBER(AG41:AG237),ROW(AG41:AG237),"")))</f>
        <v>12.625</v>
      </c>
      <c r="AI41" s="14">
        <f>IF('Données projet'!$A$62&gt;35,AI40+AH41-AQ40,IF(A41&lt;'Données projet'!$A$62,$AF$205^A41,IF(A41='Données projet'!$A$62,'Données projet'!$B$62,AI40+AH41-AQ40)))</f>
        <v>338.00000000000006</v>
      </c>
      <c r="AJ41" s="14">
        <f>AI41*VLOOKUP('Données projet'!$B$10,Paramètres!$A$1:$I$89,3,0)*VLOOKUP('Données projet'!$B$10,Paramètres!$A$1:$I$89,5,0)</f>
        <v>202.12400000000008</v>
      </c>
      <c r="AK41" s="14">
        <f t="shared" si="35"/>
        <v>50.210671256169846</v>
      </c>
      <c r="AL41" s="22">
        <f t="shared" si="4"/>
        <v>439.48288577116256</v>
      </c>
      <c r="AM41" s="60">
        <f t="shared" si="5"/>
        <v>732.81621910449587</v>
      </c>
      <c r="AN41" s="60">
        <f ca="1">AVERAGE(OFFSET($AM$3,0,0,'Données projet'!$E$10+1,1))-AVERAGE(OFFSET($H$3,0,0,'Données projet'!$E$10+1,1))</f>
        <v>206.5885410269899</v>
      </c>
      <c r="AO41" s="60">
        <f t="shared" si="36"/>
        <v>347.41156847586302</v>
      </c>
      <c r="AP41" s="16">
        <f>IF(ISNA(VLOOKUP(A41,'Données projet'!$A$61:$I$81,3,0)),0,VLOOKUP(A41,'Données projet'!$A$61:$I$81,3,0))</f>
        <v>5</v>
      </c>
      <c r="AQ41" s="16">
        <f>IF(ISNA(VLOOKUP(A41,'Données projet'!$A$61:$I$81,4,0)),0,VLOOKUP(A41,'Données projet'!$A$61:$I$81,4,0))</f>
        <v>338</v>
      </c>
      <c r="AR41" s="17">
        <f>IF(ISNA(VLOOKUP(A41,'Données projet'!$A$61:$I$81,5,0)),0%,VLOOKUP(A41,'Données projet'!$A$61:$I$81,5,0)*VLOOKUP('Données projet'!$B$10,Paramètres!$A$1:$I$89,7,0))</f>
        <v>0.315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0.3</v>
      </c>
      <c r="AU41" s="23">
        <f>EXP(-LN(2)/35)*AU40+(1-EXP(-LN(2)/35))/(LN(2)/35)*AQ41*AR41*VLOOKUP('Données projet'!$B$10,Paramètres!$A$1:$I$89,3,0)*0.475*44/12</f>
        <v>93.362043050648666</v>
      </c>
      <c r="AV41" s="23">
        <f>EXP(-LN(2)/25)*AV40+(1-EXP(-LN(2)/25))/(LN(2)/25)*Calculateur!AQ41*Calculateur!AS41*VLOOKUP('Données projet'!$B$10,Paramètres!$A$1:$I$89,3,0)*0.475*44/12</f>
        <v>2.6780387317135532</v>
      </c>
      <c r="AW41" s="23">
        <f>EXP(-LN(2)/2)*AW40+(1-EXP(-LN(2)/2))/(LN(2)/2)*AQ41*AT41*VLOOKUP('Données projet'!$B$10,Paramètres!$A$1:$I$89,3,0)*0.475*44/12</f>
        <v>68.844914918064944</v>
      </c>
      <c r="AX41" s="23">
        <f t="shared" si="6"/>
        <v>164.88499670042717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</v>
      </c>
      <c r="BE41" s="14">
        <f>BD41*VLOOKUP('Données projet'!$B$11,Paramètres!$A$1:$I$89,3,0)*VLOOKUP('Données projet'!$B$11,Paramètres!$A$1:$I$89,5,0)</f>
        <v>114.38232000000001</v>
      </c>
      <c r="BF41" s="14">
        <f t="shared" si="37"/>
        <v>30.361134085955022</v>
      </c>
      <c r="BG41" s="22">
        <f t="shared" si="7"/>
        <v>252.09484919970498</v>
      </c>
      <c r="BH41" s="60">
        <f t="shared" si="8"/>
        <v>545.42818253303835</v>
      </c>
      <c r="BI41" s="60">
        <f ca="1">AVERAGE(OFFSET($BH$3,0,0,'Données projet'!$E$11+1,1))-AVERAGE(OFFSET($H$3,0,0,'Données projet'!$E$11+1,1))</f>
        <v>389.12604446638119</v>
      </c>
      <c r="BJ41" s="60">
        <f t="shared" si="38"/>
        <v>243.23852967152732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120.2</v>
      </c>
      <c r="BZ41" s="14">
        <f>BY41*VLOOKUP('Données projet'!$B$12,Paramètres!$A$1:$I$89,3,0)*VLOOKUP('Données projet'!$B$12,Paramètres!$A$1:$I$89,5,0)</f>
        <v>108.75695999999999</v>
      </c>
      <c r="CA41" s="14">
        <f t="shared" si="39"/>
        <v>29.037921223305585</v>
      </c>
      <c r="CB41" s="22">
        <f t="shared" si="10"/>
        <v>239.99275146392384</v>
      </c>
      <c r="CC41" s="60">
        <f t="shared" si="11"/>
        <v>533.32608479725718</v>
      </c>
      <c r="CD41" s="60">
        <f ca="1">AVERAGE(OFFSET($CC$3,0,0,'Données projet'!$E$12+1,1))-AVERAGE(OFFSET($H$3,0,0,'Données projet'!$E$12+1,1))</f>
        <v>371.95849973474657</v>
      </c>
      <c r="CE41" s="60">
        <f t="shared" si="40"/>
        <v>233.32640143610547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1.1959427984566759</v>
      </c>
      <c r="CN41" s="24">
        <f t="shared" si="12"/>
        <v>1.1959427984566759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120.2</v>
      </c>
      <c r="CU41" s="18">
        <f>CT41*VLOOKUP('Données projet'!$B$13,Paramètres!$A$1:$I$89,3,0)*VLOOKUP('Données projet'!$B$13,Paramètres!$A$1:$I$89,5,0)</f>
        <v>116.25744</v>
      </c>
      <c r="CV41" s="14">
        <f t="shared" si="41"/>
        <v>30.800505515381992</v>
      </c>
      <c r="CW41" s="22">
        <f t="shared" si="13"/>
        <v>256.1259217726236</v>
      </c>
      <c r="CX41" s="60">
        <f t="shared" si="14"/>
        <v>549.45925510595691</v>
      </c>
      <c r="CY41" s="60">
        <f ca="1">AVERAGE(OFFSET($CX$3,0,0,'Données projet'!$E$13+1,1))-AVERAGE(OFFSET($H$3,0,0,'Données projet'!$E$13+1,1))</f>
        <v>394.8445842828649</v>
      </c>
      <c r="CZ41" s="60">
        <f t="shared" si="42"/>
        <v>246.54010105494143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1.278421612143344</v>
      </c>
      <c r="DI41" s="24">
        <f t="shared" si="15"/>
        <v>1.278421612143344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7.2</v>
      </c>
      <c r="DO41" s="13">
        <f>IF('Données projet'!$A$166&gt;35,DO40+DN41-DW40,IF(A41&lt;'Données projet'!$A$166,$DL$205^A41,IF(A41='Données projet'!$A$166,'Données projet'!$B$166,DO40+DN41-DW40)))</f>
        <v>133.6</v>
      </c>
      <c r="DP41" s="18">
        <f>DO41*VLOOKUP('Données projet'!$B$14,Paramètres!$A$1:$I$89,3,0)*VLOOKUP('Données projet'!$B$14,Paramètres!$A$1:$I$89,5,0)</f>
        <v>116.71296000000001</v>
      </c>
      <c r="DQ41" s="14">
        <f t="shared" si="43"/>
        <v>30.90711634982064</v>
      </c>
      <c r="DR41" s="22">
        <f t="shared" si="16"/>
        <v>257.10496630927094</v>
      </c>
      <c r="DS41" s="60">
        <f t="shared" si="17"/>
        <v>550.43829964260431</v>
      </c>
      <c r="DT41" s="60">
        <f ca="1">AVERAGE(OFFSET($DS$3,0,0,'Données projet'!$E$14+1,1))-AVERAGE(OFFSET($H$3,0,0,'Données projet'!$E$14+1,1))</f>
        <v>266.98113257513319</v>
      </c>
      <c r="DU41" s="60">
        <f t="shared" si="44"/>
        <v>275.73257102713393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8.9189643377867558</v>
      </c>
      <c r="EC41" s="23">
        <f>EXP(-LN(2)/2)*EC40+(1-EXP(-LN(2)/2))/(LN(2)/2)*DW41*DZ41*VLOOKUP('Données projet'!$B$14,Paramètres!$A$1:$I$89,3,0)*0.475*44/12</f>
        <v>0.65416239909558116</v>
      </c>
      <c r="ED41" s="24">
        <f t="shared" si="18"/>
        <v>9.5731267368823367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8.4</v>
      </c>
      <c r="EJ41" s="13">
        <f>IF('Données projet'!$A$192&gt;35,EJ40+EI41-ER40,IF(A41&lt;'Données projet'!$A$192,$EG$205^A41,IF(A41='Données projet'!$A$192,'Données projet'!$B$192,EJ40+EI41-ER40)))</f>
        <v>120.2</v>
      </c>
      <c r="EK41" s="18">
        <f>EJ41*VLOOKUP('Données projet'!$B$15,Paramètres!$A$1:$I$89,3,0)*VLOOKUP('Données projet'!$B$15,Paramètres!$A$1:$I$89,5,0)</f>
        <v>136.88376</v>
      </c>
      <c r="EL41" s="14">
        <f t="shared" si="45"/>
        <v>35.582186102964961</v>
      </c>
      <c r="EM41" s="22">
        <f t="shared" si="19"/>
        <v>300.37818946266395</v>
      </c>
      <c r="EN41" s="60">
        <f t="shared" si="20"/>
        <v>593.71152279599733</v>
      </c>
      <c r="EO41" s="60">
        <f ca="1">AVERAGE(OFFSET($EN$3,0,0,'Données projet'!$E$15+1,1))-AVERAGE(OFFSET($H$3,0,0,'Données projet'!$E$15+1,1))</f>
        <v>457.62828850677369</v>
      </c>
      <c r="EP41" s="60">
        <f t="shared" si="46"/>
        <v>282.78263556175563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8.4</v>
      </c>
      <c r="FE41" s="13">
        <f>IF('Données projet'!$A$218&gt;35,FE40+FD41-FM40,IF(A41&lt;'Données projet'!$A$218,$FB$205^A41,IF(A41='Données projet'!$A$218,'Données projet'!$B$218,FE40+FD41-FM40)))</f>
        <v>120.2</v>
      </c>
      <c r="FF41" s="18">
        <f>FE41*VLOOKUP('Données projet'!$B$16,Paramètres!$A$1:$I$89,3,0)*VLOOKUP('Données projet'!$B$16,Paramètres!$A$1:$I$89,5,0)</f>
        <v>131.25839999999999</v>
      </c>
      <c r="FG41" s="14">
        <f t="shared" si="47"/>
        <v>34.286975393851307</v>
      </c>
      <c r="FH41" s="22">
        <f t="shared" si="22"/>
        <v>288.32486214429105</v>
      </c>
      <c r="FI41" s="60">
        <f t="shared" si="23"/>
        <v>581.6581954776243</v>
      </c>
      <c r="FJ41" s="60">
        <f ca="1">AVERAGE(OFFSET($FI$3,0,0,'Données projet'!$E$16+1,1))-AVERAGE(OFFSET($H$3,0,0,'Données projet'!$E$16+1,1))</f>
        <v>440.52623925652182</v>
      </c>
      <c r="FK41" s="60">
        <f t="shared" si="48"/>
        <v>272.91122662088918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19.571428571428573</v>
      </c>
      <c r="FZ41" s="13">
        <f>IF('Données projet'!$A$244&gt;35,FZ40+FY41-GH40,IF(A41&lt;'Données projet'!$A$244,$FW$205^A41,IF(A41='Données projet'!$A$244,'Données projet'!$B$244,FZ40+FY41-GH40)))</f>
        <v>338.71428571428567</v>
      </c>
      <c r="GA41" s="18">
        <f>FZ41*VLOOKUP('Données projet'!$B$17,Paramètres!$A$1:$I$89,3,0)*VLOOKUP('Données projet'!$B$17,Paramètres!$A$1:$I$89,5,0)</f>
        <v>158.5182857142857</v>
      </c>
      <c r="GB41" s="14">
        <f t="shared" si="49"/>
        <v>40.508129862224799</v>
      </c>
      <c r="GC41" s="22">
        <f t="shared" si="25"/>
        <v>346.63767379575575</v>
      </c>
      <c r="GD41" s="60">
        <f t="shared" si="26"/>
        <v>639.971007129089</v>
      </c>
      <c r="GE41" s="60">
        <f ca="1">AVERAGE(OFFSET($GD$3,0,0,'Données projet'!$E$17+1,1))-AVERAGE(OFFSET($H$3,0,0,'Données projet'!$E$17+1,1))</f>
        <v>317.54276561627643</v>
      </c>
      <c r="GF41" s="60">
        <f t="shared" si="50"/>
        <v>238.92443174298893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>
        <f>GU41*VLOOKUP('Données projet'!$B$18,Paramètres!$A$1:$I$89,3,0)*VLOOKUP('Données projet'!$B$18,Paramètres!$A$1:$I$89,5,0)</f>
        <v>0</v>
      </c>
      <c r="GW41" s="14" t="e">
        <f t="shared" si="51"/>
        <v>#NUM!</v>
      </c>
      <c r="GX41" s="22" t="e">
        <f t="shared" si="28"/>
        <v>#NUM!</v>
      </c>
      <c r="GY41" s="60" t="e">
        <f t="shared" si="29"/>
        <v>#NUM!</v>
      </c>
      <c r="GZ41" s="60">
        <f ca="1">AVERAGE(OFFSET($GY$3,0,0,'Données projet'!$E$18+1,1))-AVERAGE(OFFSET($H$3,0,0,'Données projet'!$E$18+1,1))</f>
        <v>79.868679770907136</v>
      </c>
      <c r="HA41" s="60">
        <f t="shared" si="52"/>
        <v>370.47471103028312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53.02860526490602</v>
      </c>
      <c r="HH41" s="23">
        <f>EXP(-LN(2)/25)*HH40+(1-EXP(-LN(2)/25))/(LN(2)/25)*Calculateur!HC41*Calculateur!HE41*VLOOKUP('Données projet'!$B$18,Paramètres!$A$1:$I$89,3,0)*0.475*44/12</f>
        <v>12.101462916490386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65.13006818139641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0">
        <f t="shared" si="0"/>
        <v>293.33333333333439</v>
      </c>
      <c r="S42" s="60">
        <f ca="1">AVERAGE(OFFSET($R$3,0,0,'Données projet'!$E$9+1,1))-AVERAGE(OFFSET($H$3,0,0,'Données projet'!$E$9+1,1))</f>
        <v>206.5885410269899</v>
      </c>
      <c r="T42" s="60">
        <f t="shared" si="34"/>
        <v>347.41156847586302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5.6843418860808015E-14</v>
      </c>
      <c r="AJ42" s="14">
        <f>AI42*VLOOKUP('Données projet'!$B$10,Paramètres!$A$1:$I$89,3,0)*VLOOKUP('Données projet'!$B$10,Paramètres!$A$1:$I$89,5,0)</f>
        <v>3.3992364478763198E-14</v>
      </c>
      <c r="AK42" s="14">
        <f t="shared" si="35"/>
        <v>5.790027782444094E-13</v>
      </c>
      <c r="AL42" s="22">
        <f t="shared" si="4"/>
        <v>1.0676332069095257E-12</v>
      </c>
      <c r="AM42" s="60">
        <f t="shared" si="5"/>
        <v>293.33333333333439</v>
      </c>
      <c r="AN42" s="60">
        <f ca="1">AVERAGE(OFFSET($AM$3,0,0,'Données projet'!$E$10+1,1))-AVERAGE(OFFSET($H$3,0,0,'Données projet'!$E$10+1,1))</f>
        <v>206.5885410269899</v>
      </c>
      <c r="AO42" s="60">
        <f t="shared" si="36"/>
        <v>347.41156847586302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91.531270331648827</v>
      </c>
      <c r="AV42" s="23">
        <f>EXP(-LN(2)/25)*AV41+(1-EXP(-LN(2)/25))/(LN(2)/25)*Calculateur!AQ42*Calculateur!AS42*VLOOKUP('Données projet'!$B$10,Paramètres!$A$1:$I$89,3,0)*0.475*44/12</f>
        <v>2.6048076217629101</v>
      </c>
      <c r="AW42" s="23">
        <f>EXP(-LN(2)/2)*AW41+(1-EXP(-LN(2)/2))/(LN(2)/2)*AQ42*AT42*VLOOKUP('Données projet'!$B$10,Paramètres!$A$1:$I$89,3,0)*0.475*44/12</f>
        <v>48.680706188774636</v>
      </c>
      <c r="AX42" s="23">
        <f t="shared" si="6"/>
        <v>142.81678414218638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</v>
      </c>
      <c r="BE42" s="14">
        <f>BD42*VLOOKUP('Données projet'!$B$11,Paramètres!$A$1:$I$89,3,0)*VLOOKUP('Données projet'!$B$11,Paramètres!$A$1:$I$89,5,0)</f>
        <v>122.37576</v>
      </c>
      <c r="BF42" s="14">
        <f t="shared" si="37"/>
        <v>32.228472488687231</v>
      </c>
      <c r="BG42" s="22">
        <f t="shared" si="7"/>
        <v>269.26903825113021</v>
      </c>
      <c r="BH42" s="60">
        <f t="shared" si="8"/>
        <v>562.60237158446353</v>
      </c>
      <c r="BI42" s="60">
        <f ca="1">AVERAGE(OFFSET($BH$3,0,0,'Données projet'!$E$11+1,1))-AVERAGE(OFFSET($H$3,0,0,'Données projet'!$E$11+1,1))</f>
        <v>389.12604446638119</v>
      </c>
      <c r="BJ42" s="60">
        <f t="shared" si="38"/>
        <v>243.23852967152732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128.6</v>
      </c>
      <c r="BZ42" s="14">
        <f>BY42*VLOOKUP('Données projet'!$B$12,Paramètres!$A$1:$I$89,3,0)*VLOOKUP('Données projet'!$B$12,Paramètres!$A$1:$I$89,5,0)</f>
        <v>116.35727999999999</v>
      </c>
      <c r="CA42" s="14">
        <f t="shared" si="39"/>
        <v>30.823876427820704</v>
      </c>
      <c r="CB42" s="22">
        <f t="shared" si="10"/>
        <v>256.34051411178768</v>
      </c>
      <c r="CC42" s="60">
        <f t="shared" si="11"/>
        <v>549.67384744512105</v>
      </c>
      <c r="CD42" s="60">
        <f ca="1">AVERAGE(OFFSET($CC$3,0,0,'Données projet'!$E$12+1,1))-AVERAGE(OFFSET($H$3,0,0,'Données projet'!$E$12+1,1))</f>
        <v>371.95849973474657</v>
      </c>
      <c r="CE42" s="60">
        <f t="shared" si="40"/>
        <v>233.32640143610547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0.84565926269993208</v>
      </c>
      <c r="CN42" s="24">
        <f t="shared" si="12"/>
        <v>0.84565926269993208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128.6</v>
      </c>
      <c r="CU42" s="18">
        <f>CT42*VLOOKUP('Données projet'!$B$13,Paramètres!$A$1:$I$89,3,0)*VLOOKUP('Données projet'!$B$13,Paramètres!$A$1:$I$89,5,0)</f>
        <v>124.38192000000001</v>
      </c>
      <c r="CV42" s="14">
        <f t="shared" si="41"/>
        <v>32.694867122876893</v>
      </c>
      <c r="CW42" s="22">
        <f t="shared" si="13"/>
        <v>273.5754042390106</v>
      </c>
      <c r="CX42" s="60">
        <f t="shared" si="14"/>
        <v>566.90873757234385</v>
      </c>
      <c r="CY42" s="60">
        <f ca="1">AVERAGE(OFFSET($CX$3,0,0,'Données projet'!$E$13+1,1))-AVERAGE(OFFSET($H$3,0,0,'Données projet'!$E$13+1,1))</f>
        <v>394.8445842828649</v>
      </c>
      <c r="CZ42" s="60">
        <f t="shared" si="42"/>
        <v>246.54010105494143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0.90398059116199692</v>
      </c>
      <c r="DI42" s="24">
        <f t="shared" si="15"/>
        <v>0.90398059116199692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7.2</v>
      </c>
      <c r="DO42" s="13">
        <f>IF('Données projet'!$A$166&gt;35,DO41+DN42-DW41,IF(A42&lt;'Données projet'!$A$166,$DL$205^A42,IF(A42='Données projet'!$A$166,'Données projet'!$B$166,DO41+DN42-DW41)))</f>
        <v>140.79999999999998</v>
      </c>
      <c r="DP42" s="18">
        <f>DO42*VLOOKUP('Données projet'!$B$14,Paramètres!$A$1:$I$89,3,0)*VLOOKUP('Données projet'!$B$14,Paramètres!$A$1:$I$89,5,0)</f>
        <v>123.00288</v>
      </c>
      <c r="DQ42" s="14">
        <f t="shared" si="43"/>
        <v>32.374361095906167</v>
      </c>
      <c r="DR42" s="22">
        <f t="shared" si="16"/>
        <v>270.61536157536995</v>
      </c>
      <c r="DS42" s="60">
        <f t="shared" si="17"/>
        <v>563.94869490870326</v>
      </c>
      <c r="DT42" s="60">
        <f ca="1">AVERAGE(OFFSET($DS$3,0,0,'Données projet'!$E$14+1,1))-AVERAGE(OFFSET($H$3,0,0,'Données projet'!$E$14+1,1))</f>
        <v>266.98113257513319</v>
      </c>
      <c r="DU42" s="60">
        <f t="shared" si="44"/>
        <v>275.73257102713393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8.6750747889420268</v>
      </c>
      <c r="EC42" s="23">
        <f>EXP(-LN(2)/2)*EC41+(1-EXP(-LN(2)/2))/(LN(2)/2)*DW42*DZ42*VLOOKUP('Données projet'!$B$14,Paramètres!$A$1:$I$89,3,0)*0.475*44/12</f>
        <v>0.46256266839774612</v>
      </c>
      <c r="ED42" s="24">
        <f t="shared" si="18"/>
        <v>9.137637457339773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8.4</v>
      </c>
      <c r="EJ42" s="13">
        <f>IF('Données projet'!$A$192&gt;35,EJ41+EI42-ER41,IF(A42&lt;'Données projet'!$A$192,$EG$205^A42,IF(A42='Données projet'!$A$192,'Données projet'!$B$192,EJ41+EI42-ER41)))</f>
        <v>128.6</v>
      </c>
      <c r="EK42" s="18">
        <f>EJ42*VLOOKUP('Données projet'!$B$15,Paramètres!$A$1:$I$89,3,0)*VLOOKUP('Données projet'!$B$15,Paramètres!$A$1:$I$89,5,0)</f>
        <v>146.44968</v>
      </c>
      <c r="EL42" s="14">
        <f t="shared" si="45"/>
        <v>37.770641329147324</v>
      </c>
      <c r="EM42" s="22">
        <f t="shared" si="19"/>
        <v>320.8503929815983</v>
      </c>
      <c r="EN42" s="60">
        <f t="shared" si="20"/>
        <v>614.18372631493162</v>
      </c>
      <c r="EO42" s="60">
        <f ca="1">AVERAGE(OFFSET($EN$3,0,0,'Données projet'!$E$15+1,1))-AVERAGE(OFFSET($H$3,0,0,'Données projet'!$E$15+1,1))</f>
        <v>457.62828850677369</v>
      </c>
      <c r="EP42" s="60">
        <f t="shared" si="46"/>
        <v>282.78263556175563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8.4</v>
      </c>
      <c r="FE42" s="13">
        <f>IF('Données projet'!$A$218&gt;35,FE41+FD42-FM41,IF(A42&lt;'Données projet'!$A$218,$FB$205^A42,IF(A42='Données projet'!$A$218,'Données projet'!$B$218,FE41+FD42-FM41)))</f>
        <v>128.6</v>
      </c>
      <c r="FF42" s="18">
        <f>FE42*VLOOKUP('Données projet'!$B$16,Paramètres!$A$1:$I$89,3,0)*VLOOKUP('Données projet'!$B$16,Paramètres!$A$1:$I$89,5,0)</f>
        <v>140.43119999999999</v>
      </c>
      <c r="FG42" s="14">
        <f t="shared" si="47"/>
        <v>36.395769672919123</v>
      </c>
      <c r="FH42" s="22">
        <f t="shared" si="22"/>
        <v>307.97363884700081</v>
      </c>
      <c r="FI42" s="60">
        <f t="shared" si="23"/>
        <v>601.30697218033413</v>
      </c>
      <c r="FJ42" s="60">
        <f ca="1">AVERAGE(OFFSET($FI$3,0,0,'Données projet'!$E$16+1,1))-AVERAGE(OFFSET($H$3,0,0,'Données projet'!$E$16+1,1))</f>
        <v>440.52623925652182</v>
      </c>
      <c r="FK42" s="60">
        <f t="shared" si="48"/>
        <v>272.91122662088918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19.571428571428573</v>
      </c>
      <c r="FZ42" s="13">
        <f>IF('Données projet'!$A$244&gt;35,FZ41+FY42-GH41,IF(A42&lt;'Données projet'!$A$244,$FW$205^A42,IF(A42='Données projet'!$A$244,'Données projet'!$B$244,FZ41+FY42-GH41)))</f>
        <v>358.28571428571422</v>
      </c>
      <c r="GA42" s="18">
        <f>FZ42*VLOOKUP('Données projet'!$B$17,Paramètres!$A$1:$I$89,3,0)*VLOOKUP('Données projet'!$B$17,Paramètres!$A$1:$I$89,5,0)</f>
        <v>167.67771428571425</v>
      </c>
      <c r="GB42" s="14">
        <f t="shared" si="49"/>
        <v>42.569493207492975</v>
      </c>
      <c r="GC42" s="22">
        <f t="shared" si="25"/>
        <v>366.18055305066923</v>
      </c>
      <c r="GD42" s="60">
        <f t="shared" si="26"/>
        <v>659.51388638400249</v>
      </c>
      <c r="GE42" s="60">
        <f ca="1">AVERAGE(OFFSET($GD$3,0,0,'Données projet'!$E$17+1,1))-AVERAGE(OFFSET($H$3,0,0,'Données projet'!$E$17+1,1))</f>
        <v>317.54276561627643</v>
      </c>
      <c r="GF42" s="60">
        <f t="shared" si="50"/>
        <v>238.92443174298893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>
        <f>GU42*VLOOKUP('Données projet'!$B$18,Paramètres!$A$1:$I$89,3,0)*VLOOKUP('Données projet'!$B$18,Paramètres!$A$1:$I$89,5,0)</f>
        <v>0</v>
      </c>
      <c r="GW42" s="14" t="e">
        <f t="shared" si="51"/>
        <v>#NUM!</v>
      </c>
      <c r="GX42" s="22" t="e">
        <f t="shared" si="28"/>
        <v>#NUM!</v>
      </c>
      <c r="GY42" s="60" t="e">
        <f t="shared" si="29"/>
        <v>#NUM!</v>
      </c>
      <c r="GZ42" s="60">
        <f ca="1">AVERAGE(OFFSET($GY$3,0,0,'Données projet'!$E$18+1,1))-AVERAGE(OFFSET($H$3,0,0,'Données projet'!$E$18+1,1))</f>
        <v>79.868679770907136</v>
      </c>
      <c r="HA42" s="60">
        <f t="shared" si="52"/>
        <v>370.47471103028312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51.988746659916693</v>
      </c>
      <c r="HH42" s="23">
        <f>EXP(-LN(2)/25)*HH41+(1-EXP(-LN(2)/25))/(LN(2)/25)*Calculateur!HC42*Calculateur!HE42*VLOOKUP('Données projet'!$B$18,Paramètres!$A$1:$I$89,3,0)*0.475*44/12</f>
        <v>11.77054777665068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63.759294436567373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0">
        <f t="shared" si="0"/>
        <v>293.33333333333439</v>
      </c>
      <c r="S43" s="60">
        <f ca="1">AVERAGE(OFFSET($R$3,0,0,'Données projet'!$E$9+1,1))-AVERAGE(OFFSET($H$3,0,0,'Données projet'!$E$9+1,1))</f>
        <v>206.5885410269899</v>
      </c>
      <c r="T43" s="60">
        <f t="shared" si="34"/>
        <v>347.41156847586302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5.6843418860808015E-14</v>
      </c>
      <c r="AJ43" s="14">
        <f>AI43*VLOOKUP('Données projet'!$B$10,Paramètres!$A$1:$I$89,3,0)*VLOOKUP('Données projet'!$B$10,Paramètres!$A$1:$I$89,5,0)</f>
        <v>3.3992364478763198E-14</v>
      </c>
      <c r="AK43" s="14">
        <f t="shared" si="35"/>
        <v>5.790027782444094E-13</v>
      </c>
      <c r="AL43" s="22">
        <f t="shared" si="4"/>
        <v>1.0676332069095257E-12</v>
      </c>
      <c r="AM43" s="60">
        <f t="shared" si="5"/>
        <v>293.33333333333439</v>
      </c>
      <c r="AN43" s="60">
        <f ca="1">AVERAGE(OFFSET($AM$3,0,0,'Données projet'!$E$10+1,1))-AVERAGE(OFFSET($H$3,0,0,'Données projet'!$E$10+1,1))</f>
        <v>206.5885410269899</v>
      </c>
      <c r="AO43" s="60">
        <f t="shared" si="36"/>
        <v>347.41156847586302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89.736397949007483</v>
      </c>
      <c r="AV43" s="23">
        <f>EXP(-LN(2)/25)*AV42+(1-EXP(-LN(2)/25))/(LN(2)/25)*Calculateur!AQ43*Calculateur!AS43*VLOOKUP('Données projet'!$B$10,Paramètres!$A$1:$I$89,3,0)*0.475*44/12</f>
        <v>2.533579020364924</v>
      </c>
      <c r="AW43" s="23">
        <f>EXP(-LN(2)/2)*AW42+(1-EXP(-LN(2)/2))/(LN(2)/2)*AQ43*AT43*VLOOKUP('Données projet'!$B$10,Paramètres!$A$1:$I$89,3,0)*0.475*44/12</f>
        <v>34.422457459032479</v>
      </c>
      <c r="AX43" s="23">
        <f t="shared" si="6"/>
        <v>126.69243442840488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130.36920000000001</v>
      </c>
      <c r="BF43" s="14">
        <f t="shared" si="37"/>
        <v>34.081656526320486</v>
      </c>
      <c r="BG43" s="22">
        <f t="shared" si="7"/>
        <v>286.41857511667479</v>
      </c>
      <c r="BH43" s="60">
        <f t="shared" si="8"/>
        <v>579.75190845000816</v>
      </c>
      <c r="BI43" s="60">
        <f ca="1">AVERAGE(OFFSET($BH$3,0,0,'Données projet'!$E$11+1,1))-AVERAGE(OFFSET($H$3,0,0,'Données projet'!$E$11+1,1))</f>
        <v>389.12604446638119</v>
      </c>
      <c r="BJ43" s="60">
        <f t="shared" si="38"/>
        <v>243.23852967152732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137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137</v>
      </c>
      <c r="BZ43" s="14">
        <f>BY43*VLOOKUP('Données projet'!$B$12,Paramètres!$A$1:$I$89,3,0)*VLOOKUP('Données projet'!$B$12,Paramètres!$A$1:$I$89,5,0)</f>
        <v>123.9576</v>
      </c>
      <c r="CA43" s="14">
        <f t="shared" si="39"/>
        <v>32.59629414926458</v>
      </c>
      <c r="CB43" s="22">
        <f t="shared" si="10"/>
        <v>272.6646989766358</v>
      </c>
      <c r="CC43" s="60">
        <f t="shared" si="11"/>
        <v>565.99803230996918</v>
      </c>
      <c r="CD43" s="60">
        <f ca="1">AVERAGE(OFFSET($CC$3,0,0,'Données projet'!$E$12+1,1))-AVERAGE(OFFSET($H$3,0,0,'Données projet'!$E$12+1,1))</f>
        <v>371.95849973474657</v>
      </c>
      <c r="CE43" s="60">
        <f t="shared" si="40"/>
        <v>233.32640143610547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21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0.59797139922833797</v>
      </c>
      <c r="CN43" s="24">
        <f t="shared" si="12"/>
        <v>0.59797139922833797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137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137</v>
      </c>
      <c r="CU43" s="18">
        <f>CT43*VLOOKUP('Données projet'!$B$13,Paramètres!$A$1:$I$89,3,0)*VLOOKUP('Données projet'!$B$13,Paramètres!$A$1:$I$89,5,0)</f>
        <v>132.50640000000001</v>
      </c>
      <c r="CV43" s="14">
        <f t="shared" si="41"/>
        <v>34.574869530248939</v>
      </c>
      <c r="CW43" s="22">
        <f t="shared" si="13"/>
        <v>290.99987776518356</v>
      </c>
      <c r="CX43" s="60">
        <f t="shared" si="14"/>
        <v>584.33321109851681</v>
      </c>
      <c r="CY43" s="60">
        <f ca="1">AVERAGE(OFFSET($CX$3,0,0,'Données projet'!$E$13+1,1))-AVERAGE(OFFSET($H$3,0,0,'Données projet'!$E$13+1,1))</f>
        <v>394.8445842828649</v>
      </c>
      <c r="CZ43" s="60">
        <f t="shared" si="42"/>
        <v>246.54010105494143</v>
      </c>
      <c r="DA43" s="16">
        <f>IF(ISNA(VLOOKUP(A43,'Données projet'!$A$139:$I$159,3,0)),0,VLOOKUP(A43,'Données projet'!$A$139:$I$159,3,0))</f>
        <v>4</v>
      </c>
      <c r="DB43" s="16">
        <f>IF(ISNA(VLOOKUP(A43,'Données projet'!$A$139:$I$159,4,0)),0,VLOOKUP(A43,'Données projet'!$A$139:$I$159,4,0))</f>
        <v>21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0.63921080607167202</v>
      </c>
      <c r="DI43" s="24">
        <f t="shared" si="15"/>
        <v>0.63921080607167202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148</v>
      </c>
      <c r="DM43" s="13">
        <f>VLOOKUP(A43,'Données projet'!$A$165:$I$185,9,0)</f>
        <v>7.2</v>
      </c>
      <c r="DN43" s="13">
        <f t="array" ref="DN43">INDEX(DM:DM,MIN(IF(ISNUMBER(DM43:DM239),ROW(DM43:DM239),"")))</f>
        <v>7.2</v>
      </c>
      <c r="DO43" s="13">
        <f>IF('Données projet'!$A$166&gt;35,DO42+DN43-DW42,IF(A43&lt;'Données projet'!$A$166,$DL$205^A43,IF(A43='Données projet'!$A$166,'Données projet'!$B$166,DO42+DN43-DW42)))</f>
        <v>147.99999999999997</v>
      </c>
      <c r="DP43" s="18">
        <f>DO43*VLOOKUP('Données projet'!$B$14,Paramètres!$A$1:$I$89,3,0)*VLOOKUP('Données projet'!$B$14,Paramètres!$A$1:$I$89,5,0)</f>
        <v>129.2928</v>
      </c>
      <c r="DQ43" s="14">
        <f t="shared" si="43"/>
        <v>33.832894333299251</v>
      </c>
      <c r="DR43" s="22">
        <f t="shared" si="16"/>
        <v>284.1105842971628</v>
      </c>
      <c r="DS43" s="60">
        <f t="shared" si="17"/>
        <v>577.44391763049612</v>
      </c>
      <c r="DT43" s="60">
        <f ca="1">AVERAGE(OFFSET($DS$3,0,0,'Données projet'!$E$14+1,1))-AVERAGE(OFFSET($H$3,0,0,'Données projet'!$E$14+1,1))</f>
        <v>266.98113257513319</v>
      </c>
      <c r="DU43" s="60">
        <f t="shared" si="44"/>
        <v>275.73257102713393</v>
      </c>
      <c r="DV43" s="16">
        <f>IF(ISNA(VLOOKUP(A43,'Données projet'!$A$165:$I$185,3,0)),0,VLOOKUP(A43,'Données projet'!$A$165:$I$185,3,0))</f>
        <v>5</v>
      </c>
      <c r="DW43" s="16">
        <f>IF(ISNA(VLOOKUP(A43,'Données projet'!$A$165:$I$185,4,0)),0,VLOOKUP(A43,'Données projet'!$A$165:$I$185,4,0))</f>
        <v>23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8.4378544126360513</v>
      </c>
      <c r="EC43" s="23">
        <f>EXP(-LN(2)/2)*EC42+(1-EXP(-LN(2)/2))/(LN(2)/2)*DW43*DZ43*VLOOKUP('Données projet'!$B$14,Paramètres!$A$1:$I$89,3,0)*0.475*44/12</f>
        <v>0.32708119954779064</v>
      </c>
      <c r="ED43" s="24">
        <f t="shared" si="18"/>
        <v>8.7649356121838427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137</v>
      </c>
      <c r="EH43" s="13">
        <f>VLOOKUP(A43,'Données projet'!$A$191:$I$211,9,0)</f>
        <v>8.4</v>
      </c>
      <c r="EI43" s="13">
        <f t="array" ref="EI43">INDEX(EH:EH,MIN(IF(ISNUMBER(EH43:EH239),ROW(EH43:EH239),"")))</f>
        <v>8.4</v>
      </c>
      <c r="EJ43" s="13">
        <f>IF('Données projet'!$A$192&gt;35,EJ42+EI43-ER42,IF(A43&lt;'Données projet'!$A$192,$EG$205^A43,IF(A43='Données projet'!$A$192,'Données projet'!$B$192,EJ42+EI43-ER42)))</f>
        <v>137</v>
      </c>
      <c r="EK43" s="18">
        <f>EJ43*VLOOKUP('Données projet'!$B$15,Paramètres!$A$1:$I$89,3,0)*VLOOKUP('Données projet'!$B$15,Paramètres!$A$1:$I$89,5,0)</f>
        <v>156.01559999999998</v>
      </c>
      <c r="EL43" s="14">
        <f t="shared" si="45"/>
        <v>39.942508135025747</v>
      </c>
      <c r="EM43" s="22">
        <f t="shared" si="19"/>
        <v>341.29370500183649</v>
      </c>
      <c r="EN43" s="60">
        <f t="shared" si="20"/>
        <v>634.6270383351698</v>
      </c>
      <c r="EO43" s="60">
        <f ca="1">AVERAGE(OFFSET($EN$3,0,0,'Données projet'!$E$15+1,1))-AVERAGE(OFFSET($H$3,0,0,'Données projet'!$E$15+1,1))</f>
        <v>457.62828850677369</v>
      </c>
      <c r="EP43" s="60">
        <f t="shared" si="46"/>
        <v>282.78263556175563</v>
      </c>
      <c r="EQ43" s="16">
        <f>IF(ISNA(VLOOKUP(A43,'Données projet'!$A$191:$I$211,3,0)),0,VLOOKUP(A43,'Données projet'!$A$191:$I$211,3,0))</f>
        <v>4</v>
      </c>
      <c r="ER43" s="16">
        <f>IF(ISNA(VLOOKUP(A43,'Données projet'!$A$191:$I$211,4,0)),0,VLOOKUP(A43,'Données projet'!$A$191:$I$211,4,0))</f>
        <v>21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137</v>
      </c>
      <c r="FC43" s="13">
        <f>VLOOKUP(A43,'Données projet'!$A$217:$I$237,9,0)</f>
        <v>8.4</v>
      </c>
      <c r="FD43" s="13">
        <f t="array" ref="FD43">INDEX(FC:FC,MIN(IF(ISNUMBER(FC43:FC239),ROW(FC43:FC239),"")))</f>
        <v>8.4</v>
      </c>
      <c r="FE43" s="13">
        <f>IF('Données projet'!$A$218&gt;35,FE42+FD43-FM42,IF(A43&lt;'Données projet'!$A$218,$FB$205^A43,IF(A43='Données projet'!$A$218,'Données projet'!$B$218,FE42+FD43-FM42)))</f>
        <v>137</v>
      </c>
      <c r="FF43" s="18">
        <f>FE43*VLOOKUP('Données projet'!$B$16,Paramètres!$A$1:$I$89,3,0)*VLOOKUP('Données projet'!$B$16,Paramètres!$A$1:$I$89,5,0)</f>
        <v>149.60399999999998</v>
      </c>
      <c r="FG43" s="14">
        <f t="shared" si="47"/>
        <v>38.488579359102815</v>
      </c>
      <c r="FH43" s="22">
        <f t="shared" si="22"/>
        <v>327.59457571710396</v>
      </c>
      <c r="FI43" s="60">
        <f t="shared" si="23"/>
        <v>620.92790905043728</v>
      </c>
      <c r="FJ43" s="60">
        <f ca="1">AVERAGE(OFFSET($FI$3,0,0,'Données projet'!$E$16+1,1))-AVERAGE(OFFSET($H$3,0,0,'Données projet'!$E$16+1,1))</f>
        <v>440.52623925652182</v>
      </c>
      <c r="FK43" s="60">
        <f t="shared" si="48"/>
        <v>272.91122662088918</v>
      </c>
      <c r="FL43" s="16">
        <f>IF(ISNA(VLOOKUP(A43,'Données projet'!$A$217:$I$237,3,0)),0,VLOOKUP(A43,'Données projet'!$A$217:$I$237,3,0))</f>
        <v>4</v>
      </c>
      <c r="FM43" s="16">
        <f>IF(ISNA(VLOOKUP(A43,'Données projet'!$A$217:$I$237,4,0)),0,VLOOKUP(A43,'Données projet'!$A$217:$I$237,4,0))</f>
        <v>21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19.571428571428573</v>
      </c>
      <c r="FZ43" s="13">
        <f>IF('Données projet'!$A$244&gt;35,FZ42+FY43-GH42,IF(A43&lt;'Données projet'!$A$244,$FW$205^A43,IF(A43='Données projet'!$A$244,'Données projet'!$B$244,FZ42+FY43-GH42)))</f>
        <v>377.85714285714278</v>
      </c>
      <c r="GA43" s="18">
        <f>FZ43*VLOOKUP('Données projet'!$B$17,Paramètres!$A$1:$I$89,3,0)*VLOOKUP('Données projet'!$B$17,Paramètres!$A$1:$I$89,5,0)</f>
        <v>176.83714285714279</v>
      </c>
      <c r="GB43" s="14">
        <f t="shared" si="49"/>
        <v>44.617784353930041</v>
      </c>
      <c r="GC43" s="22">
        <f t="shared" si="25"/>
        <v>385.70066489261848</v>
      </c>
      <c r="GD43" s="60">
        <f t="shared" si="26"/>
        <v>679.03399822595179</v>
      </c>
      <c r="GE43" s="60">
        <f ca="1">AVERAGE(OFFSET($GD$3,0,0,'Données projet'!$E$17+1,1))-AVERAGE(OFFSET($H$3,0,0,'Données projet'!$E$17+1,1))</f>
        <v>317.54276561627643</v>
      </c>
      <c r="GF43" s="60">
        <f t="shared" si="50"/>
        <v>238.92443174298893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>
        <f>GU43*VLOOKUP('Données projet'!$B$18,Paramètres!$A$1:$I$89,3,0)*VLOOKUP('Données projet'!$B$18,Paramètres!$A$1:$I$89,5,0)</f>
        <v>0</v>
      </c>
      <c r="GW43" s="14" t="e">
        <f t="shared" si="51"/>
        <v>#NUM!</v>
      </c>
      <c r="GX43" s="22" t="e">
        <f t="shared" si="28"/>
        <v>#NUM!</v>
      </c>
      <c r="GY43" s="60" t="e">
        <f t="shared" si="29"/>
        <v>#NUM!</v>
      </c>
      <c r="GZ43" s="60">
        <f ca="1">AVERAGE(OFFSET($GY$3,0,0,'Données projet'!$E$18+1,1))-AVERAGE(OFFSET($H$3,0,0,'Données projet'!$E$18+1,1))</f>
        <v>79.868679770907136</v>
      </c>
      <c r="HA43" s="60">
        <f t="shared" si="52"/>
        <v>370.47471103028312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50.969279047920089</v>
      </c>
      <c r="HH43" s="23">
        <f>EXP(-LN(2)/25)*HH42+(1-EXP(-LN(2)/25))/(LN(2)/25)*Calculateur!HC43*Calculateur!HE43*VLOOKUP('Données projet'!$B$18,Paramètres!$A$1:$I$89,3,0)*0.475*44/12</f>
        <v>11.448681528711962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62.417960576632055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0">
        <f t="shared" si="0"/>
        <v>293.33333333333439</v>
      </c>
      <c r="S44" s="60">
        <f ca="1">AVERAGE(OFFSET($R$3,0,0,'Données projet'!$E$9+1,1))-AVERAGE(OFFSET($H$3,0,0,'Données projet'!$E$9+1,1))</f>
        <v>206.5885410269899</v>
      </c>
      <c r="T44" s="60">
        <f t="shared" si="34"/>
        <v>347.41156847586302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5.6843418860808015E-14</v>
      </c>
      <c r="AJ44" s="14">
        <f>AI44*VLOOKUP('Données projet'!$B$10,Paramètres!$A$1:$I$89,3,0)*VLOOKUP('Données projet'!$B$10,Paramètres!$A$1:$I$89,5,0)</f>
        <v>3.3992364478763198E-14</v>
      </c>
      <c r="AK44" s="14">
        <f t="shared" si="35"/>
        <v>5.790027782444094E-13</v>
      </c>
      <c r="AL44" s="22">
        <f t="shared" si="4"/>
        <v>1.0676332069095257E-12</v>
      </c>
      <c r="AM44" s="60">
        <f t="shared" si="5"/>
        <v>293.33333333333439</v>
      </c>
      <c r="AN44" s="60">
        <f ca="1">AVERAGE(OFFSET($AM$3,0,0,'Données projet'!$E$10+1,1))-AVERAGE(OFFSET($H$3,0,0,'Données projet'!$E$10+1,1))</f>
        <v>206.5885410269899</v>
      </c>
      <c r="AO44" s="60">
        <f t="shared" si="36"/>
        <v>347.41156847586302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87.976721919025678</v>
      </c>
      <c r="AV44" s="23">
        <f>EXP(-LN(2)/25)*AV43+(1-EXP(-LN(2)/25))/(LN(2)/25)*Calculateur!AQ44*Calculateur!AS44*VLOOKUP('Données projet'!$B$10,Paramètres!$A$1:$I$89,3,0)*0.475*44/12</f>
        <v>2.4642981688179151</v>
      </c>
      <c r="AW44" s="23">
        <f>EXP(-LN(2)/2)*AW43+(1-EXP(-LN(2)/2))/(LN(2)/2)*AQ44*AT44*VLOOKUP('Données projet'!$B$10,Paramètres!$A$1:$I$89,3,0)*0.475*44/12</f>
        <v>24.340353094387321</v>
      </c>
      <c r="AX44" s="23">
        <f t="shared" si="6"/>
        <v>114.78137318223092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</v>
      </c>
      <c r="BE44" s="14">
        <f>BD44*VLOOKUP('Données projet'!$B$11,Paramètres!$A$1:$I$89,3,0)*VLOOKUP('Données projet'!$B$11,Paramètres!$A$1:$I$89,5,0)</f>
        <v>118.37904</v>
      </c>
      <c r="BF44" s="14">
        <f t="shared" si="37"/>
        <v>31.296638268907181</v>
      </c>
      <c r="BG44" s="22">
        <f t="shared" si="7"/>
        <v>260.68513965168</v>
      </c>
      <c r="BH44" s="60">
        <f t="shared" si="8"/>
        <v>554.01847298501332</v>
      </c>
      <c r="BI44" s="60">
        <f ca="1">AVERAGE(OFFSET($BH$3,0,0,'Données projet'!$E$11+1,1))-AVERAGE(OFFSET($H$3,0,0,'Données projet'!$E$11+1,1))</f>
        <v>389.12604446638119</v>
      </c>
      <c r="BJ44" s="60">
        <f t="shared" si="38"/>
        <v>243.23852967152732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</v>
      </c>
      <c r="BZ44" s="14">
        <f>BY44*VLOOKUP('Données projet'!$B$12,Paramètres!$A$1:$I$89,3,0)*VLOOKUP('Données projet'!$B$12,Paramètres!$A$1:$I$89,5,0)</f>
        <v>112.55712000000001</v>
      </c>
      <c r="CA44" s="14">
        <f t="shared" si="39"/>
        <v>29.932653834140599</v>
      </c>
      <c r="CB44" s="22">
        <f t="shared" si="10"/>
        <v>248.16968942779488</v>
      </c>
      <c r="CC44" s="60">
        <f t="shared" si="11"/>
        <v>541.50302276112825</v>
      </c>
      <c r="CD44" s="60">
        <f ca="1">AVERAGE(OFFSET($CC$3,0,0,'Données projet'!$E$12+1,1))-AVERAGE(OFFSET($H$3,0,0,'Données projet'!$E$12+1,1))</f>
        <v>371.95849973474657</v>
      </c>
      <c r="CE44" s="60">
        <f t="shared" si="40"/>
        <v>233.32640143610547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0.42282963134996604</v>
      </c>
      <c r="CN44" s="24">
        <f t="shared" si="12"/>
        <v>0.42282963134996604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</v>
      </c>
      <c r="CU44" s="18">
        <f>CT44*VLOOKUP('Données projet'!$B$13,Paramètres!$A$1:$I$89,3,0)*VLOOKUP('Données projet'!$B$13,Paramètres!$A$1:$I$89,5,0)</f>
        <v>120.31968000000001</v>
      </c>
      <c r="CV44" s="14">
        <f t="shared" si="41"/>
        <v>31.74954785566829</v>
      </c>
      <c r="CW44" s="22">
        <f t="shared" si="13"/>
        <v>264.85390518195555</v>
      </c>
      <c r="CX44" s="60">
        <f t="shared" si="14"/>
        <v>558.18723851528887</v>
      </c>
      <c r="CY44" s="60">
        <f ca="1">AVERAGE(OFFSET($CX$3,0,0,'Données projet'!$E$13+1,1))-AVERAGE(OFFSET($H$3,0,0,'Données projet'!$E$13+1,1))</f>
        <v>394.8445842828649</v>
      </c>
      <c r="CZ44" s="60">
        <f t="shared" si="42"/>
        <v>246.54010105494143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0.45199029558099846</v>
      </c>
      <c r="DI44" s="24">
        <f t="shared" si="15"/>
        <v>0.45199029558099846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6.4</v>
      </c>
      <c r="DO44" s="13">
        <f>IF('Données projet'!$A$166&gt;35,DO43+DN44-DW43,IF(A44&lt;'Données projet'!$A$166,$DL$205^A44,IF(A44='Données projet'!$A$166,'Données projet'!$B$166,DO43+DN44-DW43)))</f>
        <v>131.39999999999998</v>
      </c>
      <c r="DP44" s="18">
        <f>DO44*VLOOKUP('Données projet'!$B$14,Paramètres!$A$1:$I$89,3,0)*VLOOKUP('Données projet'!$B$14,Paramètres!$A$1:$I$89,5,0)</f>
        <v>114.79103999999998</v>
      </c>
      <c r="DQ44" s="14">
        <f t="shared" si="43"/>
        <v>30.456974896543485</v>
      </c>
      <c r="DR44" s="22">
        <f t="shared" si="16"/>
        <v>252.97362594481319</v>
      </c>
      <c r="DS44" s="60">
        <f t="shared" si="17"/>
        <v>546.30695927814645</v>
      </c>
      <c r="DT44" s="60">
        <f ca="1">AVERAGE(OFFSET($DS$3,0,0,'Données projet'!$E$14+1,1))-AVERAGE(OFFSET($H$3,0,0,'Données projet'!$E$14+1,1))</f>
        <v>266.98113257513319</v>
      </c>
      <c r="DU44" s="60">
        <f t="shared" si="44"/>
        <v>275.73257102713393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8.2071208399950404</v>
      </c>
      <c r="EC44" s="23">
        <f>EXP(-LN(2)/2)*EC43+(1-EXP(-LN(2)/2))/(LN(2)/2)*DW44*DZ44*VLOOKUP('Données projet'!$B$14,Paramètres!$A$1:$I$89,3,0)*0.475*44/12</f>
        <v>0.23128133419887309</v>
      </c>
      <c r="ED44" s="24">
        <f t="shared" si="18"/>
        <v>8.4384021741939144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8.4</v>
      </c>
      <c r="EJ44" s="13">
        <f>IF('Données projet'!$A$192&gt;35,EJ43+EI44-ER43,IF(A44&lt;'Données projet'!$A$192,$EG$205^A44,IF(A44='Données projet'!$A$192,'Données projet'!$B$192,EJ43+EI44-ER43)))</f>
        <v>124.4</v>
      </c>
      <c r="EK44" s="18">
        <f>EJ44*VLOOKUP('Données projet'!$B$15,Paramètres!$A$1:$I$89,3,0)*VLOOKUP('Données projet'!$B$15,Paramètres!$A$1:$I$89,5,0)</f>
        <v>141.66672</v>
      </c>
      <c r="EL44" s="14">
        <f t="shared" si="45"/>
        <v>36.678564250226081</v>
      </c>
      <c r="EM44" s="22">
        <f t="shared" si="19"/>
        <v>310.61803673581045</v>
      </c>
      <c r="EN44" s="60">
        <f t="shared" si="20"/>
        <v>603.95137006914376</v>
      </c>
      <c r="EO44" s="60">
        <f ca="1">AVERAGE(OFFSET($EN$3,0,0,'Données projet'!$E$15+1,1))-AVERAGE(OFFSET($H$3,0,0,'Données projet'!$E$15+1,1))</f>
        <v>457.62828850677369</v>
      </c>
      <c r="EP44" s="60">
        <f t="shared" si="46"/>
        <v>282.78263556175563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8.4</v>
      </c>
      <c r="FE44" s="13">
        <f>IF('Données projet'!$A$218&gt;35,FE43+FD44-FM43,IF(A44&lt;'Données projet'!$A$218,$FB$205^A44,IF(A44='Données projet'!$A$218,'Données projet'!$B$218,FE43+FD44-FM43)))</f>
        <v>124.4</v>
      </c>
      <c r="FF44" s="18">
        <f>FE44*VLOOKUP('Données projet'!$B$16,Paramètres!$A$1:$I$89,3,0)*VLOOKUP('Données projet'!$B$16,Paramètres!$A$1:$I$89,5,0)</f>
        <v>135.84479999999999</v>
      </c>
      <c r="FG44" s="14">
        <f t="shared" si="47"/>
        <v>35.343444786954898</v>
      </c>
      <c r="FH44" s="22">
        <f t="shared" si="22"/>
        <v>298.15285967061311</v>
      </c>
      <c r="FI44" s="60">
        <f t="shared" si="23"/>
        <v>591.48619300394648</v>
      </c>
      <c r="FJ44" s="60">
        <f ca="1">AVERAGE(OFFSET($FI$3,0,0,'Données projet'!$E$16+1,1))-AVERAGE(OFFSET($H$3,0,0,'Données projet'!$E$16+1,1))</f>
        <v>440.52623925652182</v>
      </c>
      <c r="FK44" s="60">
        <f t="shared" si="48"/>
        <v>272.91122662088918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19.571428571428573</v>
      </c>
      <c r="FZ44" s="13">
        <f>IF('Données projet'!$A$244&gt;35,FZ43+FY44-GH43,IF(A44&lt;'Données projet'!$A$244,$FW$205^A44,IF(A44='Données projet'!$A$244,'Données projet'!$B$244,FZ43+FY44-GH43)))</f>
        <v>397.42857142857133</v>
      </c>
      <c r="GA44" s="18">
        <f>FZ44*VLOOKUP('Données projet'!$B$17,Paramètres!$A$1:$I$89,3,0)*VLOOKUP('Données projet'!$B$17,Paramètres!$A$1:$I$89,5,0)</f>
        <v>185.9965714285714</v>
      </c>
      <c r="GB44" s="14">
        <f t="shared" si="49"/>
        <v>46.653757617185917</v>
      </c>
      <c r="GC44" s="22">
        <f t="shared" si="25"/>
        <v>405.19932308802726</v>
      </c>
      <c r="GD44" s="60">
        <f t="shared" si="26"/>
        <v>698.53265642136057</v>
      </c>
      <c r="GE44" s="60">
        <f ca="1">AVERAGE(OFFSET($GD$3,0,0,'Données projet'!$E$17+1,1))-AVERAGE(OFFSET($H$3,0,0,'Données projet'!$E$17+1,1))</f>
        <v>317.54276561627643</v>
      </c>
      <c r="GF44" s="60">
        <f t="shared" si="50"/>
        <v>238.92443174298893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>
        <f>GU44*VLOOKUP('Données projet'!$B$18,Paramètres!$A$1:$I$89,3,0)*VLOOKUP('Données projet'!$B$18,Paramètres!$A$1:$I$89,5,0)</f>
        <v>0</v>
      </c>
      <c r="GW44" s="14" t="e">
        <f t="shared" si="51"/>
        <v>#NUM!</v>
      </c>
      <c r="GX44" s="22" t="e">
        <f t="shared" si="28"/>
        <v>#NUM!</v>
      </c>
      <c r="GY44" s="60" t="e">
        <f t="shared" si="29"/>
        <v>#NUM!</v>
      </c>
      <c r="GZ44" s="60">
        <f ca="1">AVERAGE(OFFSET($GY$3,0,0,'Données projet'!$E$18+1,1))-AVERAGE(OFFSET($H$3,0,0,'Données projet'!$E$18+1,1))</f>
        <v>79.868679770907136</v>
      </c>
      <c r="HA44" s="60">
        <f t="shared" si="52"/>
        <v>370.47471103028312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49.969802573980893</v>
      </c>
      <c r="HH44" s="23">
        <f>EXP(-LN(2)/25)*HH43+(1-EXP(-LN(2)/25))/(LN(2)/25)*Calculateur!HC44*Calculateur!HE44*VLOOKUP('Données projet'!$B$18,Paramètres!$A$1:$I$89,3,0)*0.475*44/12</f>
        <v>11.135616730249337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61.105419304230232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0">
        <f t="shared" si="0"/>
        <v>293.33333333333439</v>
      </c>
      <c r="S45" s="60">
        <f ca="1">AVERAGE(OFFSET($R$3,0,0,'Données projet'!$E$9+1,1))-AVERAGE(OFFSET($H$3,0,0,'Données projet'!$E$9+1,1))</f>
        <v>206.5885410269899</v>
      </c>
      <c r="T45" s="60">
        <f t="shared" si="34"/>
        <v>347.41156847586302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5.6843418860808015E-14</v>
      </c>
      <c r="AJ45" s="14">
        <f>AI45*VLOOKUP('Données projet'!$B$10,Paramètres!$A$1:$I$89,3,0)*VLOOKUP('Données projet'!$B$10,Paramètres!$A$1:$I$89,5,0)</f>
        <v>3.3992364478763198E-14</v>
      </c>
      <c r="AK45" s="14">
        <f t="shared" si="35"/>
        <v>5.790027782444094E-13</v>
      </c>
      <c r="AL45" s="22">
        <f t="shared" si="4"/>
        <v>1.0676332069095257E-12</v>
      </c>
      <c r="AM45" s="60">
        <f t="shared" si="5"/>
        <v>293.33333333333439</v>
      </c>
      <c r="AN45" s="60">
        <f ca="1">AVERAGE(OFFSET($AM$3,0,0,'Données projet'!$E$10+1,1))-AVERAGE(OFFSET($H$3,0,0,'Données projet'!$E$10+1,1))</f>
        <v>206.5885410269899</v>
      </c>
      <c r="AO45" s="60">
        <f t="shared" si="36"/>
        <v>347.41156847586302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86.251552062695424</v>
      </c>
      <c r="AV45" s="23">
        <f>EXP(-LN(2)/25)*AV44+(1-EXP(-LN(2)/25))/(LN(2)/25)*Calculateur!AQ45*Calculateur!AS45*VLOOKUP('Données projet'!$B$10,Paramètres!$A$1:$I$89,3,0)*0.475*44/12</f>
        <v>2.3969118057997809</v>
      </c>
      <c r="AW45" s="23">
        <f>EXP(-LN(2)/2)*AW44+(1-EXP(-LN(2)/2))/(LN(2)/2)*AQ45*AT45*VLOOKUP('Données projet'!$B$10,Paramètres!$A$1:$I$89,3,0)*0.475*44/12</f>
        <v>17.211228729516243</v>
      </c>
      <c r="AX45" s="23">
        <f t="shared" si="6"/>
        <v>105.85969259801143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132.80000000000001</v>
      </c>
      <c r="BE45" s="14">
        <f>BD45*VLOOKUP('Données projet'!$B$11,Paramètres!$A$1:$I$89,3,0)*VLOOKUP('Données projet'!$B$11,Paramètres!$A$1:$I$89,5,0)</f>
        <v>126.37248000000002</v>
      </c>
      <c r="BF45" s="14">
        <f t="shared" si="37"/>
        <v>33.156770349896092</v>
      </c>
      <c r="BG45" s="22">
        <f t="shared" si="7"/>
        <v>277.84677769273577</v>
      </c>
      <c r="BH45" s="60">
        <f t="shared" si="8"/>
        <v>571.18011102606908</v>
      </c>
      <c r="BI45" s="60">
        <f ca="1">AVERAGE(OFFSET($BH$3,0,0,'Données projet'!$E$11+1,1))-AVERAGE(OFFSET($H$3,0,0,'Données projet'!$E$11+1,1))</f>
        <v>389.12604446638119</v>
      </c>
      <c r="BJ45" s="60">
        <f t="shared" si="38"/>
        <v>243.23852967152732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132.80000000000001</v>
      </c>
      <c r="BZ45" s="14">
        <f>BY45*VLOOKUP('Données projet'!$B$12,Paramètres!$A$1:$I$89,3,0)*VLOOKUP('Données projet'!$B$12,Paramètres!$A$1:$I$89,5,0)</f>
        <v>120.15744000000001</v>
      </c>
      <c r="CA45" s="14">
        <f t="shared" si="39"/>
        <v>31.711716786129845</v>
      </c>
      <c r="CB45" s="22">
        <f t="shared" si="10"/>
        <v>264.50544806917611</v>
      </c>
      <c r="CC45" s="60">
        <f t="shared" si="11"/>
        <v>557.83878140250943</v>
      </c>
      <c r="CD45" s="60">
        <f ca="1">AVERAGE(OFFSET($CC$3,0,0,'Données projet'!$E$12+1,1))-AVERAGE(OFFSET($H$3,0,0,'Données projet'!$E$12+1,1))</f>
        <v>371.95849973474657</v>
      </c>
      <c r="CE45" s="60">
        <f t="shared" si="40"/>
        <v>233.32640143610547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0.29898569961416899</v>
      </c>
      <c r="CN45" s="24">
        <f t="shared" si="12"/>
        <v>0.29898569961416899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132.80000000000001</v>
      </c>
      <c r="CU45" s="18">
        <f>CT45*VLOOKUP('Données projet'!$B$13,Paramètres!$A$1:$I$89,3,0)*VLOOKUP('Données projet'!$B$13,Paramètres!$A$1:$I$89,5,0)</f>
        <v>128.44416000000001</v>
      </c>
      <c r="CV45" s="14">
        <f t="shared" si="41"/>
        <v>33.636598855068925</v>
      </c>
      <c r="CW45" s="22">
        <f t="shared" si="13"/>
        <v>282.29065500591173</v>
      </c>
      <c r="CX45" s="60">
        <f t="shared" si="14"/>
        <v>575.62398833924499</v>
      </c>
      <c r="CY45" s="60">
        <f ca="1">AVERAGE(OFFSET($CX$3,0,0,'Données projet'!$E$13+1,1))-AVERAGE(OFFSET($H$3,0,0,'Données projet'!$E$13+1,1))</f>
        <v>394.8445842828649</v>
      </c>
      <c r="CZ45" s="60">
        <f t="shared" si="42"/>
        <v>246.54010105494143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0.31960540303583601</v>
      </c>
      <c r="DI45" s="24">
        <f t="shared" si="15"/>
        <v>0.31960540303583601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6.4</v>
      </c>
      <c r="DO45" s="13">
        <f>IF('Données projet'!$A$166&gt;35,DO44+DN45-DW44,IF(A45&lt;'Données projet'!$A$166,$DL$205^A45,IF(A45='Données projet'!$A$166,'Données projet'!$B$166,DO44+DN45-DW44)))</f>
        <v>137.79999999999998</v>
      </c>
      <c r="DP45" s="18">
        <f>DO45*VLOOKUP('Données projet'!$B$14,Paramètres!$A$1:$I$89,3,0)*VLOOKUP('Données projet'!$B$14,Paramètres!$A$1:$I$89,5,0)</f>
        <v>120.38207999999999</v>
      </c>
      <c r="DQ45" s="14">
        <f t="shared" si="43"/>
        <v>31.764096685603551</v>
      </c>
      <c r="DR45" s="22">
        <f t="shared" si="16"/>
        <v>264.98792439409277</v>
      </c>
      <c r="DS45" s="60">
        <f t="shared" si="17"/>
        <v>558.32125772742609</v>
      </c>
      <c r="DT45" s="60">
        <f ca="1">AVERAGE(OFFSET($DS$3,0,0,'Données projet'!$E$14+1,1))-AVERAGE(OFFSET($H$3,0,0,'Données projet'!$E$14+1,1))</f>
        <v>266.98113257513319</v>
      </c>
      <c r="DU45" s="60">
        <f t="shared" si="44"/>
        <v>275.73257102713393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7.9826966890316484</v>
      </c>
      <c r="EC45" s="23">
        <f>EXP(-LN(2)/2)*EC44+(1-EXP(-LN(2)/2))/(LN(2)/2)*DW45*DZ45*VLOOKUP('Données projet'!$B$14,Paramètres!$A$1:$I$89,3,0)*0.475*44/12</f>
        <v>0.16354059977389535</v>
      </c>
      <c r="ED45" s="24">
        <f t="shared" si="18"/>
        <v>8.1462372888055441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8.4</v>
      </c>
      <c r="EJ45" s="13">
        <f>IF('Données projet'!$A$192&gt;35,EJ44+EI45-ER44,IF(A45&lt;'Données projet'!$A$192,$EG$205^A45,IF(A45='Données projet'!$A$192,'Données projet'!$B$192,EJ44+EI45-ER44)))</f>
        <v>132.80000000000001</v>
      </c>
      <c r="EK45" s="18">
        <f>EJ45*VLOOKUP('Données projet'!$B$15,Paramètres!$A$1:$I$89,3,0)*VLOOKUP('Données projet'!$B$15,Paramètres!$A$1:$I$89,5,0)</f>
        <v>151.23264</v>
      </c>
      <c r="EL45" s="14">
        <f t="shared" si="45"/>
        <v>38.85857391964295</v>
      </c>
      <c r="EM45" s="22">
        <f t="shared" si="19"/>
        <v>331.07553091004479</v>
      </c>
      <c r="EN45" s="60">
        <f t="shared" si="20"/>
        <v>624.40886424337805</v>
      </c>
      <c r="EO45" s="60">
        <f ca="1">AVERAGE(OFFSET($EN$3,0,0,'Données projet'!$E$15+1,1))-AVERAGE(OFFSET($H$3,0,0,'Données projet'!$E$15+1,1))</f>
        <v>457.62828850677369</v>
      </c>
      <c r="EP45" s="60">
        <f t="shared" si="46"/>
        <v>282.78263556175563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8.4</v>
      </c>
      <c r="FE45" s="13">
        <f>IF('Données projet'!$A$218&gt;35,FE44+FD45-FM44,IF(A45&lt;'Données projet'!$A$218,$FB$205^A45,IF(A45='Données projet'!$A$218,'Données projet'!$B$218,FE44+FD45-FM44)))</f>
        <v>132.80000000000001</v>
      </c>
      <c r="FF45" s="18">
        <f>FE45*VLOOKUP('Données projet'!$B$16,Paramètres!$A$1:$I$89,3,0)*VLOOKUP('Données projet'!$B$16,Paramètres!$A$1:$I$89,5,0)</f>
        <v>145.01760000000002</v>
      </c>
      <c r="FG45" s="14">
        <f t="shared" si="47"/>
        <v>37.444100932065233</v>
      </c>
      <c r="FH45" s="22">
        <f t="shared" si="22"/>
        <v>317.78746245668026</v>
      </c>
      <c r="FI45" s="60">
        <f t="shared" si="23"/>
        <v>611.12079579001352</v>
      </c>
      <c r="FJ45" s="60">
        <f ca="1">AVERAGE(OFFSET($FI$3,0,0,'Données projet'!$E$16+1,1))-AVERAGE(OFFSET($H$3,0,0,'Données projet'!$E$16+1,1))</f>
        <v>440.52623925652182</v>
      </c>
      <c r="FK45" s="60">
        <f t="shared" si="48"/>
        <v>272.91122662088918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>
        <f>VLOOKUP(A45,'Données projet'!$A$243:$I$263,2,0)</f>
        <v>417</v>
      </c>
      <c r="FX45" s="13">
        <f>VLOOKUP(A45,'Données projet'!$A$243:$I$263,9,0)</f>
        <v>19.571428571428573</v>
      </c>
      <c r="FY45" s="13">
        <f t="array" ref="FY45">INDEX(FX:FX,MIN(IF(ISNUMBER(FX45:FX241),ROW(FX45:FX241),"")))</f>
        <v>19.571428571428573</v>
      </c>
      <c r="FZ45" s="13">
        <f>IF('Données projet'!$A$244&gt;35,FZ44+FY45-GH44,IF(A45&lt;'Données projet'!$A$244,$FW$205^A45,IF(A45='Données projet'!$A$244,'Données projet'!$B$244,FZ44+FY45-GH44)))</f>
        <v>416.99999999999989</v>
      </c>
      <c r="GA45" s="18">
        <f>FZ45*VLOOKUP('Données projet'!$B$17,Paramètres!$A$1:$I$89,3,0)*VLOOKUP('Données projet'!$B$17,Paramètres!$A$1:$I$89,5,0)</f>
        <v>195.15599999999995</v>
      </c>
      <c r="GB45" s="14">
        <f t="shared" si="49"/>
        <v>48.678088823054175</v>
      </c>
      <c r="GC45" s="22">
        <f t="shared" si="25"/>
        <v>424.67770470015256</v>
      </c>
      <c r="GD45" s="60">
        <f t="shared" si="26"/>
        <v>718.01103803348587</v>
      </c>
      <c r="GE45" s="60">
        <f ca="1">AVERAGE(OFFSET($GD$3,0,0,'Données projet'!$E$17+1,1))-AVERAGE(OFFSET($H$3,0,0,'Données projet'!$E$17+1,1))</f>
        <v>317.54276561627643</v>
      </c>
      <c r="GF45" s="60">
        <f t="shared" si="50"/>
        <v>238.92443174298893</v>
      </c>
      <c r="GG45" s="16">
        <f>IF(ISNA(VLOOKUP(A45,'Données projet'!$A$243:$I$263,3,0)),0,VLOOKUP(A45,'Données projet'!$A$243:$I$263,3,0))</f>
        <v>3</v>
      </c>
      <c r="GH45" s="16">
        <f>IF(ISNA(VLOOKUP(A45,'Données projet'!$A$243:$I$263,4,0)),0,VLOOKUP(A45,'Données projet'!$A$243:$I$263,4,0))</f>
        <v>182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>
        <f>GU45*VLOOKUP('Données projet'!$B$18,Paramètres!$A$1:$I$89,3,0)*VLOOKUP('Données projet'!$B$18,Paramètres!$A$1:$I$89,5,0)</f>
        <v>0</v>
      </c>
      <c r="GW45" s="14" t="e">
        <f t="shared" si="51"/>
        <v>#NUM!</v>
      </c>
      <c r="GX45" s="22" t="e">
        <f t="shared" si="28"/>
        <v>#NUM!</v>
      </c>
      <c r="GY45" s="60" t="e">
        <f t="shared" si="29"/>
        <v>#NUM!</v>
      </c>
      <c r="GZ45" s="60">
        <f ca="1">AVERAGE(OFFSET($GY$3,0,0,'Données projet'!$E$18+1,1))-AVERAGE(OFFSET($H$3,0,0,'Données projet'!$E$18+1,1))</f>
        <v>79.868679770907136</v>
      </c>
      <c r="HA45" s="60">
        <f t="shared" si="52"/>
        <v>370.47471103028312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48.989925224075186</v>
      </c>
      <c r="HH45" s="23">
        <f>EXP(-LN(2)/25)*HH44+(1-EXP(-LN(2)/25))/(LN(2)/25)*Calculateur!HC45*Calculateur!HE45*VLOOKUP('Données projet'!$B$18,Paramètres!$A$1:$I$89,3,0)*0.475*44/12</f>
        <v>10.831112705164037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59.821037929239225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0">
        <f t="shared" si="0"/>
        <v>293.33333333333439</v>
      </c>
      <c r="S46" s="60">
        <f ca="1">AVERAGE(OFFSET($R$3,0,0,'Données projet'!$E$9+1,1))-AVERAGE(OFFSET($H$3,0,0,'Données projet'!$E$9+1,1))</f>
        <v>206.5885410269899</v>
      </c>
      <c r="T46" s="60">
        <f t="shared" si="34"/>
        <v>347.41156847586302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5.6843418860808015E-14</v>
      </c>
      <c r="AJ46" s="14">
        <f>AI46*VLOOKUP('Données projet'!$B$10,Paramètres!$A$1:$I$89,3,0)*VLOOKUP('Données projet'!$B$10,Paramètres!$A$1:$I$89,5,0)</f>
        <v>3.3992364478763198E-14</v>
      </c>
      <c r="AK46" s="14">
        <f t="shared" si="35"/>
        <v>5.790027782444094E-13</v>
      </c>
      <c r="AL46" s="22">
        <f t="shared" si="4"/>
        <v>1.0676332069095257E-12</v>
      </c>
      <c r="AM46" s="60">
        <f t="shared" si="5"/>
        <v>293.33333333333439</v>
      </c>
      <c r="AN46" s="60">
        <f ca="1">AVERAGE(OFFSET($AM$3,0,0,'Données projet'!$E$10+1,1))-AVERAGE(OFFSET($H$3,0,0,'Données projet'!$E$10+1,1))</f>
        <v>206.5885410269899</v>
      </c>
      <c r="AO46" s="60">
        <f t="shared" si="36"/>
        <v>347.41156847586302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84.560211734998092</v>
      </c>
      <c r="AV46" s="23">
        <f>EXP(-LN(2)/25)*AV45+(1-EXP(-LN(2)/25))/(LN(2)/25)*Calculateur!AQ46*Calculateur!AS46*VLOOKUP('Données projet'!$B$10,Paramètres!$A$1:$I$89,3,0)*0.475*44/12</f>
        <v>2.3313681264220723</v>
      </c>
      <c r="AW46" s="23">
        <f>EXP(-LN(2)/2)*AW45+(1-EXP(-LN(2)/2))/(LN(2)/2)*AQ46*AT46*VLOOKUP('Données projet'!$B$10,Paramètres!$A$1:$I$89,3,0)*0.475*44/12</f>
        <v>12.170176547193662</v>
      </c>
      <c r="AX46" s="23">
        <f t="shared" si="6"/>
        <v>99.061756408613832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141.20000000000002</v>
      </c>
      <c r="BE46" s="14">
        <f>BD46*VLOOKUP('Données projet'!$B$11,Paramètres!$A$1:$I$89,3,0)*VLOOKUP('Données projet'!$B$11,Paramètres!$A$1:$I$89,5,0)</f>
        <v>134.36592000000002</v>
      </c>
      <c r="BF46" s="14">
        <f t="shared" si="37"/>
        <v>35.003247613199107</v>
      </c>
      <c r="BG46" s="22">
        <f t="shared" si="7"/>
        <v>294.98463359298847</v>
      </c>
      <c r="BH46" s="60">
        <f t="shared" si="8"/>
        <v>588.31796692632179</v>
      </c>
      <c r="BI46" s="60">
        <f ca="1">AVERAGE(OFFSET($BH$3,0,0,'Données projet'!$E$11+1,1))-AVERAGE(OFFSET($H$3,0,0,'Données projet'!$E$11+1,1))</f>
        <v>389.12604446638119</v>
      </c>
      <c r="BJ46" s="60">
        <f t="shared" si="38"/>
        <v>243.23852967152732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141.20000000000002</v>
      </c>
      <c r="BZ46" s="14">
        <f>BY46*VLOOKUP('Données projet'!$B$12,Paramètres!$A$1:$I$89,3,0)*VLOOKUP('Données projet'!$B$12,Paramètres!$A$1:$I$89,5,0)</f>
        <v>127.75776</v>
      </c>
      <c r="CA46" s="14">
        <f t="shared" si="39"/>
        <v>33.477720030956604</v>
      </c>
      <c r="CB46" s="22">
        <f t="shared" si="10"/>
        <v>280.81846105391611</v>
      </c>
      <c r="CC46" s="60">
        <f t="shared" si="11"/>
        <v>574.15179438724942</v>
      </c>
      <c r="CD46" s="60">
        <f ca="1">AVERAGE(OFFSET($CC$3,0,0,'Données projet'!$E$12+1,1))-AVERAGE(OFFSET($H$3,0,0,'Données projet'!$E$12+1,1))</f>
        <v>371.95849973474657</v>
      </c>
      <c r="CE46" s="60">
        <f t="shared" si="40"/>
        <v>233.32640143610547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0.21141481567498302</v>
      </c>
      <c r="CN46" s="24">
        <f t="shared" si="12"/>
        <v>0.21141481567498302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141.20000000000002</v>
      </c>
      <c r="CU46" s="18">
        <f>CT46*VLOOKUP('Données projet'!$B$13,Paramètres!$A$1:$I$89,3,0)*VLOOKUP('Données projet'!$B$13,Paramètres!$A$1:$I$89,5,0)</f>
        <v>136.56864000000002</v>
      </c>
      <c r="CV46" s="14">
        <f t="shared" si="41"/>
        <v>35.509797430964703</v>
      </c>
      <c r="CW46" s="22">
        <f t="shared" si="13"/>
        <v>299.70327852559689</v>
      </c>
      <c r="CX46" s="60">
        <f t="shared" si="14"/>
        <v>593.0366118589302</v>
      </c>
      <c r="CY46" s="60">
        <f ca="1">AVERAGE(OFFSET($CX$3,0,0,'Données projet'!$E$13+1,1))-AVERAGE(OFFSET($H$3,0,0,'Données projet'!$E$13+1,1))</f>
        <v>394.8445842828649</v>
      </c>
      <c r="CZ46" s="60">
        <f t="shared" si="42"/>
        <v>246.54010105494143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0.22599514779049923</v>
      </c>
      <c r="DI46" s="24">
        <f t="shared" si="15"/>
        <v>0.22599514779049923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6.4</v>
      </c>
      <c r="DO46" s="13">
        <f>IF('Données projet'!$A$166&gt;35,DO45+DN46-DW45,IF(A46&lt;'Données projet'!$A$166,$DL$205^A46,IF(A46='Données projet'!$A$166,'Données projet'!$B$166,DO45+DN46-DW45)))</f>
        <v>144.19999999999999</v>
      </c>
      <c r="DP46" s="18">
        <f>DO46*VLOOKUP('Données projet'!$B$14,Paramètres!$A$1:$I$89,3,0)*VLOOKUP('Données projet'!$B$14,Paramètres!$A$1:$I$89,5,0)</f>
        <v>125.97311999999999</v>
      </c>
      <c r="DQ46" s="14">
        <f t="shared" si="43"/>
        <v>33.064168439352592</v>
      </c>
      <c r="DR46" s="22">
        <f t="shared" si="16"/>
        <v>276.98994403187243</v>
      </c>
      <c r="DS46" s="60">
        <f t="shared" si="17"/>
        <v>570.32327736520574</v>
      </c>
      <c r="DT46" s="60">
        <f ca="1">AVERAGE(OFFSET($DS$3,0,0,'Données projet'!$E$14+1,1))-AVERAGE(OFFSET($H$3,0,0,'Données projet'!$E$14+1,1))</f>
        <v>266.98113257513319</v>
      </c>
      <c r="DU46" s="60">
        <f t="shared" si="44"/>
        <v>275.73257102713393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7.764409428278304</v>
      </c>
      <c r="EC46" s="23">
        <f>EXP(-LN(2)/2)*EC45+(1-EXP(-LN(2)/2))/(LN(2)/2)*DW46*DZ46*VLOOKUP('Données projet'!$B$14,Paramètres!$A$1:$I$89,3,0)*0.475*44/12</f>
        <v>0.11564066709943657</v>
      </c>
      <c r="ED46" s="24">
        <f t="shared" si="18"/>
        <v>7.880050095377741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8.4</v>
      </c>
      <c r="EJ46" s="13">
        <f>IF('Données projet'!$A$192&gt;35,EJ45+EI46-ER45,IF(A46&lt;'Données projet'!$A$192,$EG$205^A46,IF(A46='Données projet'!$A$192,'Données projet'!$B$192,EJ45+EI46-ER45)))</f>
        <v>141.20000000000002</v>
      </c>
      <c r="EK46" s="18">
        <f>EJ46*VLOOKUP('Données projet'!$B$15,Paramètres!$A$1:$I$89,3,0)*VLOOKUP('Données projet'!$B$15,Paramètres!$A$1:$I$89,5,0)</f>
        <v>160.79856000000001</v>
      </c>
      <c r="EL46" s="14">
        <f t="shared" si="45"/>
        <v>41.022580620833125</v>
      </c>
      <c r="EM46" s="22">
        <f t="shared" si="19"/>
        <v>351.50515324795106</v>
      </c>
      <c r="EN46" s="60">
        <f t="shared" si="20"/>
        <v>644.83848658128431</v>
      </c>
      <c r="EO46" s="60">
        <f ca="1">AVERAGE(OFFSET($EN$3,0,0,'Données projet'!$E$15+1,1))-AVERAGE(OFFSET($H$3,0,0,'Données projet'!$E$15+1,1))</f>
        <v>457.62828850677369</v>
      </c>
      <c r="EP46" s="60">
        <f t="shared" si="46"/>
        <v>282.78263556175563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8.4</v>
      </c>
      <c r="FE46" s="13">
        <f>IF('Données projet'!$A$218&gt;35,FE45+FD46-FM45,IF(A46&lt;'Données projet'!$A$218,$FB$205^A46,IF(A46='Données projet'!$A$218,'Données projet'!$B$218,FE45+FD46-FM45)))</f>
        <v>141.20000000000002</v>
      </c>
      <c r="FF46" s="18">
        <f>FE46*VLOOKUP('Données projet'!$B$16,Paramètres!$A$1:$I$89,3,0)*VLOOKUP('Données projet'!$B$16,Paramètres!$A$1:$I$89,5,0)</f>
        <v>154.19040000000001</v>
      </c>
      <c r="FG46" s="14">
        <f t="shared" si="47"/>
        <v>39.529336625598283</v>
      </c>
      <c r="FH46" s="22">
        <f t="shared" si="22"/>
        <v>337.39520795625032</v>
      </c>
      <c r="FI46" s="60">
        <f t="shared" si="23"/>
        <v>630.72854128958363</v>
      </c>
      <c r="FJ46" s="60">
        <f ca="1">AVERAGE(OFFSET($FI$3,0,0,'Données projet'!$E$16+1,1))-AVERAGE(OFFSET($H$3,0,0,'Données projet'!$E$16+1,1))</f>
        <v>440.52623925652182</v>
      </c>
      <c r="FK46" s="60">
        <f t="shared" si="48"/>
        <v>272.91122662088918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>
        <f>VLOOKUP(A46,'Données projet'!$A$243:$I$263,2,0)</f>
        <v>256</v>
      </c>
      <c r="FX46" s="13">
        <f>VLOOKUP(A46,'Données projet'!$A$243:$I$263,9,0)</f>
        <v>21</v>
      </c>
      <c r="FY46" s="13">
        <f t="array" ref="FY46">INDEX(FX:FX,MIN(IF(ISNUMBER(FX46:FX242),ROW(FX46:FX242),"")))</f>
        <v>21</v>
      </c>
      <c r="FZ46" s="13">
        <f>IF('Données projet'!$A$244&gt;35,FZ45+FY46-GH45,IF(A46&lt;'Données projet'!$A$244,$FW$205^A46,IF(A46='Données projet'!$A$244,'Données projet'!$B$244,FZ45+FY46-GH45)))</f>
        <v>255.99999999999989</v>
      </c>
      <c r="GA46" s="18">
        <f>FZ46*VLOOKUP('Données projet'!$B$17,Paramètres!$A$1:$I$89,3,0)*VLOOKUP('Données projet'!$B$17,Paramètres!$A$1:$I$89,5,0)</f>
        <v>119.80799999999995</v>
      </c>
      <c r="GB46" s="14">
        <f t="shared" si="49"/>
        <v>31.630214274643535</v>
      </c>
      <c r="GC46" s="22">
        <f t="shared" si="25"/>
        <v>263.75488986167073</v>
      </c>
      <c r="GD46" s="60">
        <f t="shared" si="26"/>
        <v>557.08822319500405</v>
      </c>
      <c r="GE46" s="60">
        <f ca="1">AVERAGE(OFFSET($GD$3,0,0,'Données projet'!$E$17+1,1))-AVERAGE(OFFSET($H$3,0,0,'Données projet'!$E$17+1,1))</f>
        <v>317.54276561627643</v>
      </c>
      <c r="GF46" s="60">
        <f t="shared" si="50"/>
        <v>238.92443174298893</v>
      </c>
      <c r="GG46" s="16">
        <f>IF(ISNA(VLOOKUP(A46,'Données projet'!$A$243:$I$263,3,0)),0,VLOOKUP(A46,'Données projet'!$A$243:$I$263,3,0))</f>
        <v>4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>
        <f>GU46*VLOOKUP('Données projet'!$B$18,Paramètres!$A$1:$I$89,3,0)*VLOOKUP('Données projet'!$B$18,Paramètres!$A$1:$I$89,5,0)</f>
        <v>0</v>
      </c>
      <c r="GW46" s="14" t="e">
        <f t="shared" si="51"/>
        <v>#NUM!</v>
      </c>
      <c r="GX46" s="22" t="e">
        <f t="shared" si="28"/>
        <v>#NUM!</v>
      </c>
      <c r="GY46" s="60" t="e">
        <f t="shared" si="29"/>
        <v>#NUM!</v>
      </c>
      <c r="GZ46" s="60">
        <f ca="1">AVERAGE(OFFSET($GY$3,0,0,'Données projet'!$E$18+1,1))-AVERAGE(OFFSET($H$3,0,0,'Données projet'!$E$18+1,1))</f>
        <v>79.868679770907136</v>
      </c>
      <c r="HA46" s="60">
        <f t="shared" si="52"/>
        <v>370.47471103028312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48.029262671334962</v>
      </c>
      <c r="HH46" s="23">
        <f>EXP(-LN(2)/25)*HH45+(1-EXP(-LN(2)/25))/(LN(2)/25)*Calculateur!HC46*Calculateur!HE46*VLOOKUP('Données projet'!$B$18,Paramètres!$A$1:$I$89,3,0)*0.475*44/12</f>
        <v>10.534935358657863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58.564198029992824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0">
        <f t="shared" si="0"/>
        <v>293.33333333333439</v>
      </c>
      <c r="S47" s="60">
        <f ca="1">AVERAGE(OFFSET($R$3,0,0,'Données projet'!$E$9+1,1))-AVERAGE(OFFSET($H$3,0,0,'Données projet'!$E$9+1,1))</f>
        <v>206.5885410269899</v>
      </c>
      <c r="T47" s="60">
        <f t="shared" si="34"/>
        <v>347.41156847586302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5.6843418860808015E-14</v>
      </c>
      <c r="AJ47" s="14">
        <f>AI47*VLOOKUP('Données projet'!$B$10,Paramètres!$A$1:$I$89,3,0)*VLOOKUP('Données projet'!$B$10,Paramètres!$A$1:$I$89,5,0)</f>
        <v>3.3992364478763198E-14</v>
      </c>
      <c r="AK47" s="14">
        <f t="shared" si="35"/>
        <v>5.790027782444094E-13</v>
      </c>
      <c r="AL47" s="22">
        <f t="shared" si="4"/>
        <v>1.0676332069095257E-12</v>
      </c>
      <c r="AM47" s="60">
        <f t="shared" si="5"/>
        <v>293.33333333333439</v>
      </c>
      <c r="AN47" s="60">
        <f ca="1">AVERAGE(OFFSET($AM$3,0,0,'Données projet'!$E$10+1,1))-AVERAGE(OFFSET($H$3,0,0,'Données projet'!$E$10+1,1))</f>
        <v>206.5885410269899</v>
      </c>
      <c r="AO47" s="60">
        <f t="shared" si="36"/>
        <v>347.41156847586302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82.902037559511172</v>
      </c>
      <c r="AV47" s="23">
        <f>EXP(-LN(2)/25)*AV46+(1-EXP(-LN(2)/25))/(LN(2)/25)*Calculateur!AQ47*Calculateur!AS47*VLOOKUP('Données projet'!$B$10,Paramètres!$A$1:$I$89,3,0)*0.475*44/12</f>
        <v>2.2676167424037392</v>
      </c>
      <c r="AW47" s="23">
        <f>EXP(-LN(2)/2)*AW46+(1-EXP(-LN(2)/2))/(LN(2)/2)*AQ47*AT47*VLOOKUP('Données projet'!$B$10,Paramètres!$A$1:$I$89,3,0)*0.475*44/12</f>
        <v>8.6056143647581216</v>
      </c>
      <c r="AX47" s="23">
        <f t="shared" si="6"/>
        <v>93.775268666673043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149.60000000000002</v>
      </c>
      <c r="BE47" s="14">
        <f>BD47*VLOOKUP('Données projet'!$B$11,Paramètres!$A$1:$I$89,3,0)*VLOOKUP('Données projet'!$B$11,Paramètres!$A$1:$I$89,5,0)</f>
        <v>142.35936000000004</v>
      </c>
      <c r="BF47" s="14">
        <f t="shared" si="37"/>
        <v>36.836974905762489</v>
      </c>
      <c r="BG47" s="22">
        <f t="shared" si="7"/>
        <v>312.10028329420305</v>
      </c>
      <c r="BH47" s="60">
        <f t="shared" si="8"/>
        <v>605.43361662753637</v>
      </c>
      <c r="BI47" s="60">
        <f ca="1">AVERAGE(OFFSET($BH$3,0,0,'Données projet'!$E$11+1,1))-AVERAGE(OFFSET($H$3,0,0,'Données projet'!$E$11+1,1))</f>
        <v>389.12604446638119</v>
      </c>
      <c r="BJ47" s="60">
        <f t="shared" si="38"/>
        <v>243.23852967152732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149.60000000000002</v>
      </c>
      <c r="BZ47" s="14">
        <f>BY47*VLOOKUP('Données projet'!$B$12,Paramètres!$A$1:$I$89,3,0)*VLOOKUP('Données projet'!$B$12,Paramètres!$A$1:$I$89,5,0)</f>
        <v>135.35808</v>
      </c>
      <c r="CA47" s="14">
        <f t="shared" si="39"/>
        <v>35.231528980112834</v>
      </c>
      <c r="CB47" s="22">
        <f t="shared" si="10"/>
        <v>297.11023564036316</v>
      </c>
      <c r="CC47" s="60">
        <f t="shared" si="11"/>
        <v>590.44356897369653</v>
      </c>
      <c r="CD47" s="60">
        <f ca="1">AVERAGE(OFFSET($CC$3,0,0,'Données projet'!$E$12+1,1))-AVERAGE(OFFSET($H$3,0,0,'Données projet'!$E$12+1,1))</f>
        <v>371.95849973474657</v>
      </c>
      <c r="CE47" s="60">
        <f t="shared" si="40"/>
        <v>233.32640143610547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0.14949284980708449</v>
      </c>
      <c r="CN47" s="24">
        <f t="shared" si="12"/>
        <v>0.14949284980708449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149.60000000000002</v>
      </c>
      <c r="CU47" s="18">
        <f>CT47*VLOOKUP('Données projet'!$B$13,Paramètres!$A$1:$I$89,3,0)*VLOOKUP('Données projet'!$B$13,Paramètres!$A$1:$I$89,5,0)</f>
        <v>144.69312000000002</v>
      </c>
      <c r="CV47" s="14">
        <f t="shared" si="41"/>
        <v>37.370061524802772</v>
      </c>
      <c r="CW47" s="22">
        <f t="shared" si="13"/>
        <v>317.09337448903148</v>
      </c>
      <c r="CX47" s="60">
        <f t="shared" si="14"/>
        <v>610.42670782236473</v>
      </c>
      <c r="CY47" s="60">
        <f ca="1">AVERAGE(OFFSET($CX$3,0,0,'Données projet'!$E$13+1,1))-AVERAGE(OFFSET($H$3,0,0,'Données projet'!$E$13+1,1))</f>
        <v>394.8445842828649</v>
      </c>
      <c r="CZ47" s="60">
        <f t="shared" si="42"/>
        <v>246.54010105494143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0.15980270151791801</v>
      </c>
      <c r="DI47" s="24">
        <f t="shared" si="15"/>
        <v>0.15980270151791801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6.4</v>
      </c>
      <c r="DO47" s="13">
        <f>IF('Données projet'!$A$166&gt;35,DO46+DN47-DW46,IF(A47&lt;'Données projet'!$A$166,$DL$205^A47,IF(A47='Données projet'!$A$166,'Données projet'!$B$166,DO46+DN47-DW46)))</f>
        <v>150.6</v>
      </c>
      <c r="DP47" s="18">
        <f>DO47*VLOOKUP('Données projet'!$B$14,Paramètres!$A$1:$I$89,3,0)*VLOOKUP('Données projet'!$B$14,Paramètres!$A$1:$I$89,5,0)</f>
        <v>131.56416000000002</v>
      </c>
      <c r="DQ47" s="14">
        <f t="shared" si="43"/>
        <v>34.357538812709066</v>
      </c>
      <c r="DR47" s="22">
        <f t="shared" si="16"/>
        <v>288.98029209880161</v>
      </c>
      <c r="DS47" s="60">
        <f t="shared" si="17"/>
        <v>582.31362543213493</v>
      </c>
      <c r="DT47" s="60">
        <f ca="1">AVERAGE(OFFSET($DS$3,0,0,'Données projet'!$E$14+1,1))-AVERAGE(OFFSET($H$3,0,0,'Données projet'!$E$14+1,1))</f>
        <v>266.98113257513319</v>
      </c>
      <c r="DU47" s="60">
        <f t="shared" si="44"/>
        <v>275.73257102713393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7.5520912441494881</v>
      </c>
      <c r="EC47" s="23">
        <f>EXP(-LN(2)/2)*EC46+(1-EXP(-LN(2)/2))/(LN(2)/2)*DW47*DZ47*VLOOKUP('Données projet'!$B$14,Paramètres!$A$1:$I$89,3,0)*0.475*44/12</f>
        <v>8.1770299886947687E-2</v>
      </c>
      <c r="ED47" s="24">
        <f t="shared" si="18"/>
        <v>7.6338615440364359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8.4</v>
      </c>
      <c r="EJ47" s="13">
        <f>IF('Données projet'!$A$192&gt;35,EJ46+EI47-ER46,IF(A47&lt;'Données projet'!$A$192,$EG$205^A47,IF(A47='Données projet'!$A$192,'Données projet'!$B$192,EJ46+EI47-ER46)))</f>
        <v>149.60000000000002</v>
      </c>
      <c r="EK47" s="18">
        <f>EJ47*VLOOKUP('Données projet'!$B$15,Paramètres!$A$1:$I$89,3,0)*VLOOKUP('Données projet'!$B$15,Paramètres!$A$1:$I$89,5,0)</f>
        <v>170.36448000000001</v>
      </c>
      <c r="EL47" s="14">
        <f t="shared" si="45"/>
        <v>43.171644802736004</v>
      </c>
      <c r="EM47" s="22">
        <f t="shared" si="19"/>
        <v>371.90875069809857</v>
      </c>
      <c r="EN47" s="60">
        <f t="shared" si="20"/>
        <v>665.24208403143189</v>
      </c>
      <c r="EO47" s="60">
        <f ca="1">AVERAGE(OFFSET($EN$3,0,0,'Données projet'!$E$15+1,1))-AVERAGE(OFFSET($H$3,0,0,'Données projet'!$E$15+1,1))</f>
        <v>457.62828850677369</v>
      </c>
      <c r="EP47" s="60">
        <f t="shared" si="46"/>
        <v>282.78263556175563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8.4</v>
      </c>
      <c r="FE47" s="13">
        <f>IF('Données projet'!$A$218&gt;35,FE46+FD47-FM46,IF(A47&lt;'Données projet'!$A$218,$FB$205^A47,IF(A47='Données projet'!$A$218,'Données projet'!$B$218,FE46+FD47-FM46)))</f>
        <v>149.60000000000002</v>
      </c>
      <c r="FF47" s="18">
        <f>FE47*VLOOKUP('Données projet'!$B$16,Paramètres!$A$1:$I$89,3,0)*VLOOKUP('Données projet'!$B$16,Paramètres!$A$1:$I$89,5,0)</f>
        <v>163.36320000000003</v>
      </c>
      <c r="FG47" s="14">
        <f t="shared" si="47"/>
        <v>41.600173715581626</v>
      </c>
      <c r="FH47" s="22">
        <f t="shared" si="22"/>
        <v>356.97787588797138</v>
      </c>
      <c r="FI47" s="60">
        <f t="shared" si="23"/>
        <v>650.31120922130469</v>
      </c>
      <c r="FJ47" s="60">
        <f ca="1">AVERAGE(OFFSET($FI$3,0,0,'Données projet'!$E$16+1,1))-AVERAGE(OFFSET($H$3,0,0,'Données projet'!$E$16+1,1))</f>
        <v>440.52623925652182</v>
      </c>
      <c r="FK47" s="60">
        <f t="shared" si="48"/>
        <v>272.91122662088918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17.5</v>
      </c>
      <c r="FZ47" s="13">
        <f>IF('Données projet'!$A$244&gt;35,FZ46+FY47-GH46,IF(A47&lt;'Données projet'!$A$244,$FW$205^A47,IF(A47='Données projet'!$A$244,'Données projet'!$B$244,FZ46+FY47-GH46)))</f>
        <v>273.49999999999989</v>
      </c>
      <c r="GA47" s="18">
        <f>FZ47*VLOOKUP('Données projet'!$B$17,Paramètres!$A$1:$I$89,3,0)*VLOOKUP('Données projet'!$B$17,Paramètres!$A$1:$I$89,5,0)</f>
        <v>127.99799999999995</v>
      </c>
      <c r="GB47" s="14">
        <f t="shared" si="49"/>
        <v>33.533338894635314</v>
      </c>
      <c r="GC47" s="22">
        <f t="shared" si="25"/>
        <v>281.33374857482306</v>
      </c>
      <c r="GD47" s="60">
        <f t="shared" si="26"/>
        <v>574.66708190815643</v>
      </c>
      <c r="GE47" s="60">
        <f ca="1">AVERAGE(OFFSET($GD$3,0,0,'Données projet'!$E$17+1,1))-AVERAGE(OFFSET($H$3,0,0,'Données projet'!$E$17+1,1))</f>
        <v>317.54276561627643</v>
      </c>
      <c r="GF47" s="60">
        <f t="shared" si="50"/>
        <v>238.92443174298893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>
        <f>GU47*VLOOKUP('Données projet'!$B$18,Paramètres!$A$1:$I$89,3,0)*VLOOKUP('Données projet'!$B$18,Paramètres!$A$1:$I$89,5,0)</f>
        <v>0</v>
      </c>
      <c r="GW47" s="14" t="e">
        <f t="shared" si="51"/>
        <v>#NUM!</v>
      </c>
      <c r="GX47" s="22" t="e">
        <f t="shared" si="28"/>
        <v>#NUM!</v>
      </c>
      <c r="GY47" s="60" t="e">
        <f t="shared" si="29"/>
        <v>#NUM!</v>
      </c>
      <c r="GZ47" s="60">
        <f ca="1">AVERAGE(OFFSET($GY$3,0,0,'Données projet'!$E$18+1,1))-AVERAGE(OFFSET($H$3,0,0,'Données projet'!$E$18+1,1))</f>
        <v>79.868679770907136</v>
      </c>
      <c r="HA47" s="60">
        <f t="shared" si="52"/>
        <v>370.47471103028312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47.087438125307678</v>
      </c>
      <c r="HH47" s="23">
        <f>EXP(-LN(2)/25)*HH46+(1-EXP(-LN(2)/25))/(LN(2)/25)*Calculateur!HC47*Calculateur!HE47*VLOOKUP('Données projet'!$B$18,Paramètres!$A$1:$I$89,3,0)*0.475*44/12</f>
        <v>10.246856997267191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57.334295122574872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0">
        <f t="shared" si="0"/>
        <v>293.33333333333439</v>
      </c>
      <c r="S48" s="60">
        <f ca="1">AVERAGE(OFFSET($R$3,0,0,'Données projet'!$E$9+1,1))-AVERAGE(OFFSET($H$3,0,0,'Données projet'!$E$9+1,1))</f>
        <v>206.5885410269899</v>
      </c>
      <c r="T48" s="60">
        <f t="shared" si="34"/>
        <v>347.41156847586302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5.6843418860808015E-14</v>
      </c>
      <c r="AJ48" s="14">
        <f>AI48*VLOOKUP('Données projet'!$B$10,Paramètres!$A$1:$I$89,3,0)*VLOOKUP('Données projet'!$B$10,Paramètres!$A$1:$I$89,5,0)</f>
        <v>3.3992364478763198E-14</v>
      </c>
      <c r="AK48" s="14">
        <f t="shared" si="35"/>
        <v>5.790027782444094E-13</v>
      </c>
      <c r="AL48" s="22">
        <f t="shared" si="4"/>
        <v>1.0676332069095257E-12</v>
      </c>
      <c r="AM48" s="60">
        <f t="shared" si="5"/>
        <v>293.33333333333439</v>
      </c>
      <c r="AN48" s="60">
        <f ca="1">AVERAGE(OFFSET($AM$3,0,0,'Données projet'!$E$10+1,1))-AVERAGE(OFFSET($H$3,0,0,'Données projet'!$E$10+1,1))</f>
        <v>206.5885410269899</v>
      </c>
      <c r="AO48" s="60">
        <f t="shared" si="36"/>
        <v>347.41156847586302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81.276379168219165</v>
      </c>
      <c r="AV48" s="23">
        <f>EXP(-LN(2)/25)*AV47+(1-EXP(-LN(2)/25))/(LN(2)/25)*Calculateur!AQ48*Calculateur!AS48*VLOOKUP('Données projet'!$B$10,Paramètres!$A$1:$I$89,3,0)*0.475*44/12</f>
        <v>2.2056086433339273</v>
      </c>
      <c r="AW48" s="23">
        <f>EXP(-LN(2)/2)*AW47+(1-EXP(-LN(2)/2))/(LN(2)/2)*AQ48*AT48*VLOOKUP('Données projet'!$B$10,Paramètres!$A$1:$I$89,3,0)*0.475*44/12</f>
        <v>6.0850882735968312</v>
      </c>
      <c r="AX48" s="23">
        <f t="shared" si="6"/>
        <v>89.567076085149921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158.00000000000003</v>
      </c>
      <c r="BE48" s="14">
        <f>BD48*VLOOKUP('Données projet'!$B$11,Paramètres!$A$1:$I$89,3,0)*VLOOKUP('Données projet'!$B$11,Paramètres!$A$1:$I$89,5,0)</f>
        <v>150.35280000000003</v>
      </c>
      <c r="BF48" s="14">
        <f t="shared" si="37"/>
        <v>38.658749721546236</v>
      </c>
      <c r="BG48" s="22">
        <f t="shared" si="7"/>
        <v>329.1951157650264</v>
      </c>
      <c r="BH48" s="60">
        <f t="shared" si="8"/>
        <v>622.52844909835972</v>
      </c>
      <c r="BI48" s="60">
        <f ca="1">AVERAGE(OFFSET($BH$3,0,0,'Données projet'!$E$11+1,1))-AVERAGE(OFFSET($H$3,0,0,'Données projet'!$E$11+1,1))</f>
        <v>389.12604446638119</v>
      </c>
      <c r="BJ48" s="60">
        <f t="shared" si="38"/>
        <v>243.23852967152732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158.00000000000003</v>
      </c>
      <c r="BZ48" s="14">
        <f>BY48*VLOOKUP('Données projet'!$B$12,Paramètres!$A$1:$I$89,3,0)*VLOOKUP('Données projet'!$B$12,Paramètres!$A$1:$I$89,5,0)</f>
        <v>142.95840000000004</v>
      </c>
      <c r="CA48" s="14">
        <f t="shared" si="39"/>
        <v>36.973906370811264</v>
      </c>
      <c r="CB48" s="22">
        <f t="shared" si="10"/>
        <v>313.38210026249641</v>
      </c>
      <c r="CC48" s="60">
        <f t="shared" si="11"/>
        <v>606.71543359582972</v>
      </c>
      <c r="CD48" s="60">
        <f ca="1">AVERAGE(OFFSET($CC$3,0,0,'Données projet'!$E$12+1,1))-AVERAGE(OFFSET($H$3,0,0,'Données projet'!$E$12+1,1))</f>
        <v>371.95849973474657</v>
      </c>
      <c r="CE48" s="60">
        <f t="shared" si="40"/>
        <v>233.32640143610547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21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0.10570740783749151</v>
      </c>
      <c r="CN48" s="24">
        <f t="shared" si="12"/>
        <v>0.10570740783749151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158.00000000000003</v>
      </c>
      <c r="CU48" s="18">
        <f>CT48*VLOOKUP('Données projet'!$B$13,Paramètres!$A$1:$I$89,3,0)*VLOOKUP('Données projet'!$B$13,Paramètres!$A$1:$I$89,5,0)</f>
        <v>152.81760000000003</v>
      </c>
      <c r="CV48" s="14">
        <f t="shared" si="41"/>
        <v>39.218200171484227</v>
      </c>
      <c r="CW48" s="22">
        <f t="shared" si="13"/>
        <v>334.46235196533502</v>
      </c>
      <c r="CX48" s="60">
        <f t="shared" si="14"/>
        <v>627.79568529866833</v>
      </c>
      <c r="CY48" s="60">
        <f ca="1">AVERAGE(OFFSET($CX$3,0,0,'Données projet'!$E$13+1,1))-AVERAGE(OFFSET($H$3,0,0,'Données projet'!$E$13+1,1))</f>
        <v>394.8445842828649</v>
      </c>
      <c r="CZ48" s="60">
        <f t="shared" si="42"/>
        <v>246.54010105494143</v>
      </c>
      <c r="DA48" s="16">
        <f>IF(ISNA(VLOOKUP(A48,'Données projet'!$A$139:$I$159,3,0)),0,VLOOKUP(A48,'Données projet'!$A$139:$I$159,3,0))</f>
        <v>5</v>
      </c>
      <c r="DB48" s="16">
        <f>IF(ISNA(VLOOKUP(A48,'Données projet'!$A$139:$I$159,4,0)),0,VLOOKUP(A48,'Données projet'!$A$139:$I$159,4,0))</f>
        <v>21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0.11299757389524961</v>
      </c>
      <c r="DI48" s="24">
        <f t="shared" si="15"/>
        <v>0.11299757389524961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157</v>
      </c>
      <c r="DM48" s="13">
        <f>VLOOKUP(A48,'Données projet'!$A$165:$I$185,9,0)</f>
        <v>6.4</v>
      </c>
      <c r="DN48" s="13">
        <f t="array" ref="DN48">INDEX(DM:DM,MIN(IF(ISNUMBER(DM48:DM244),ROW(DM48:DM244),"")))</f>
        <v>6.4</v>
      </c>
      <c r="DO48" s="13">
        <f>IF('Données projet'!$A$166&gt;35,DO47+DN48-DW47,IF(A48&lt;'Données projet'!$A$166,$DL$205^A48,IF(A48='Données projet'!$A$166,'Données projet'!$B$166,DO47+DN48-DW47)))</f>
        <v>157</v>
      </c>
      <c r="DP48" s="18">
        <f>DO48*VLOOKUP('Données projet'!$B$14,Paramètres!$A$1:$I$89,3,0)*VLOOKUP('Données projet'!$B$14,Paramètres!$A$1:$I$89,5,0)</f>
        <v>137.15520000000001</v>
      </c>
      <c r="DQ48" s="14">
        <f t="shared" si="43"/>
        <v>35.644525151069693</v>
      </c>
      <c r="DR48" s="22">
        <f t="shared" si="16"/>
        <v>300.95952130477974</v>
      </c>
      <c r="DS48" s="60">
        <f t="shared" si="17"/>
        <v>594.29285463811311</v>
      </c>
      <c r="DT48" s="60">
        <f ca="1">AVERAGE(OFFSET($DS$3,0,0,'Données projet'!$E$14+1,1))-AVERAGE(OFFSET($H$3,0,0,'Données projet'!$E$14+1,1))</f>
        <v>266.98113257513319</v>
      </c>
      <c r="DU48" s="60">
        <f t="shared" si="44"/>
        <v>275.73257102713393</v>
      </c>
      <c r="DV48" s="16">
        <f>IF(ISNA(VLOOKUP(A48,'Données projet'!$A$165:$I$185,3,0)),0,VLOOKUP(A48,'Données projet'!$A$165:$I$185,3,0))</f>
        <v>6</v>
      </c>
      <c r="DW48" s="16">
        <f>IF(ISNA(VLOOKUP(A48,'Données projet'!$A$165:$I$185,4,0)),0,VLOOKUP(A48,'Données projet'!$A$165:$I$185,4,0))</f>
        <v>21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7.3455789119310024</v>
      </c>
      <c r="EC48" s="23">
        <f>EXP(-LN(2)/2)*EC47+(1-EXP(-LN(2)/2))/(LN(2)/2)*DW48*DZ48*VLOOKUP('Données projet'!$B$14,Paramètres!$A$1:$I$89,3,0)*0.475*44/12</f>
        <v>5.7820333549718293E-2</v>
      </c>
      <c r="ED48" s="24">
        <f t="shared" si="18"/>
        <v>7.4033992454807205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158</v>
      </c>
      <c r="EH48" s="13">
        <f>VLOOKUP(A48,'Données projet'!$A$191:$I$211,9,0)</f>
        <v>8.4</v>
      </c>
      <c r="EI48" s="13">
        <f t="array" ref="EI48">INDEX(EH:EH,MIN(IF(ISNUMBER(EH48:EH244),ROW(EH48:EH244),"")))</f>
        <v>8.4</v>
      </c>
      <c r="EJ48" s="13">
        <f>IF('Données projet'!$A$192&gt;35,EJ47+EI48-ER47,IF(A48&lt;'Données projet'!$A$192,$EG$205^A48,IF(A48='Données projet'!$A$192,'Données projet'!$B$192,EJ47+EI48-ER47)))</f>
        <v>158.00000000000003</v>
      </c>
      <c r="EK48" s="18">
        <f>EJ48*VLOOKUP('Données projet'!$B$15,Paramètres!$A$1:$I$89,3,0)*VLOOKUP('Données projet'!$B$15,Paramètres!$A$1:$I$89,5,0)</f>
        <v>179.93040000000002</v>
      </c>
      <c r="EL48" s="14">
        <f t="shared" si="45"/>
        <v>45.306701100349692</v>
      </c>
      <c r="EM48" s="22">
        <f t="shared" si="19"/>
        <v>392.28795108310914</v>
      </c>
      <c r="EN48" s="60">
        <f t="shared" si="20"/>
        <v>685.62128441644245</v>
      </c>
      <c r="EO48" s="60">
        <f ca="1">AVERAGE(OFFSET($EN$3,0,0,'Données projet'!$E$15+1,1))-AVERAGE(OFFSET($H$3,0,0,'Données projet'!$E$15+1,1))</f>
        <v>457.62828850677369</v>
      </c>
      <c r="EP48" s="60">
        <f t="shared" si="46"/>
        <v>282.78263556175563</v>
      </c>
      <c r="EQ48" s="16">
        <f>IF(ISNA(VLOOKUP(A48,'Données projet'!$A$191:$I$211,3,0)),0,VLOOKUP(A48,'Données projet'!$A$191:$I$211,3,0))</f>
        <v>5</v>
      </c>
      <c r="ER48" s="16">
        <f>IF(ISNA(VLOOKUP(A48,'Données projet'!$A$191:$I$211,4,0)),0,VLOOKUP(A48,'Données projet'!$A$191:$I$211,4,0))</f>
        <v>21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158</v>
      </c>
      <c r="FC48" s="13">
        <f>VLOOKUP(A48,'Données projet'!$A$217:$I$237,9,0)</f>
        <v>8.4</v>
      </c>
      <c r="FD48" s="13">
        <f t="array" ref="FD48">INDEX(FC:FC,MIN(IF(ISNUMBER(FC48:FC244),ROW(FC48:FC244),"")))</f>
        <v>8.4</v>
      </c>
      <c r="FE48" s="13">
        <f>IF('Données projet'!$A$218&gt;35,FE47+FD48-FM47,IF(A48&lt;'Données projet'!$A$218,$FB$205^A48,IF(A48='Données projet'!$A$218,'Données projet'!$B$218,FE47+FD48-FM47)))</f>
        <v>158.00000000000003</v>
      </c>
      <c r="FF48" s="18">
        <f>FE48*VLOOKUP('Données projet'!$B$16,Paramètres!$A$1:$I$89,3,0)*VLOOKUP('Données projet'!$B$16,Paramètres!$A$1:$I$89,5,0)</f>
        <v>172.53600000000003</v>
      </c>
      <c r="FG48" s="14">
        <f t="shared" si="47"/>
        <v>43.657512815796977</v>
      </c>
      <c r="FH48" s="22">
        <f t="shared" si="22"/>
        <v>376.53703482084643</v>
      </c>
      <c r="FI48" s="60">
        <f t="shared" si="23"/>
        <v>669.87036815417969</v>
      </c>
      <c r="FJ48" s="60">
        <f ca="1">AVERAGE(OFFSET($FI$3,0,0,'Données projet'!$E$16+1,1))-AVERAGE(OFFSET($H$3,0,0,'Données projet'!$E$16+1,1))</f>
        <v>440.52623925652182</v>
      </c>
      <c r="FK48" s="60">
        <f t="shared" si="48"/>
        <v>272.91122662088918</v>
      </c>
      <c r="FL48" s="16">
        <f>IF(ISNA(VLOOKUP(A48,'Données projet'!$A$217:$I$237,3,0)),0,VLOOKUP(A48,'Données projet'!$A$217:$I$237,3,0))</f>
        <v>5</v>
      </c>
      <c r="FM48" s="16">
        <f>IF(ISNA(VLOOKUP(A48,'Données projet'!$A$217:$I$237,4,0)),0,VLOOKUP(A48,'Données projet'!$A$217:$I$237,4,0))</f>
        <v>21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17.5</v>
      </c>
      <c r="FZ48" s="13">
        <f>IF('Données projet'!$A$244&gt;35,FZ47+FY48-GH47,IF(A48&lt;'Données projet'!$A$244,$FW$205^A48,IF(A48='Données projet'!$A$244,'Données projet'!$B$244,FZ47+FY48-GH47)))</f>
        <v>290.99999999999989</v>
      </c>
      <c r="GA48" s="18">
        <f>FZ48*VLOOKUP('Données projet'!$B$17,Paramètres!$A$1:$I$89,3,0)*VLOOKUP('Données projet'!$B$17,Paramètres!$A$1:$I$89,5,0)</f>
        <v>136.18799999999993</v>
      </c>
      <c r="GB48" s="14">
        <f t="shared" si="49"/>
        <v>35.422331714503152</v>
      </c>
      <c r="GC48" s="22">
        <f t="shared" si="25"/>
        <v>298.88799440275955</v>
      </c>
      <c r="GD48" s="60">
        <f t="shared" si="26"/>
        <v>592.22132773609292</v>
      </c>
      <c r="GE48" s="60">
        <f ca="1">AVERAGE(OFFSET($GD$3,0,0,'Données projet'!$E$17+1,1))-AVERAGE(OFFSET($H$3,0,0,'Données projet'!$E$17+1,1))</f>
        <v>317.54276561627643</v>
      </c>
      <c r="GF48" s="60">
        <f t="shared" si="50"/>
        <v>238.92443174298893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>
        <f>GU48*VLOOKUP('Données projet'!$B$18,Paramètres!$A$1:$I$89,3,0)*VLOOKUP('Données projet'!$B$18,Paramètres!$A$1:$I$89,5,0)</f>
        <v>0</v>
      </c>
      <c r="GW48" s="14" t="e">
        <f t="shared" si="51"/>
        <v>#NUM!</v>
      </c>
      <c r="GX48" s="22" t="e">
        <f t="shared" si="28"/>
        <v>#NUM!</v>
      </c>
      <c r="GY48" s="60" t="e">
        <f t="shared" si="29"/>
        <v>#NUM!</v>
      </c>
      <c r="GZ48" s="60">
        <f ca="1">AVERAGE(OFFSET($GY$3,0,0,'Données projet'!$E$18+1,1))-AVERAGE(OFFSET($H$3,0,0,'Données projet'!$E$18+1,1))</f>
        <v>79.868679770907136</v>
      </c>
      <c r="HA48" s="60">
        <f t="shared" si="52"/>
        <v>370.47471103028312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46.16408218417174</v>
      </c>
      <c r="HH48" s="23">
        <f>EXP(-LN(2)/25)*HH47+(1-EXP(-LN(2)/25))/(LN(2)/25)*Calculateur!HC48*Calculateur!HE48*VLOOKUP('Données projet'!$B$18,Paramètres!$A$1:$I$89,3,0)*0.475*44/12</f>
        <v>9.9666561538181302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56.130738337989868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0">
        <f t="shared" si="0"/>
        <v>293.33333333333439</v>
      </c>
      <c r="S49" s="60">
        <f ca="1">AVERAGE(OFFSET($R$3,0,0,'Données projet'!$E$9+1,1))-AVERAGE(OFFSET($H$3,0,0,'Données projet'!$E$9+1,1))</f>
        <v>206.5885410269899</v>
      </c>
      <c r="T49" s="60">
        <f t="shared" si="34"/>
        <v>347.41156847586302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5.6843418860808015E-14</v>
      </c>
      <c r="AJ49" s="14">
        <f>AI49*VLOOKUP('Données projet'!$B$10,Paramètres!$A$1:$I$89,3,0)*VLOOKUP('Données projet'!$B$10,Paramètres!$A$1:$I$89,5,0)</f>
        <v>3.3992364478763198E-14</v>
      </c>
      <c r="AK49" s="14">
        <f t="shared" si="35"/>
        <v>5.790027782444094E-13</v>
      </c>
      <c r="AL49" s="22">
        <f t="shared" si="4"/>
        <v>1.0676332069095257E-12</v>
      </c>
      <c r="AM49" s="60">
        <f t="shared" si="5"/>
        <v>293.33333333333439</v>
      </c>
      <c r="AN49" s="60">
        <f ca="1">AVERAGE(OFFSET($AM$3,0,0,'Données projet'!$E$10+1,1))-AVERAGE(OFFSET($H$3,0,0,'Données projet'!$E$10+1,1))</f>
        <v>206.5885410269899</v>
      </c>
      <c r="AO49" s="60">
        <f t="shared" si="36"/>
        <v>347.41156847586302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79.68259894642668</v>
      </c>
      <c r="AV49" s="23">
        <f>EXP(-LN(2)/25)*AV48+(1-EXP(-LN(2)/25))/(LN(2)/25)*Calculateur!AQ49*Calculateur!AS49*VLOOKUP('Données projet'!$B$10,Paramètres!$A$1:$I$89,3,0)*0.475*44/12</f>
        <v>2.1452961589940434</v>
      </c>
      <c r="AW49" s="23">
        <f>EXP(-LN(2)/2)*AW48+(1-EXP(-LN(2)/2))/(LN(2)/2)*AQ49*AT49*VLOOKUP('Données projet'!$B$10,Paramètres!$A$1:$I$89,3,0)*0.475*44/12</f>
        <v>4.3028071823790608</v>
      </c>
      <c r="AX49" s="23">
        <f t="shared" si="6"/>
        <v>86.130702287799778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145.40000000000003</v>
      </c>
      <c r="BE49" s="14">
        <f>BD49*VLOOKUP('Données projet'!$B$11,Paramètres!$A$1:$I$89,3,0)*VLOOKUP('Données projet'!$B$11,Paramètres!$A$1:$I$89,5,0)</f>
        <v>138.36264000000003</v>
      </c>
      <c r="BF49" s="14">
        <f t="shared" si="37"/>
        <v>35.921652875237001</v>
      </c>
      <c r="BG49" s="22">
        <f t="shared" si="7"/>
        <v>303.54514342437113</v>
      </c>
      <c r="BH49" s="60">
        <f t="shared" si="8"/>
        <v>596.87847675770445</v>
      </c>
      <c r="BI49" s="60">
        <f ca="1">AVERAGE(OFFSET($BH$3,0,0,'Données projet'!$E$11+1,1))-AVERAGE(OFFSET($H$3,0,0,'Données projet'!$E$11+1,1))</f>
        <v>389.12604446638119</v>
      </c>
      <c r="BJ49" s="60">
        <f t="shared" si="38"/>
        <v>243.23852967152732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8.4</v>
      </c>
      <c r="BY49" s="13">
        <f>IF('Données projet'!$A$114&gt;35,BY48+BX49-CG48,IF(A49&lt;'Données projet'!$A$114,$BV$205^A49,IF(A49='Données projet'!$A$114,'Données projet'!$B$114,BY48+BX49-CG48)))</f>
        <v>145.40000000000003</v>
      </c>
      <c r="BZ49" s="14">
        <f>BY49*VLOOKUP('Données projet'!$B$12,Paramètres!$A$1:$I$89,3,0)*VLOOKUP('Données projet'!$B$12,Paramètres!$A$1:$I$89,5,0)</f>
        <v>131.55792000000002</v>
      </c>
      <c r="CA49" s="14">
        <f t="shared" si="39"/>
        <v>34.3560989338864</v>
      </c>
      <c r="CB49" s="22">
        <f t="shared" si="10"/>
        <v>288.96691630985219</v>
      </c>
      <c r="CC49" s="60">
        <f t="shared" si="11"/>
        <v>582.30024964318545</v>
      </c>
      <c r="CD49" s="60">
        <f ca="1">AVERAGE(OFFSET($CC$3,0,0,'Données projet'!$E$12+1,1))-AVERAGE(OFFSET($H$3,0,0,'Données projet'!$E$12+1,1))</f>
        <v>371.95849973474657</v>
      </c>
      <c r="CE49" s="60">
        <f t="shared" si="40"/>
        <v>233.32640143610547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7.4746424903542247E-2</v>
      </c>
      <c r="CN49" s="24">
        <f t="shared" si="12"/>
        <v>7.4746424903542247E-2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8.4</v>
      </c>
      <c r="CT49" s="13">
        <f>IF('Données projet'!$A$140&gt;35,CT48+CS49-DB48,IF(A49&lt;'Données projet'!$A$140,$CQ$205^A49,IF(A49='Données projet'!$A$140,'Données projet'!$B$140,CT48+CS49-DB48)))</f>
        <v>145.40000000000003</v>
      </c>
      <c r="CU49" s="18">
        <f>CT49*VLOOKUP('Données projet'!$B$13,Paramètres!$A$1:$I$89,3,0)*VLOOKUP('Données projet'!$B$13,Paramètres!$A$1:$I$89,5,0)</f>
        <v>140.63088000000005</v>
      </c>
      <c r="CV49" s="14">
        <f t="shared" si="41"/>
        <v>36.441493403146445</v>
      </c>
      <c r="CW49" s="22">
        <f t="shared" si="13"/>
        <v>308.40105034381344</v>
      </c>
      <c r="CX49" s="60">
        <f t="shared" si="14"/>
        <v>601.73438367714675</v>
      </c>
      <c r="CY49" s="60">
        <f ca="1">AVERAGE(OFFSET($CX$3,0,0,'Données projet'!$E$13+1,1))-AVERAGE(OFFSET($H$3,0,0,'Données projet'!$E$13+1,1))</f>
        <v>394.8445842828649</v>
      </c>
      <c r="CZ49" s="60">
        <f t="shared" si="42"/>
        <v>246.54010105494143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7.9901350758959003E-2</v>
      </c>
      <c r="DI49" s="24">
        <f t="shared" si="15"/>
        <v>7.9901350758959003E-2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5.8</v>
      </c>
      <c r="DO49" s="13">
        <f>IF('Données projet'!$A$166&gt;35,DO48+DN49-DW48,IF(A49&lt;'Données projet'!$A$166,$DL$205^A49,IF(A49='Données projet'!$A$166,'Données projet'!$B$166,DO48+DN49-DW48)))</f>
        <v>141.80000000000001</v>
      </c>
      <c r="DP49" s="18">
        <f>DO49*VLOOKUP('Données projet'!$B$14,Paramètres!$A$1:$I$89,3,0)*VLOOKUP('Données projet'!$B$14,Paramètres!$A$1:$I$89,5,0)</f>
        <v>123.87648000000003</v>
      </c>
      <c r="DQ49" s="14">
        <f t="shared" si="43"/>
        <v>32.577444847681598</v>
      </c>
      <c r="DR49" s="22">
        <f t="shared" si="16"/>
        <v>272.49058577637885</v>
      </c>
      <c r="DS49" s="60">
        <f t="shared" si="17"/>
        <v>565.82391910971216</v>
      </c>
      <c r="DT49" s="60">
        <f ca="1">AVERAGE(OFFSET($DS$3,0,0,'Données projet'!$E$14+1,1))-AVERAGE(OFFSET($H$3,0,0,'Données projet'!$E$14+1,1))</f>
        <v>266.98113257513319</v>
      </c>
      <c r="DU49" s="60">
        <f t="shared" si="44"/>
        <v>275.73257102713393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7.1447136702970431</v>
      </c>
      <c r="EC49" s="23">
        <f>EXP(-LN(2)/2)*EC48+(1-EXP(-LN(2)/2))/(LN(2)/2)*DW49*DZ49*VLOOKUP('Données projet'!$B$14,Paramètres!$A$1:$I$89,3,0)*0.475*44/12</f>
        <v>4.088514994347385E-2</v>
      </c>
      <c r="ED49" s="24">
        <f t="shared" si="18"/>
        <v>7.185598820240517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8.4</v>
      </c>
      <c r="EJ49" s="13">
        <f>IF('Données projet'!$A$192&gt;35,EJ48+EI49-ER48,IF(A49&lt;'Données projet'!$A$192,$EG$205^A49,IF(A49='Données projet'!$A$192,'Données projet'!$B$192,EJ48+EI49-ER48)))</f>
        <v>145.40000000000003</v>
      </c>
      <c r="EK49" s="18">
        <f>EJ49*VLOOKUP('Données projet'!$B$15,Paramètres!$A$1:$I$89,3,0)*VLOOKUP('Données projet'!$B$15,Paramètres!$A$1:$I$89,5,0)</f>
        <v>165.58152000000004</v>
      </c>
      <c r="EL49" s="14">
        <f t="shared" si="45"/>
        <v>42.098919431473696</v>
      </c>
      <c r="EM49" s="22">
        <f t="shared" si="19"/>
        <v>361.71009867648337</v>
      </c>
      <c r="EN49" s="60">
        <f t="shared" si="20"/>
        <v>655.04343200981668</v>
      </c>
      <c r="EO49" s="60">
        <f ca="1">AVERAGE(OFFSET($EN$3,0,0,'Données projet'!$E$15+1,1))-AVERAGE(OFFSET($H$3,0,0,'Données projet'!$E$15+1,1))</f>
        <v>457.62828850677369</v>
      </c>
      <c r="EP49" s="60">
        <f t="shared" si="46"/>
        <v>282.78263556175563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8.4</v>
      </c>
      <c r="FE49" s="13">
        <f>IF('Données projet'!$A$218&gt;35,FE48+FD49-FM48,IF(A49&lt;'Données projet'!$A$218,$FB$205^A49,IF(A49='Données projet'!$A$218,'Données projet'!$B$218,FE48+FD49-FM48)))</f>
        <v>145.40000000000003</v>
      </c>
      <c r="FF49" s="18">
        <f>FE49*VLOOKUP('Données projet'!$B$16,Paramètres!$A$1:$I$89,3,0)*VLOOKUP('Données projet'!$B$16,Paramètres!$A$1:$I$89,5,0)</f>
        <v>158.77680000000004</v>
      </c>
      <c r="FG49" s="14">
        <f t="shared" si="47"/>
        <v>40.566496124710788</v>
      </c>
      <c r="FH49" s="22">
        <f t="shared" si="22"/>
        <v>347.18957408387132</v>
      </c>
      <c r="FI49" s="60">
        <f t="shared" si="23"/>
        <v>640.52290741720458</v>
      </c>
      <c r="FJ49" s="60">
        <f ca="1">AVERAGE(OFFSET($FI$3,0,0,'Données projet'!$E$16+1,1))-AVERAGE(OFFSET($H$3,0,0,'Données projet'!$E$16+1,1))</f>
        <v>440.52623925652182</v>
      </c>
      <c r="FK49" s="60">
        <f t="shared" si="48"/>
        <v>272.91122662088918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17.5</v>
      </c>
      <c r="FZ49" s="13">
        <f>IF('Données projet'!$A$244&gt;35,FZ48+FY49-GH48,IF(A49&lt;'Données projet'!$A$244,$FW$205^A49,IF(A49='Données projet'!$A$244,'Données projet'!$B$244,FZ48+FY49-GH48)))</f>
        <v>308.49999999999989</v>
      </c>
      <c r="GA49" s="18">
        <f>FZ49*VLOOKUP('Données projet'!$B$17,Paramètres!$A$1:$I$89,3,0)*VLOOKUP('Données projet'!$B$17,Paramètres!$A$1:$I$89,5,0)</f>
        <v>144.37799999999996</v>
      </c>
      <c r="GB49" s="14">
        <f t="shared" si="49"/>
        <v>37.298139369272413</v>
      </c>
      <c r="GC49" s="22">
        <f t="shared" si="25"/>
        <v>316.41927606814937</v>
      </c>
      <c r="GD49" s="60">
        <f t="shared" si="26"/>
        <v>609.75260940148269</v>
      </c>
      <c r="GE49" s="60">
        <f ca="1">AVERAGE(OFFSET($GD$3,0,0,'Données projet'!$E$17+1,1))-AVERAGE(OFFSET($H$3,0,0,'Données projet'!$E$17+1,1))</f>
        <v>317.54276561627643</v>
      </c>
      <c r="GF49" s="60">
        <f t="shared" si="50"/>
        <v>238.92443174298893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>
        <f>GU49*VLOOKUP('Données projet'!$B$18,Paramètres!$A$1:$I$89,3,0)*VLOOKUP('Données projet'!$B$18,Paramètres!$A$1:$I$89,5,0)</f>
        <v>0</v>
      </c>
      <c r="GW49" s="14" t="e">
        <f t="shared" si="51"/>
        <v>#NUM!</v>
      </c>
      <c r="GX49" s="22" t="e">
        <f t="shared" si="28"/>
        <v>#NUM!</v>
      </c>
      <c r="GY49" s="60" t="e">
        <f t="shared" si="29"/>
        <v>#NUM!</v>
      </c>
      <c r="GZ49" s="60">
        <f ca="1">AVERAGE(OFFSET($GY$3,0,0,'Données projet'!$E$18+1,1))-AVERAGE(OFFSET($H$3,0,0,'Données projet'!$E$18+1,1))</f>
        <v>79.868679770907136</v>
      </c>
      <c r="HA49" s="60">
        <f t="shared" si="52"/>
        <v>370.47471103028312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45.25883268984996</v>
      </c>
      <c r="HH49" s="23">
        <f>EXP(-LN(2)/25)*HH48+(1-EXP(-LN(2)/25))/(LN(2)/25)*Calculateur!HC49*Calculateur!HE49*VLOOKUP('Données projet'!$B$18,Paramètres!$A$1:$I$89,3,0)*0.475*44/12</f>
        <v>9.6941174171683056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54.952950107018268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0">
        <f t="shared" si="0"/>
        <v>293.33333333333439</v>
      </c>
      <c r="S50" s="60">
        <f ca="1">AVERAGE(OFFSET($R$3,0,0,'Données projet'!$E$9+1,1))-AVERAGE(OFFSET($H$3,0,0,'Données projet'!$E$9+1,1))</f>
        <v>206.5885410269899</v>
      </c>
      <c r="T50" s="60">
        <f t="shared" si="34"/>
        <v>347.41156847586302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5.6843418860808015E-14</v>
      </c>
      <c r="AJ50" s="14">
        <f>AI50*VLOOKUP('Données projet'!$B$10,Paramètres!$A$1:$I$89,3,0)*VLOOKUP('Données projet'!$B$10,Paramètres!$A$1:$I$89,5,0)</f>
        <v>3.3992364478763198E-14</v>
      </c>
      <c r="AK50" s="14">
        <f t="shared" si="35"/>
        <v>5.790027782444094E-13</v>
      </c>
      <c r="AL50" s="22">
        <f t="shared" si="4"/>
        <v>1.0676332069095257E-12</v>
      </c>
      <c r="AM50" s="60">
        <f t="shared" si="5"/>
        <v>293.33333333333439</v>
      </c>
      <c r="AN50" s="60">
        <f ca="1">AVERAGE(OFFSET($AM$3,0,0,'Données projet'!$E$10+1,1))-AVERAGE(OFFSET($H$3,0,0,'Données projet'!$E$10+1,1))</f>
        <v>206.5885410269899</v>
      </c>
      <c r="AO50" s="60">
        <f t="shared" si="36"/>
        <v>347.41156847586302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78.120071782673605</v>
      </c>
      <c r="AV50" s="23">
        <f>EXP(-LN(2)/25)*AV49+(1-EXP(-LN(2)/25))/(LN(2)/25)*Calculateur!AQ50*Calculateur!AS50*VLOOKUP('Données projet'!$B$10,Paramètres!$A$1:$I$89,3,0)*0.475*44/12</f>
        <v>2.0866329227101295</v>
      </c>
      <c r="AW50" s="23">
        <f>EXP(-LN(2)/2)*AW49+(1-EXP(-LN(2)/2))/(LN(2)/2)*AQ50*AT50*VLOOKUP('Données projet'!$B$10,Paramètres!$A$1:$I$89,3,0)*0.475*44/12</f>
        <v>3.0425441367984156</v>
      </c>
      <c r="AX50" s="23">
        <f t="shared" si="6"/>
        <v>83.249248842182141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153.80000000000004</v>
      </c>
      <c r="BE50" s="14">
        <f>BD50*VLOOKUP('Données projet'!$B$11,Paramètres!$A$1:$I$89,3,0)*VLOOKUP('Données projet'!$B$11,Paramètres!$A$1:$I$89,5,0)</f>
        <v>146.35608000000005</v>
      </c>
      <c r="BF50" s="14">
        <f t="shared" si="37"/>
        <v>37.749310209780433</v>
      </c>
      <c r="BG50" s="22">
        <f t="shared" si="7"/>
        <v>320.65022128203435</v>
      </c>
      <c r="BH50" s="60">
        <f t="shared" si="8"/>
        <v>613.98355461536767</v>
      </c>
      <c r="BI50" s="60">
        <f ca="1">AVERAGE(OFFSET($BH$3,0,0,'Données projet'!$E$11+1,1))-AVERAGE(OFFSET($H$3,0,0,'Données projet'!$E$11+1,1))</f>
        <v>389.12604446638119</v>
      </c>
      <c r="BJ50" s="60">
        <f t="shared" si="38"/>
        <v>243.23852967152732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8.4</v>
      </c>
      <c r="BY50" s="13">
        <f>IF('Données projet'!$A$114&gt;35,BY49+BX50-CG49,IF(A50&lt;'Données projet'!$A$114,$BV$205^A50,IF(A50='Données projet'!$A$114,'Données projet'!$B$114,BY49+BX50-CG49)))</f>
        <v>153.80000000000004</v>
      </c>
      <c r="BZ50" s="14">
        <f>BY50*VLOOKUP('Données projet'!$B$12,Paramètres!$A$1:$I$89,3,0)*VLOOKUP('Données projet'!$B$12,Paramètres!$A$1:$I$89,5,0)</f>
        <v>139.15824000000003</v>
      </c>
      <c r="CA50" s="14">
        <f t="shared" si="39"/>
        <v>36.104102468715482</v>
      </c>
      <c r="CB50" s="22">
        <f t="shared" si="10"/>
        <v>305.24857979967953</v>
      </c>
      <c r="CC50" s="60">
        <f t="shared" si="11"/>
        <v>598.5819131330129</v>
      </c>
      <c r="CD50" s="60">
        <f ca="1">AVERAGE(OFFSET($CC$3,0,0,'Données projet'!$E$12+1,1))-AVERAGE(OFFSET($H$3,0,0,'Données projet'!$E$12+1,1))</f>
        <v>371.95849973474657</v>
      </c>
      <c r="CE50" s="60">
        <f t="shared" si="40"/>
        <v>233.32640143610547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5.2853703918745755E-2</v>
      </c>
      <c r="CN50" s="24">
        <f t="shared" si="12"/>
        <v>5.2853703918745755E-2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8.4</v>
      </c>
      <c r="CT50" s="13">
        <f>IF('Données projet'!$A$140&gt;35,CT49+CS50-DB49,IF(A50&lt;'Données projet'!$A$140,$CQ$205^A50,IF(A50='Données projet'!$A$140,'Données projet'!$B$140,CT49+CS50-DB49)))</f>
        <v>153.80000000000004</v>
      </c>
      <c r="CU50" s="18">
        <f>CT50*VLOOKUP('Données projet'!$B$13,Paramètres!$A$1:$I$89,3,0)*VLOOKUP('Données projet'!$B$13,Paramètres!$A$1:$I$89,5,0)</f>
        <v>148.75536000000005</v>
      </c>
      <c r="CV50" s="14">
        <f t="shared" si="41"/>
        <v>38.295599697511591</v>
      </c>
      <c r="CW50" s="22">
        <f t="shared" si="13"/>
        <v>325.78042147316609</v>
      </c>
      <c r="CX50" s="60">
        <f t="shared" si="14"/>
        <v>619.1137548064994</v>
      </c>
      <c r="CY50" s="60">
        <f ca="1">AVERAGE(OFFSET($CX$3,0,0,'Données projet'!$E$13+1,1))-AVERAGE(OFFSET($H$3,0,0,'Données projet'!$E$13+1,1))</f>
        <v>394.8445842828649</v>
      </c>
      <c r="CZ50" s="60">
        <f t="shared" si="42"/>
        <v>246.54010105494143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5.6498786947624807E-2</v>
      </c>
      <c r="DI50" s="24">
        <f t="shared" si="15"/>
        <v>5.6498786947624807E-2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5.8</v>
      </c>
      <c r="DO50" s="13">
        <f>IF('Données projet'!$A$166&gt;35,DO49+DN50-DW49,IF(A50&lt;'Données projet'!$A$166,$DL$205^A50,IF(A50='Données projet'!$A$166,'Données projet'!$B$166,DO49+DN50-DW49)))</f>
        <v>147.60000000000002</v>
      </c>
      <c r="DP50" s="18">
        <f>DO50*VLOOKUP('Données projet'!$B$14,Paramètres!$A$1:$I$89,3,0)*VLOOKUP('Données projet'!$B$14,Paramètres!$A$1:$I$89,5,0)</f>
        <v>128.94336000000004</v>
      </c>
      <c r="DQ50" s="14">
        <f t="shared" si="43"/>
        <v>33.752085002132198</v>
      </c>
      <c r="DR50" s="22">
        <f t="shared" si="16"/>
        <v>283.36123337871362</v>
      </c>
      <c r="DS50" s="60">
        <f t="shared" si="17"/>
        <v>576.69456671204694</v>
      </c>
      <c r="DT50" s="60">
        <f ca="1">AVERAGE(OFFSET($DS$3,0,0,'Données projet'!$E$14+1,1))-AVERAGE(OFFSET($H$3,0,0,'Données projet'!$E$14+1,1))</f>
        <v>266.98113257513319</v>
      </c>
      <c r="DU50" s="60">
        <f t="shared" si="44"/>
        <v>275.73257102713393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6.949341099258608</v>
      </c>
      <c r="EC50" s="23">
        <f>EXP(-LN(2)/2)*EC49+(1-EXP(-LN(2)/2))/(LN(2)/2)*DW50*DZ50*VLOOKUP('Données projet'!$B$14,Paramètres!$A$1:$I$89,3,0)*0.475*44/12</f>
        <v>2.891016677485915E-2</v>
      </c>
      <c r="ED50" s="24">
        <f t="shared" si="18"/>
        <v>6.9782512660334675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8.4</v>
      </c>
      <c r="EJ50" s="13">
        <f>IF('Données projet'!$A$192&gt;35,EJ49+EI50-ER49,IF(A50&lt;'Données projet'!$A$192,$EG$205^A50,IF(A50='Données projet'!$A$192,'Données projet'!$B$192,EJ49+EI50-ER49)))</f>
        <v>153.80000000000004</v>
      </c>
      <c r="EK50" s="18">
        <f>EJ50*VLOOKUP('Données projet'!$B$15,Paramètres!$A$1:$I$89,3,0)*VLOOKUP('Données projet'!$B$15,Paramètres!$A$1:$I$89,5,0)</f>
        <v>175.14744000000005</v>
      </c>
      <c r="EL50" s="14">
        <f t="shared" si="45"/>
        <v>44.240869835106878</v>
      </c>
      <c r="EM50" s="22">
        <f t="shared" si="19"/>
        <v>382.10130629614451</v>
      </c>
      <c r="EN50" s="60">
        <f t="shared" si="20"/>
        <v>675.43463962947783</v>
      </c>
      <c r="EO50" s="60">
        <f ca="1">AVERAGE(OFFSET($EN$3,0,0,'Données projet'!$E$15+1,1))-AVERAGE(OFFSET($H$3,0,0,'Données projet'!$E$15+1,1))</f>
        <v>457.62828850677369</v>
      </c>
      <c r="EP50" s="60">
        <f t="shared" si="46"/>
        <v>282.78263556175563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8.4</v>
      </c>
      <c r="FE50" s="13">
        <f>IF('Données projet'!$A$218&gt;35,FE49+FD50-FM49,IF(A50&lt;'Données projet'!$A$218,$FB$205^A50,IF(A50='Données projet'!$A$218,'Données projet'!$B$218,FE49+FD50-FM49)))</f>
        <v>153.80000000000004</v>
      </c>
      <c r="FF50" s="18">
        <f>FE50*VLOOKUP('Données projet'!$B$16,Paramètres!$A$1:$I$89,3,0)*VLOOKUP('Données projet'!$B$16,Paramètres!$A$1:$I$89,5,0)</f>
        <v>167.94960000000003</v>
      </c>
      <c r="FG50" s="14">
        <f t="shared" si="47"/>
        <v>42.630478381779049</v>
      </c>
      <c r="FH50" s="22">
        <f t="shared" si="22"/>
        <v>366.7603031815986</v>
      </c>
      <c r="FI50" s="60">
        <f t="shared" si="23"/>
        <v>660.09363651493186</v>
      </c>
      <c r="FJ50" s="60">
        <f ca="1">AVERAGE(OFFSET($FI$3,0,0,'Données projet'!$E$16+1,1))-AVERAGE(OFFSET($H$3,0,0,'Données projet'!$E$16+1,1))</f>
        <v>440.52623925652182</v>
      </c>
      <c r="FK50" s="60">
        <f t="shared" si="48"/>
        <v>272.91122662088918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17.5</v>
      </c>
      <c r="FZ50" s="13">
        <f>IF('Données projet'!$A$244&gt;35,FZ49+FY50-GH49,IF(A50&lt;'Données projet'!$A$244,$FW$205^A50,IF(A50='Données projet'!$A$244,'Données projet'!$B$244,FZ49+FY50-GH49)))</f>
        <v>325.99999999999989</v>
      </c>
      <c r="GA50" s="18">
        <f>FZ50*VLOOKUP('Données projet'!$B$17,Paramètres!$A$1:$I$89,3,0)*VLOOKUP('Données projet'!$B$17,Paramètres!$A$1:$I$89,5,0)</f>
        <v>152.56799999999996</v>
      </c>
      <c r="GB50" s="14">
        <f t="shared" si="49"/>
        <v>39.161595030150863</v>
      </c>
      <c r="GC50" s="22">
        <f t="shared" si="25"/>
        <v>333.92904467751265</v>
      </c>
      <c r="GD50" s="60">
        <f t="shared" si="26"/>
        <v>627.26237801084596</v>
      </c>
      <c r="GE50" s="60">
        <f ca="1">AVERAGE(OFFSET($GD$3,0,0,'Données projet'!$E$17+1,1))-AVERAGE(OFFSET($H$3,0,0,'Données projet'!$E$17+1,1))</f>
        <v>317.54276561627643</v>
      </c>
      <c r="GF50" s="60">
        <f t="shared" si="50"/>
        <v>238.92443174298893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>
        <f>GU50*VLOOKUP('Données projet'!$B$18,Paramètres!$A$1:$I$89,3,0)*VLOOKUP('Données projet'!$B$18,Paramètres!$A$1:$I$89,5,0)</f>
        <v>0</v>
      </c>
      <c r="GW50" s="14" t="e">
        <f t="shared" si="51"/>
        <v>#NUM!</v>
      </c>
      <c r="GX50" s="22" t="e">
        <f t="shared" si="28"/>
        <v>#NUM!</v>
      </c>
      <c r="GY50" s="60" t="e">
        <f t="shared" si="29"/>
        <v>#NUM!</v>
      </c>
      <c r="GZ50" s="60">
        <f ca="1">AVERAGE(OFFSET($GY$3,0,0,'Données projet'!$E$18+1,1))-AVERAGE(OFFSET($H$3,0,0,'Données projet'!$E$18+1,1))</f>
        <v>79.868679770907136</v>
      </c>
      <c r="HA50" s="60">
        <f t="shared" si="52"/>
        <v>370.47471103028312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44.371334585964163</v>
      </c>
      <c r="HH50" s="23">
        <f>EXP(-LN(2)/25)*HH49+(1-EXP(-LN(2)/25))/(LN(2)/25)*Calculateur!HC50*Calculateur!HE50*VLOOKUP('Données projet'!$B$18,Paramètres!$A$1:$I$89,3,0)*0.475*44/12</f>
        <v>9.4290312666043601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53.800365852568525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0">
        <f t="shared" si="0"/>
        <v>293.33333333333439</v>
      </c>
      <c r="S51" s="60">
        <f ca="1">AVERAGE(OFFSET($R$3,0,0,'Données projet'!$E$9+1,1))-AVERAGE(OFFSET($H$3,0,0,'Données projet'!$E$9+1,1))</f>
        <v>206.5885410269899</v>
      </c>
      <c r="T51" s="60">
        <f t="shared" si="34"/>
        <v>347.41156847586302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5.6843418860808015E-14</v>
      </c>
      <c r="AJ51" s="14">
        <f>AI51*VLOOKUP('Données projet'!$B$10,Paramètres!$A$1:$I$89,3,0)*VLOOKUP('Données projet'!$B$10,Paramètres!$A$1:$I$89,5,0)</f>
        <v>3.3992364478763198E-14</v>
      </c>
      <c r="AK51" s="14">
        <f t="shared" si="35"/>
        <v>5.790027782444094E-13</v>
      </c>
      <c r="AL51" s="22">
        <f t="shared" si="4"/>
        <v>1.0676332069095257E-12</v>
      </c>
      <c r="AM51" s="60">
        <f t="shared" si="5"/>
        <v>293.33333333333439</v>
      </c>
      <c r="AN51" s="60">
        <f ca="1">AVERAGE(OFFSET($AM$3,0,0,'Données projet'!$E$10+1,1))-AVERAGE(OFFSET($H$3,0,0,'Données projet'!$E$10+1,1))</f>
        <v>206.5885410269899</v>
      </c>
      <c r="AO51" s="60">
        <f t="shared" si="36"/>
        <v>347.41156847586302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76.588184823554258</v>
      </c>
      <c r="AV51" s="23">
        <f>EXP(-LN(2)/25)*AV50+(1-EXP(-LN(2)/25))/(LN(2)/25)*Calculateur!AQ51*Calculateur!AS51*VLOOKUP('Données projet'!$B$10,Paramètres!$A$1:$I$89,3,0)*0.475*44/12</f>
        <v>2.0295738357073647</v>
      </c>
      <c r="AW51" s="23">
        <f>EXP(-LN(2)/2)*AW50+(1-EXP(-LN(2)/2))/(LN(2)/2)*AQ51*AT51*VLOOKUP('Données projet'!$B$10,Paramètres!$A$1:$I$89,3,0)*0.475*44/12</f>
        <v>2.1514035911895304</v>
      </c>
      <c r="AX51" s="23">
        <f t="shared" si="6"/>
        <v>80.76916225045116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162.20000000000005</v>
      </c>
      <c r="BE51" s="14">
        <f>BD51*VLOOKUP('Données projet'!$B$11,Paramètres!$A$1:$I$89,3,0)*VLOOKUP('Données projet'!$B$11,Paramètres!$A$1:$I$89,5,0)</f>
        <v>154.34952000000004</v>
      </c>
      <c r="BF51" s="14">
        <f t="shared" si="37"/>
        <v>39.565379265558612</v>
      </c>
      <c r="BG51" s="22">
        <f t="shared" si="7"/>
        <v>337.73511622084794</v>
      </c>
      <c r="BH51" s="60">
        <f t="shared" si="8"/>
        <v>631.06844955418126</v>
      </c>
      <c r="BI51" s="60">
        <f ca="1">AVERAGE(OFFSET($BH$3,0,0,'Données projet'!$E$11+1,1))-AVERAGE(OFFSET($H$3,0,0,'Données projet'!$E$11+1,1))</f>
        <v>389.12604446638119</v>
      </c>
      <c r="BJ51" s="60">
        <f t="shared" si="38"/>
        <v>243.23852967152732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8.4</v>
      </c>
      <c r="BY51" s="13">
        <f>IF('Données projet'!$A$114&gt;35,BY50+BX51-CG50,IF(A51&lt;'Données projet'!$A$114,$BV$205^A51,IF(A51='Données projet'!$A$114,'Données projet'!$B$114,BY50+BX51-CG50)))</f>
        <v>162.20000000000005</v>
      </c>
      <c r="BZ51" s="14">
        <f>BY51*VLOOKUP('Données projet'!$B$12,Paramètres!$A$1:$I$89,3,0)*VLOOKUP('Données projet'!$B$12,Paramètres!$A$1:$I$89,5,0)</f>
        <v>146.75856000000005</v>
      </c>
      <c r="CA51" s="14">
        <f t="shared" si="39"/>
        <v>37.841022770456242</v>
      </c>
      <c r="CB51" s="22">
        <f t="shared" si="10"/>
        <v>321.51093999187805</v>
      </c>
      <c r="CC51" s="60">
        <f t="shared" si="11"/>
        <v>614.84427332521136</v>
      </c>
      <c r="CD51" s="60">
        <f ca="1">AVERAGE(OFFSET($CC$3,0,0,'Données projet'!$E$12+1,1))-AVERAGE(OFFSET($H$3,0,0,'Données projet'!$E$12+1,1))</f>
        <v>371.95849973474657</v>
      </c>
      <c r="CE51" s="60">
        <f t="shared" si="40"/>
        <v>233.32640143610547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3.7373212451771123E-2</v>
      </c>
      <c r="CN51" s="24">
        <f t="shared" si="12"/>
        <v>3.7373212451771123E-2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8.4</v>
      </c>
      <c r="CT51" s="13">
        <f>IF('Données projet'!$A$140&gt;35,CT50+CS51-DB50,IF(A51&lt;'Données projet'!$A$140,$CQ$205^A51,IF(A51='Données projet'!$A$140,'Données projet'!$B$140,CT50+CS51-DB50)))</f>
        <v>162.20000000000005</v>
      </c>
      <c r="CU51" s="18">
        <f>CT51*VLOOKUP('Données projet'!$B$13,Paramètres!$A$1:$I$89,3,0)*VLOOKUP('Données projet'!$B$13,Paramètres!$A$1:$I$89,5,0)</f>
        <v>156.87984000000003</v>
      </c>
      <c r="CV51" s="14">
        <f t="shared" si="41"/>
        <v>40.137950013229407</v>
      </c>
      <c r="CW51" s="22">
        <f t="shared" si="13"/>
        <v>343.13931760637462</v>
      </c>
      <c r="CX51" s="60">
        <f t="shared" si="14"/>
        <v>636.47265093970793</v>
      </c>
      <c r="CY51" s="60">
        <f ca="1">AVERAGE(OFFSET($CX$3,0,0,'Données projet'!$E$13+1,1))-AVERAGE(OFFSET($H$3,0,0,'Données projet'!$E$13+1,1))</f>
        <v>394.8445842828649</v>
      </c>
      <c r="CZ51" s="60">
        <f t="shared" si="42"/>
        <v>246.54010105494143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3.9950675379479501E-2</v>
      </c>
      <c r="DI51" s="24">
        <f t="shared" si="15"/>
        <v>3.9950675379479501E-2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5.8</v>
      </c>
      <c r="DO51" s="13">
        <f>IF('Données projet'!$A$166&gt;35,DO50+DN51-DW50,IF(A51&lt;'Données projet'!$A$166,$DL$205^A51,IF(A51='Données projet'!$A$166,'Données projet'!$B$166,DO50+DN51-DW50)))</f>
        <v>153.40000000000003</v>
      </c>
      <c r="DP51" s="18">
        <f>DO51*VLOOKUP('Données projet'!$B$14,Paramètres!$A$1:$I$89,3,0)*VLOOKUP('Données projet'!$B$14,Paramètres!$A$1:$I$89,5,0)</f>
        <v>134.01024000000004</v>
      </c>
      <c r="DQ51" s="14">
        <f t="shared" si="43"/>
        <v>34.921363182969436</v>
      </c>
      <c r="DR51" s="22">
        <f t="shared" si="16"/>
        <v>294.22254221033847</v>
      </c>
      <c r="DS51" s="60">
        <f t="shared" si="17"/>
        <v>587.55587554367185</v>
      </c>
      <c r="DT51" s="60">
        <f ca="1">AVERAGE(OFFSET($DS$3,0,0,'Données projet'!$E$14+1,1))-AVERAGE(OFFSET($H$3,0,0,'Données projet'!$E$14+1,1))</f>
        <v>266.98113257513319</v>
      </c>
      <c r="DU51" s="60">
        <f t="shared" si="44"/>
        <v>275.73257102713393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6.759311001449416</v>
      </c>
      <c r="EC51" s="23">
        <f>EXP(-LN(2)/2)*EC50+(1-EXP(-LN(2)/2))/(LN(2)/2)*DW51*DZ51*VLOOKUP('Données projet'!$B$14,Paramètres!$A$1:$I$89,3,0)*0.475*44/12</f>
        <v>2.0442574971736925E-2</v>
      </c>
      <c r="ED51" s="24">
        <f t="shared" si="18"/>
        <v>6.7797535764211529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8.4</v>
      </c>
      <c r="EJ51" s="13">
        <f>IF('Données projet'!$A$192&gt;35,EJ50+EI51-ER50,IF(A51&lt;'Données projet'!$A$192,$EG$205^A51,IF(A51='Données projet'!$A$192,'Données projet'!$B$192,EJ50+EI51-ER50)))</f>
        <v>162.20000000000005</v>
      </c>
      <c r="EK51" s="18">
        <f>EJ51*VLOOKUP('Données projet'!$B$15,Paramètres!$A$1:$I$89,3,0)*VLOOKUP('Données projet'!$B$15,Paramètres!$A$1:$I$89,5,0)</f>
        <v>184.71336000000005</v>
      </c>
      <c r="EL51" s="14">
        <f t="shared" si="45"/>
        <v>46.369239181771952</v>
      </c>
      <c r="EM51" s="22">
        <f t="shared" si="19"/>
        <v>402.46886024158624</v>
      </c>
      <c r="EN51" s="60">
        <f t="shared" si="20"/>
        <v>695.80219357491956</v>
      </c>
      <c r="EO51" s="60">
        <f ca="1">AVERAGE(OFFSET($EN$3,0,0,'Données projet'!$E$15+1,1))-AVERAGE(OFFSET($H$3,0,0,'Données projet'!$E$15+1,1))</f>
        <v>457.62828850677369</v>
      </c>
      <c r="EP51" s="60">
        <f t="shared" si="46"/>
        <v>282.78263556175563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8.4</v>
      </c>
      <c r="FE51" s="13">
        <f>IF('Données projet'!$A$218&gt;35,FE50+FD51-FM50,IF(A51&lt;'Données projet'!$A$218,$FB$205^A51,IF(A51='Données projet'!$A$218,'Données projet'!$B$218,FE50+FD51-FM50)))</f>
        <v>162.20000000000005</v>
      </c>
      <c r="FF51" s="18">
        <f>FE51*VLOOKUP('Données projet'!$B$16,Paramètres!$A$1:$I$89,3,0)*VLOOKUP('Données projet'!$B$16,Paramètres!$A$1:$I$89,5,0)</f>
        <v>177.12240000000003</v>
      </c>
      <c r="FG51" s="14">
        <f t="shared" si="47"/>
        <v>44.681373939656346</v>
      </c>
      <c r="FH51" s="22">
        <f t="shared" si="22"/>
        <v>386.30823961156813</v>
      </c>
      <c r="FI51" s="60">
        <f t="shared" si="23"/>
        <v>679.64157294490144</v>
      </c>
      <c r="FJ51" s="60">
        <f ca="1">AVERAGE(OFFSET($FI$3,0,0,'Données projet'!$E$16+1,1))-AVERAGE(OFFSET($H$3,0,0,'Données projet'!$E$16+1,1))</f>
        <v>440.52623925652182</v>
      </c>
      <c r="FK51" s="60">
        <f t="shared" si="48"/>
        <v>272.91122662088918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17.5</v>
      </c>
      <c r="FZ51" s="13">
        <f>IF('Données projet'!$A$244&gt;35,FZ50+FY51-GH50,IF(A51&lt;'Données projet'!$A$244,$FW$205^A51,IF(A51='Données projet'!$A$244,'Données projet'!$B$244,FZ50+FY51-GH50)))</f>
        <v>343.49999999999989</v>
      </c>
      <c r="GA51" s="18">
        <f>FZ51*VLOOKUP('Données projet'!$B$17,Paramètres!$A$1:$I$89,3,0)*VLOOKUP('Données projet'!$B$17,Paramètres!$A$1:$I$89,5,0)</f>
        <v>160.75799999999995</v>
      </c>
      <c r="GB51" s="14">
        <f t="shared" si="49"/>
        <v>41.013437365421375</v>
      </c>
      <c r="GC51" s="22">
        <f t="shared" si="25"/>
        <v>351.41858674477544</v>
      </c>
      <c r="GD51" s="60">
        <f t="shared" si="26"/>
        <v>644.7519200781087</v>
      </c>
      <c r="GE51" s="60">
        <f ca="1">AVERAGE(OFFSET($GD$3,0,0,'Données projet'!$E$17+1,1))-AVERAGE(OFFSET($H$3,0,0,'Données projet'!$E$17+1,1))</f>
        <v>317.54276561627643</v>
      </c>
      <c r="GF51" s="60">
        <f t="shared" si="50"/>
        <v>238.92443174298893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>
        <f>GU51*VLOOKUP('Données projet'!$B$18,Paramètres!$A$1:$I$89,3,0)*VLOOKUP('Données projet'!$B$18,Paramètres!$A$1:$I$89,5,0)</f>
        <v>0</v>
      </c>
      <c r="GW51" s="14" t="e">
        <f t="shared" si="51"/>
        <v>#NUM!</v>
      </c>
      <c r="GX51" s="22" t="e">
        <f t="shared" si="28"/>
        <v>#NUM!</v>
      </c>
      <c r="GY51" s="60" t="e">
        <f t="shared" si="29"/>
        <v>#NUM!</v>
      </c>
      <c r="GZ51" s="60">
        <f ca="1">AVERAGE(OFFSET($GY$3,0,0,'Données projet'!$E$18+1,1))-AVERAGE(OFFSET($H$3,0,0,'Données projet'!$E$18+1,1))</f>
        <v>79.868679770907136</v>
      </c>
      <c r="HA51" s="60">
        <f t="shared" si="52"/>
        <v>370.47471103028312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43.501239778575169</v>
      </c>
      <c r="HH51" s="23">
        <f>EXP(-LN(2)/25)*HH50+(1-EXP(-LN(2)/25))/(LN(2)/25)*Calculateur!HC51*Calculateur!HE51*VLOOKUP('Données projet'!$B$18,Paramètres!$A$1:$I$89,3,0)*0.475*44/12</f>
        <v>9.1711939107678599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52.67243368934303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0">
        <f t="shared" si="0"/>
        <v>293.33333333333439</v>
      </c>
      <c r="S52" s="60">
        <f ca="1">AVERAGE(OFFSET($R$3,0,0,'Données projet'!$E$9+1,1))-AVERAGE(OFFSET($H$3,0,0,'Données projet'!$E$9+1,1))</f>
        <v>206.5885410269899</v>
      </c>
      <c r="T52" s="60">
        <f t="shared" si="34"/>
        <v>347.41156847586302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5.6843418860808015E-14</v>
      </c>
      <c r="AJ52" s="14">
        <f>AI52*VLOOKUP('Données projet'!$B$10,Paramètres!$A$1:$I$89,3,0)*VLOOKUP('Données projet'!$B$10,Paramètres!$A$1:$I$89,5,0)</f>
        <v>3.3992364478763198E-14</v>
      </c>
      <c r="AK52" s="14">
        <f t="shared" si="35"/>
        <v>5.790027782444094E-13</v>
      </c>
      <c r="AL52" s="22">
        <f t="shared" si="4"/>
        <v>1.0676332069095257E-12</v>
      </c>
      <c r="AM52" s="60">
        <f t="shared" si="5"/>
        <v>293.33333333333439</v>
      </c>
      <c r="AN52" s="60">
        <f ca="1">AVERAGE(OFFSET($AM$3,0,0,'Données projet'!$E$10+1,1))-AVERAGE(OFFSET($H$3,0,0,'Données projet'!$E$10+1,1))</f>
        <v>206.5885410269899</v>
      </c>
      <c r="AO52" s="60">
        <f t="shared" si="36"/>
        <v>347.41156847586302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75.086337233344466</v>
      </c>
      <c r="AV52" s="23">
        <f>EXP(-LN(2)/25)*AV51+(1-EXP(-LN(2)/25))/(LN(2)/25)*Calculateur!AQ52*Calculateur!AS52*VLOOKUP('Données projet'!$B$10,Paramètres!$A$1:$I$89,3,0)*0.475*44/12</f>
        <v>1.9740750324392975</v>
      </c>
      <c r="AW52" s="23">
        <f>EXP(-LN(2)/2)*AW51+(1-EXP(-LN(2)/2))/(LN(2)/2)*AQ52*AT52*VLOOKUP('Données projet'!$B$10,Paramètres!$A$1:$I$89,3,0)*0.475*44/12</f>
        <v>1.5212720683992078</v>
      </c>
      <c r="AX52" s="23">
        <f t="shared" si="6"/>
        <v>78.581684334182981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170.60000000000005</v>
      </c>
      <c r="BE52" s="14">
        <f>BD52*VLOOKUP('Données projet'!$B$11,Paramètres!$A$1:$I$89,3,0)*VLOOKUP('Données projet'!$B$11,Paramètres!$A$1:$I$89,5,0)</f>
        <v>162.34296000000006</v>
      </c>
      <c r="BF52" s="14">
        <f t="shared" si="37"/>
        <v>41.370528628187849</v>
      </c>
      <c r="BG52" s="22">
        <f t="shared" si="7"/>
        <v>354.80099269409396</v>
      </c>
      <c r="BH52" s="60">
        <f t="shared" si="8"/>
        <v>648.13432602742728</v>
      </c>
      <c r="BI52" s="60">
        <f ca="1">AVERAGE(OFFSET($BH$3,0,0,'Données projet'!$E$11+1,1))-AVERAGE(OFFSET($H$3,0,0,'Données projet'!$E$11+1,1))</f>
        <v>389.12604446638119</v>
      </c>
      <c r="BJ52" s="60">
        <f t="shared" si="38"/>
        <v>243.23852967152732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8.4</v>
      </c>
      <c r="BY52" s="13">
        <f>IF('Données projet'!$A$114&gt;35,BY51+BX52-CG51,IF(A52&lt;'Données projet'!$A$114,$BV$205^A52,IF(A52='Données projet'!$A$114,'Données projet'!$B$114,BY51+BX52-CG51)))</f>
        <v>170.60000000000005</v>
      </c>
      <c r="BZ52" s="14">
        <f>BY52*VLOOKUP('Données projet'!$B$12,Paramètres!$A$1:$I$89,3,0)*VLOOKUP('Données projet'!$B$12,Paramètres!$A$1:$I$89,5,0)</f>
        <v>154.35888000000003</v>
      </c>
      <c r="CA52" s="14">
        <f t="shared" si="39"/>
        <v>39.567499286120309</v>
      </c>
      <c r="CB52" s="22">
        <f t="shared" si="10"/>
        <v>337.75511058999291</v>
      </c>
      <c r="CC52" s="60">
        <f t="shared" si="11"/>
        <v>631.08844392332617</v>
      </c>
      <c r="CD52" s="60">
        <f ca="1">AVERAGE(OFFSET($CC$3,0,0,'Données projet'!$E$12+1,1))-AVERAGE(OFFSET($H$3,0,0,'Données projet'!$E$12+1,1))</f>
        <v>371.95849973474657</v>
      </c>
      <c r="CE52" s="60">
        <f t="shared" si="40"/>
        <v>233.32640143610547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2.6426851959372877E-2</v>
      </c>
      <c r="CN52" s="24">
        <f t="shared" si="12"/>
        <v>2.6426851959372877E-2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8.4</v>
      </c>
      <c r="CT52" s="13">
        <f>IF('Données projet'!$A$140&gt;35,CT51+CS52-DB51,IF(A52&lt;'Données projet'!$A$140,$CQ$205^A52,IF(A52='Données projet'!$A$140,'Données projet'!$B$140,CT51+CS52-DB51)))</f>
        <v>170.60000000000005</v>
      </c>
      <c r="CU52" s="18">
        <f>CT52*VLOOKUP('Données projet'!$B$13,Paramètres!$A$1:$I$89,3,0)*VLOOKUP('Données projet'!$B$13,Paramètres!$A$1:$I$89,5,0)</f>
        <v>165.00432000000006</v>
      </c>
      <c r="CV52" s="14">
        <f t="shared" si="41"/>
        <v>41.969222611359086</v>
      </c>
      <c r="CW52" s="22">
        <f t="shared" si="13"/>
        <v>360.47892004811712</v>
      </c>
      <c r="CX52" s="60">
        <f t="shared" si="14"/>
        <v>653.81225338145043</v>
      </c>
      <c r="CY52" s="60">
        <f ca="1">AVERAGE(OFFSET($CX$3,0,0,'Données projet'!$E$13+1,1))-AVERAGE(OFFSET($H$3,0,0,'Données projet'!$E$13+1,1))</f>
        <v>394.8445842828649</v>
      </c>
      <c r="CZ52" s="60">
        <f t="shared" si="42"/>
        <v>246.54010105494143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2.8249393473812404E-2</v>
      </c>
      <c r="DI52" s="24">
        <f t="shared" si="15"/>
        <v>2.8249393473812404E-2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5.8</v>
      </c>
      <c r="DO52" s="13">
        <f>IF('Données projet'!$A$166&gt;35,DO51+DN52-DW51,IF(A52&lt;'Données projet'!$A$166,$DL$205^A52,IF(A52='Données projet'!$A$166,'Données projet'!$B$166,DO51+DN52-DW51)))</f>
        <v>159.20000000000005</v>
      </c>
      <c r="DP52" s="18">
        <f>DO52*VLOOKUP('Données projet'!$B$14,Paramètres!$A$1:$I$89,3,0)*VLOOKUP('Données projet'!$B$14,Paramètres!$A$1:$I$89,5,0)</f>
        <v>139.07712000000006</v>
      </c>
      <c r="DQ52" s="14">
        <f t="shared" si="43"/>
        <v>36.085505335071026</v>
      </c>
      <c r="DR52" s="22">
        <f t="shared" si="16"/>
        <v>305.07490579191546</v>
      </c>
      <c r="DS52" s="60">
        <f t="shared" si="17"/>
        <v>598.40823912524877</v>
      </c>
      <c r="DT52" s="60">
        <f ca="1">AVERAGE(OFFSET($DS$3,0,0,'Données projet'!$E$14+1,1))-AVERAGE(OFFSET($H$3,0,0,'Données projet'!$E$14+1,1))</f>
        <v>266.98113257513319</v>
      </c>
      <c r="DU52" s="60">
        <f t="shared" si="44"/>
        <v>275.73257102713393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6.5744772866580652</v>
      </c>
      <c r="EC52" s="23">
        <f>EXP(-LN(2)/2)*EC51+(1-EXP(-LN(2)/2))/(LN(2)/2)*DW52*DZ52*VLOOKUP('Données projet'!$B$14,Paramètres!$A$1:$I$89,3,0)*0.475*44/12</f>
        <v>1.4455083387429575E-2</v>
      </c>
      <c r="ED52" s="24">
        <f t="shared" si="18"/>
        <v>6.5889323700454945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8.4</v>
      </c>
      <c r="EJ52" s="13">
        <f>IF('Données projet'!$A$192&gt;35,EJ51+EI52-ER51,IF(A52&lt;'Données projet'!$A$192,$EG$205^A52,IF(A52='Données projet'!$A$192,'Données projet'!$B$192,EJ51+EI52-ER51)))</f>
        <v>170.60000000000005</v>
      </c>
      <c r="EK52" s="18">
        <f>EJ52*VLOOKUP('Données projet'!$B$15,Paramètres!$A$1:$I$89,3,0)*VLOOKUP('Données projet'!$B$15,Paramètres!$A$1:$I$89,5,0)</f>
        <v>194.27928000000006</v>
      </c>
      <c r="EL52" s="14">
        <f t="shared" si="45"/>
        <v>48.484811030401794</v>
      </c>
      <c r="EM52" s="22">
        <f t="shared" si="19"/>
        <v>422.81412521128323</v>
      </c>
      <c r="EN52" s="60">
        <f t="shared" si="20"/>
        <v>716.14745854461648</v>
      </c>
      <c r="EO52" s="60">
        <f ca="1">AVERAGE(OFFSET($EN$3,0,0,'Données projet'!$E$15+1,1))-AVERAGE(OFFSET($H$3,0,0,'Données projet'!$E$15+1,1))</f>
        <v>457.62828850677369</v>
      </c>
      <c r="EP52" s="60">
        <f t="shared" si="46"/>
        <v>282.78263556175563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8.4</v>
      </c>
      <c r="FE52" s="13">
        <f>IF('Données projet'!$A$218&gt;35,FE51+FD52-FM51,IF(A52&lt;'Données projet'!$A$218,$FB$205^A52,IF(A52='Données projet'!$A$218,'Données projet'!$B$218,FE51+FD52-FM51)))</f>
        <v>170.60000000000005</v>
      </c>
      <c r="FF52" s="18">
        <f>FE52*VLOOKUP('Données projet'!$B$16,Paramètres!$A$1:$I$89,3,0)*VLOOKUP('Données projet'!$B$16,Paramètres!$A$1:$I$89,5,0)</f>
        <v>186.29520000000005</v>
      </c>
      <c r="FG52" s="14">
        <f t="shared" si="47"/>
        <v>46.71993783530894</v>
      </c>
      <c r="FH52" s="22">
        <f t="shared" si="22"/>
        <v>405.83469839649644</v>
      </c>
      <c r="FI52" s="60">
        <f t="shared" si="23"/>
        <v>699.16803172982975</v>
      </c>
      <c r="FJ52" s="60">
        <f ca="1">AVERAGE(OFFSET($FI$3,0,0,'Données projet'!$E$16+1,1))-AVERAGE(OFFSET($H$3,0,0,'Données projet'!$E$16+1,1))</f>
        <v>440.52623925652182</v>
      </c>
      <c r="FK52" s="60">
        <f t="shared" si="48"/>
        <v>272.91122662088918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>
        <f>VLOOKUP(A52,'Données projet'!$A$243:$I$263,2,0)</f>
        <v>361</v>
      </c>
      <c r="FX52" s="13">
        <f>VLOOKUP(A52,'Données projet'!$A$243:$I$263,9,0)</f>
        <v>17.5</v>
      </c>
      <c r="FY52" s="13">
        <f t="array" ref="FY52">INDEX(FX:FX,MIN(IF(ISNUMBER(FX52:FX248),ROW(FX52:FX248),"")))</f>
        <v>17.5</v>
      </c>
      <c r="FZ52" s="13">
        <f>IF('Données projet'!$A$244&gt;35,FZ51+FY52-GH51,IF(A52&lt;'Données projet'!$A$244,$FW$205^A52,IF(A52='Données projet'!$A$244,'Données projet'!$B$244,FZ51+FY52-GH51)))</f>
        <v>360.99999999999989</v>
      </c>
      <c r="GA52" s="18">
        <f>FZ52*VLOOKUP('Données projet'!$B$17,Paramètres!$A$1:$I$89,3,0)*VLOOKUP('Données projet'!$B$17,Paramètres!$A$1:$I$89,5,0)</f>
        <v>168.94799999999995</v>
      </c>
      <c r="GB52" s="14">
        <f t="shared" si="49"/>
        <v>42.854325527446242</v>
      </c>
      <c r="GC52" s="22">
        <f t="shared" si="25"/>
        <v>368.88905029363542</v>
      </c>
      <c r="GD52" s="60">
        <f t="shared" si="26"/>
        <v>662.22238362696874</v>
      </c>
      <c r="GE52" s="60">
        <f ca="1">AVERAGE(OFFSET($GD$3,0,0,'Données projet'!$E$17+1,1))-AVERAGE(OFFSET($H$3,0,0,'Données projet'!$E$17+1,1))</f>
        <v>317.54276561627643</v>
      </c>
      <c r="GF52" s="60">
        <f t="shared" si="50"/>
        <v>238.92443174298893</v>
      </c>
      <c r="GG52" s="16">
        <f>IF(ISNA(VLOOKUP(A52,'Données projet'!$A$243:$I$263,3,0)),0,VLOOKUP(A52,'Données projet'!$A$243:$I$263,3,0))</f>
        <v>5</v>
      </c>
      <c r="GH52" s="16">
        <f>IF(ISNA(VLOOKUP(A52,'Données projet'!$A$243:$I$263,4,0)),0,VLOOKUP(A52,'Données projet'!$A$243:$I$263,4,0))</f>
        <v>100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>
        <f>GU52*VLOOKUP('Données projet'!$B$18,Paramètres!$A$1:$I$89,3,0)*VLOOKUP('Données projet'!$B$18,Paramètres!$A$1:$I$89,5,0)</f>
        <v>0</v>
      </c>
      <c r="GW52" s="14" t="e">
        <f t="shared" si="51"/>
        <v>#NUM!</v>
      </c>
      <c r="GX52" s="22" t="e">
        <f t="shared" si="28"/>
        <v>#NUM!</v>
      </c>
      <c r="GY52" s="60" t="e">
        <f t="shared" si="29"/>
        <v>#NUM!</v>
      </c>
      <c r="GZ52" s="60">
        <f ca="1">AVERAGE(OFFSET($GY$3,0,0,'Données projet'!$E$18+1,1))-AVERAGE(OFFSET($H$3,0,0,'Données projet'!$E$18+1,1))</f>
        <v>79.868679770907136</v>
      </c>
      <c r="HA52" s="60">
        <f t="shared" si="52"/>
        <v>370.47471103028312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42.648206999653645</v>
      </c>
      <c r="HH52" s="23">
        <f>EXP(-LN(2)/25)*HH51+(1-EXP(-LN(2)/25))/(LN(2)/25)*Calculateur!HC52*Calculateur!HE52*VLOOKUP('Données projet'!$B$18,Paramètres!$A$1:$I$89,3,0)*0.475*44/12</f>
        <v>8.9204071309857866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51.568614130639432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0">
        <f t="shared" si="0"/>
        <v>293.33333333333439</v>
      </c>
      <c r="S53" s="60">
        <f ca="1">AVERAGE(OFFSET($R$3,0,0,'Données projet'!$E$9+1,1))-AVERAGE(OFFSET($H$3,0,0,'Données projet'!$E$9+1,1))</f>
        <v>206.5885410269899</v>
      </c>
      <c r="T53" s="60">
        <f t="shared" si="34"/>
        <v>347.41156847586302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5.6843418860808015E-14</v>
      </c>
      <c r="AJ53" s="14">
        <f>AI53*VLOOKUP('Données projet'!$B$10,Paramètres!$A$1:$I$89,3,0)*VLOOKUP('Données projet'!$B$10,Paramètres!$A$1:$I$89,5,0)</f>
        <v>3.3992364478763198E-14</v>
      </c>
      <c r="AK53" s="14">
        <f t="shared" si="35"/>
        <v>5.790027782444094E-13</v>
      </c>
      <c r="AL53" s="22">
        <f t="shared" si="4"/>
        <v>1.0676332069095257E-12</v>
      </c>
      <c r="AM53" s="60">
        <f t="shared" si="5"/>
        <v>293.33333333333439</v>
      </c>
      <c r="AN53" s="60">
        <f ca="1">AVERAGE(OFFSET($AM$3,0,0,'Données projet'!$E$10+1,1))-AVERAGE(OFFSET($H$3,0,0,'Données projet'!$E$10+1,1))</f>
        <v>206.5885410269899</v>
      </c>
      <c r="AO53" s="60">
        <f t="shared" si="36"/>
        <v>347.41156847586302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73.613939958342101</v>
      </c>
      <c r="AV53" s="23">
        <f>EXP(-LN(2)/25)*AV52+(1-EXP(-LN(2)/25))/(LN(2)/25)*Calculateur!AQ53*Calculateur!AS53*VLOOKUP('Données projet'!$B$10,Paramètres!$A$1:$I$89,3,0)*0.475*44/12</f>
        <v>1.9200938468651507</v>
      </c>
      <c r="AW53" s="23">
        <f>EXP(-LN(2)/2)*AW52+(1-EXP(-LN(2)/2))/(LN(2)/2)*AQ53*AT53*VLOOKUP('Données projet'!$B$10,Paramètres!$A$1:$I$89,3,0)*0.475*44/12</f>
        <v>1.0757017955947652</v>
      </c>
      <c r="AX53" s="23">
        <f t="shared" si="6"/>
        <v>76.609735600802026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179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179.00000000000006</v>
      </c>
      <c r="BE53" s="14">
        <f>BD53*VLOOKUP('Données projet'!$B$11,Paramètres!$A$1:$I$89,3,0)*VLOOKUP('Données projet'!$B$11,Paramètres!$A$1:$I$89,5,0)</f>
        <v>170.33640000000005</v>
      </c>
      <c r="BF53" s="14">
        <f t="shared" si="37"/>
        <v>43.165357324132231</v>
      </c>
      <c r="BG53" s="22">
        <f t="shared" si="7"/>
        <v>371.84889400619704</v>
      </c>
      <c r="BH53" s="60">
        <f t="shared" si="8"/>
        <v>665.1822273395303</v>
      </c>
      <c r="BI53" s="60">
        <f ca="1">AVERAGE(OFFSET($BH$3,0,0,'Données projet'!$E$11+1,1))-AVERAGE(OFFSET($H$3,0,0,'Données projet'!$E$11+1,1))</f>
        <v>389.12604446638119</v>
      </c>
      <c r="BJ53" s="60">
        <f t="shared" si="38"/>
        <v>243.23852967152732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179</v>
      </c>
      <c r="BW53" s="13">
        <f>VLOOKUP(A53,'Données projet'!$A$113:$I$133,9,0)</f>
        <v>8.4</v>
      </c>
      <c r="BX53" s="13">
        <f t="array" ref="BX53">INDEX(BW:BW,MIN(IF(ISNUMBER(BW53:BW249),ROW(BW53:BW249),"")))</f>
        <v>8.4</v>
      </c>
      <c r="BY53" s="13">
        <f>IF('Données projet'!$A$114&gt;35,BY52+BX53-CG52,IF(A53&lt;'Données projet'!$A$114,$BV$205^A53,IF(A53='Données projet'!$A$114,'Données projet'!$B$114,BY52+BX53-CG52)))</f>
        <v>179.00000000000006</v>
      </c>
      <c r="BZ53" s="14">
        <f>BY53*VLOOKUP('Données projet'!$B$12,Paramètres!$A$1:$I$89,3,0)*VLOOKUP('Données projet'!$B$12,Paramètres!$A$1:$I$89,5,0)</f>
        <v>161.95920000000004</v>
      </c>
      <c r="CA53" s="14">
        <f t="shared" si="39"/>
        <v>41.284104935125725</v>
      </c>
      <c r="CB53" s="22">
        <f t="shared" si="10"/>
        <v>353.9820894286774</v>
      </c>
      <c r="CC53" s="60">
        <f t="shared" si="11"/>
        <v>647.31542276201071</v>
      </c>
      <c r="CD53" s="60">
        <f ca="1">AVERAGE(OFFSET($CC$3,0,0,'Données projet'!$E$12+1,1))-AVERAGE(OFFSET($H$3,0,0,'Données projet'!$E$12+1,1))</f>
        <v>371.95849973474657</v>
      </c>
      <c r="CE53" s="60">
        <f t="shared" si="40"/>
        <v>233.32640143610547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21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1.8686606225885562E-2</v>
      </c>
      <c r="CN53" s="24">
        <f t="shared" si="12"/>
        <v>1.8686606225885562E-2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179</v>
      </c>
      <c r="CR53" s="13">
        <f>VLOOKUP(A53,'Données projet'!$A$139:$I$159,9,0)</f>
        <v>8.4</v>
      </c>
      <c r="CS53" s="13">
        <f t="array" ref="CS53">INDEX(CR:CR,MIN(IF(ISNUMBER(CR53:CR249),ROW(CR53:CR249),"")))</f>
        <v>8.4</v>
      </c>
      <c r="CT53" s="13">
        <f>IF('Données projet'!$A$140&gt;35,CT52+CS53-DB52,IF(A53&lt;'Données projet'!$A$140,$CQ$205^A53,IF(A53='Données projet'!$A$140,'Données projet'!$B$140,CT52+CS53-DB52)))</f>
        <v>179.00000000000006</v>
      </c>
      <c r="CU53" s="18">
        <f>CT53*VLOOKUP('Données projet'!$B$13,Paramètres!$A$1:$I$89,3,0)*VLOOKUP('Données projet'!$B$13,Paramètres!$A$1:$I$89,5,0)</f>
        <v>173.12880000000007</v>
      </c>
      <c r="CV53" s="14">
        <f t="shared" si="41"/>
        <v>43.790025187181634</v>
      </c>
      <c r="CW53" s="22">
        <f t="shared" si="13"/>
        <v>377.80028720100813</v>
      </c>
      <c r="CX53" s="60">
        <f t="shared" si="14"/>
        <v>671.13362053434139</v>
      </c>
      <c r="CY53" s="60">
        <f ca="1">AVERAGE(OFFSET($CX$3,0,0,'Données projet'!$E$13+1,1))-AVERAGE(OFFSET($H$3,0,0,'Données projet'!$E$13+1,1))</f>
        <v>394.8445842828649</v>
      </c>
      <c r="CZ53" s="60">
        <f t="shared" si="42"/>
        <v>246.54010105494143</v>
      </c>
      <c r="DA53" s="16">
        <f>IF(ISNA(VLOOKUP(A53,'Données projet'!$A$139:$I$159,3,0)),0,VLOOKUP(A53,'Données projet'!$A$139:$I$159,3,0))</f>
        <v>6</v>
      </c>
      <c r="DB53" s="16">
        <f>IF(ISNA(VLOOKUP(A53,'Données projet'!$A$139:$I$159,4,0)),0,VLOOKUP(A53,'Données projet'!$A$139:$I$159,4,0))</f>
        <v>21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1.9975337689739751E-2</v>
      </c>
      <c r="DI53" s="24">
        <f t="shared" si="15"/>
        <v>1.9975337689739751E-2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165</v>
      </c>
      <c r="DM53" s="13">
        <f>VLOOKUP(A53,'Données projet'!$A$165:$I$185,9,0)</f>
        <v>5.8</v>
      </c>
      <c r="DN53" s="13">
        <f t="array" ref="DN53">INDEX(DM:DM,MIN(IF(ISNUMBER(DM53:DM249),ROW(DM53:DM249),"")))</f>
        <v>5.8</v>
      </c>
      <c r="DO53" s="13">
        <f>IF('Données projet'!$A$166&gt;35,DO52+DN53-DW52,IF(A53&lt;'Données projet'!$A$166,$DL$205^A53,IF(A53='Données projet'!$A$166,'Données projet'!$B$166,DO52+DN53-DW52)))</f>
        <v>165.00000000000006</v>
      </c>
      <c r="DP53" s="18">
        <f>DO53*VLOOKUP('Données projet'!$B$14,Paramètres!$A$1:$I$89,3,0)*VLOOKUP('Données projet'!$B$14,Paramètres!$A$1:$I$89,5,0)</f>
        <v>144.14400000000006</v>
      </c>
      <c r="DQ53" s="14">
        <f t="shared" si="43"/>
        <v>37.244720006976252</v>
      </c>
      <c r="DR53" s="22">
        <f t="shared" si="16"/>
        <v>315.91868734548376</v>
      </c>
      <c r="DS53" s="60">
        <f t="shared" si="17"/>
        <v>609.25202067881708</v>
      </c>
      <c r="DT53" s="60">
        <f ca="1">AVERAGE(OFFSET($DS$3,0,0,'Données projet'!$E$14+1,1))-AVERAGE(OFFSET($H$3,0,0,'Données projet'!$E$14+1,1))</f>
        <v>266.98113257513319</v>
      </c>
      <c r="DU53" s="60">
        <f t="shared" si="44"/>
        <v>275.73257102713393</v>
      </c>
      <c r="DV53" s="16">
        <f>IF(ISNA(VLOOKUP(A53,'Données projet'!$A$165:$I$185,3,0)),0,VLOOKUP(A53,'Données projet'!$A$165:$I$185,3,0))</f>
        <v>7</v>
      </c>
      <c r="DW53" s="16">
        <f>IF(ISNA(VLOOKUP(A53,'Données projet'!$A$165:$I$185,4,0)),0,VLOOKUP(A53,'Données projet'!$A$165:$I$185,4,0))</f>
        <v>19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6.3946978595176658</v>
      </c>
      <c r="EC53" s="23">
        <f>EXP(-LN(2)/2)*EC52+(1-EXP(-LN(2)/2))/(LN(2)/2)*DW53*DZ53*VLOOKUP('Données projet'!$B$14,Paramètres!$A$1:$I$89,3,0)*0.475*44/12</f>
        <v>1.0221287485868463E-2</v>
      </c>
      <c r="ED53" s="24">
        <f t="shared" si="18"/>
        <v>6.4049191470035343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179</v>
      </c>
      <c r="EH53" s="13">
        <f>VLOOKUP(A53,'Données projet'!$A$191:$I$211,9,0)</f>
        <v>8.4</v>
      </c>
      <c r="EI53" s="13">
        <f t="array" ref="EI53">INDEX(EH:EH,MIN(IF(ISNUMBER(EH53:EH249),ROW(EH53:EH249),"")))</f>
        <v>8.4</v>
      </c>
      <c r="EJ53" s="13">
        <f>IF('Données projet'!$A$192&gt;35,EJ52+EI53-ER52,IF(A53&lt;'Données projet'!$A$192,$EG$205^A53,IF(A53='Données projet'!$A$192,'Données projet'!$B$192,EJ52+EI53-ER52)))</f>
        <v>179.00000000000006</v>
      </c>
      <c r="EK53" s="18">
        <f>EJ53*VLOOKUP('Données projet'!$B$15,Paramètres!$A$1:$I$89,3,0)*VLOOKUP('Données projet'!$B$15,Paramètres!$A$1:$I$89,5,0)</f>
        <v>203.84520000000006</v>
      </c>
      <c r="EL53" s="14">
        <f t="shared" si="45"/>
        <v>50.588287419038338</v>
      </c>
      <c r="EM53" s="22">
        <f t="shared" si="19"/>
        <v>443.1383239214918</v>
      </c>
      <c r="EN53" s="60">
        <f t="shared" si="20"/>
        <v>736.47165725482512</v>
      </c>
      <c r="EO53" s="60">
        <f ca="1">AVERAGE(OFFSET($EN$3,0,0,'Données projet'!$E$15+1,1))-AVERAGE(OFFSET($H$3,0,0,'Données projet'!$E$15+1,1))</f>
        <v>457.62828850677369</v>
      </c>
      <c r="EP53" s="60">
        <f t="shared" si="46"/>
        <v>282.78263556175563</v>
      </c>
      <c r="EQ53" s="16">
        <f>IF(ISNA(VLOOKUP(A53,'Données projet'!$A$191:$I$211,3,0)),0,VLOOKUP(A53,'Données projet'!$A$191:$I$211,3,0))</f>
        <v>6</v>
      </c>
      <c r="ER53" s="16">
        <f>IF(ISNA(VLOOKUP(A53,'Données projet'!$A$191:$I$211,4,0)),0,VLOOKUP(A53,'Données projet'!$A$191:$I$211,4,0))</f>
        <v>21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179</v>
      </c>
      <c r="FC53" s="13">
        <f>VLOOKUP(A53,'Données projet'!$A$217:$I$237,9,0)</f>
        <v>8.4</v>
      </c>
      <c r="FD53" s="13">
        <f t="array" ref="FD53">INDEX(FC:FC,MIN(IF(ISNUMBER(FC53:FC249),ROW(FC53:FC249),"")))</f>
        <v>8.4</v>
      </c>
      <c r="FE53" s="13">
        <f>IF('Données projet'!$A$218&gt;35,FE52+FD53-FM52,IF(A53&lt;'Données projet'!$A$218,$FB$205^A53,IF(A53='Données projet'!$A$218,'Données projet'!$B$218,FE52+FD53-FM52)))</f>
        <v>179.00000000000006</v>
      </c>
      <c r="FF53" s="18">
        <f>FE53*VLOOKUP('Données projet'!$B$16,Paramètres!$A$1:$I$89,3,0)*VLOOKUP('Données projet'!$B$16,Paramètres!$A$1:$I$89,5,0)</f>
        <v>195.46800000000005</v>
      </c>
      <c r="FG53" s="14">
        <f t="shared" si="47"/>
        <v>48.746846552216553</v>
      </c>
      <c r="FH53" s="22">
        <f t="shared" si="22"/>
        <v>425.34085774511055</v>
      </c>
      <c r="FI53" s="60">
        <f t="shared" si="23"/>
        <v>718.67419107844387</v>
      </c>
      <c r="FJ53" s="60">
        <f ca="1">AVERAGE(OFFSET($FI$3,0,0,'Données projet'!$E$16+1,1))-AVERAGE(OFFSET($H$3,0,0,'Données projet'!$E$16+1,1))</f>
        <v>440.52623925652182</v>
      </c>
      <c r="FK53" s="60">
        <f t="shared" si="48"/>
        <v>272.91122662088918</v>
      </c>
      <c r="FL53" s="16">
        <f>IF(ISNA(VLOOKUP(A53,'Données projet'!$A$217:$I$237,3,0)),0,VLOOKUP(A53,'Données projet'!$A$217:$I$237,3,0))</f>
        <v>6</v>
      </c>
      <c r="FM53" s="16">
        <f>IF(ISNA(VLOOKUP(A53,'Données projet'!$A$217:$I$237,4,0)),0,VLOOKUP(A53,'Données projet'!$A$217:$I$237,4,0))</f>
        <v>21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278</v>
      </c>
      <c r="FX53" s="13">
        <f>VLOOKUP(A53,'Données projet'!$A$243:$I$263,9,0)</f>
        <v>17</v>
      </c>
      <c r="FY53" s="13">
        <f t="array" ref="FY53">INDEX(FX:FX,MIN(IF(ISNUMBER(FX53:FX249),ROW(FX53:FX249),"")))</f>
        <v>17</v>
      </c>
      <c r="FZ53" s="13">
        <f>IF('Données projet'!$A$244&gt;35,FZ52+FY53-GH52,IF(A53&lt;'Données projet'!$A$244,$FW$205^A53,IF(A53='Données projet'!$A$244,'Données projet'!$B$244,FZ52+FY53-GH52)))</f>
        <v>277.99999999999989</v>
      </c>
      <c r="GA53" s="18">
        <f>FZ53*VLOOKUP('Données projet'!$B$17,Paramètres!$A$1:$I$89,3,0)*VLOOKUP('Données projet'!$B$17,Paramètres!$A$1:$I$89,5,0)</f>
        <v>130.10399999999996</v>
      </c>
      <c r="GB53" s="14">
        <f t="shared" si="49"/>
        <v>34.020389560268086</v>
      </c>
      <c r="GC53" s="22">
        <f t="shared" si="25"/>
        <v>285.84997848413349</v>
      </c>
      <c r="GD53" s="60">
        <f t="shared" si="26"/>
        <v>579.1833118174668</v>
      </c>
      <c r="GE53" s="60">
        <f ca="1">AVERAGE(OFFSET($GD$3,0,0,'Données projet'!$E$17+1,1))-AVERAGE(OFFSET($H$3,0,0,'Données projet'!$E$17+1,1))</f>
        <v>317.54276561627643</v>
      </c>
      <c r="GF53" s="60">
        <f t="shared" si="50"/>
        <v>238.92443174298893</v>
      </c>
      <c r="GG53" s="16">
        <f>IF(ISNA(VLOOKUP(A53,'Données projet'!$A$243:$I$263,3,0)),0,VLOOKUP(A53,'Données projet'!$A$243:$I$263,3,0))</f>
        <v>6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>
        <f>GU53*VLOOKUP('Données projet'!$B$18,Paramètres!$A$1:$I$89,3,0)*VLOOKUP('Données projet'!$B$18,Paramètres!$A$1:$I$89,5,0)</f>
        <v>0</v>
      </c>
      <c r="GW53" s="14" t="e">
        <f t="shared" si="51"/>
        <v>#NUM!</v>
      </c>
      <c r="GX53" s="22" t="e">
        <f t="shared" si="28"/>
        <v>#NUM!</v>
      </c>
      <c r="GY53" s="60" t="e">
        <f t="shared" si="29"/>
        <v>#NUM!</v>
      </c>
      <c r="GZ53" s="60">
        <f ca="1">AVERAGE(OFFSET($GY$3,0,0,'Données projet'!$E$18+1,1))-AVERAGE(OFFSET($H$3,0,0,'Données projet'!$E$18+1,1))</f>
        <v>79.868679770907136</v>
      </c>
      <c r="HA53" s="60">
        <f t="shared" si="52"/>
        <v>370.47471103028312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41.811901673228149</v>
      </c>
      <c r="HH53" s="23">
        <f>EXP(-LN(2)/25)*HH52+(1-EXP(-LN(2)/25))/(LN(2)/25)*Calculateur!HC53*Calculateur!HE53*VLOOKUP('Données projet'!$B$18,Paramètres!$A$1:$I$89,3,0)*0.475*44/12</f>
        <v>8.676478128885158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50.488379802113307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0">
        <f t="shared" si="0"/>
        <v>293.33333333333439</v>
      </c>
      <c r="S54" s="60">
        <f ca="1">AVERAGE(OFFSET($R$3,0,0,'Données projet'!$E$9+1,1))-AVERAGE(OFFSET($H$3,0,0,'Données projet'!$E$9+1,1))</f>
        <v>206.5885410269899</v>
      </c>
      <c r="T54" s="60">
        <f t="shared" si="34"/>
        <v>347.41156847586302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3.3992364478763198E-14</v>
      </c>
      <c r="AK54" s="14">
        <f t="shared" si="35"/>
        <v>5.790027782444094E-13</v>
      </c>
      <c r="AL54" s="22">
        <f t="shared" si="4"/>
        <v>1.0676332069095257E-12</v>
      </c>
      <c r="AM54" s="60">
        <f t="shared" si="5"/>
        <v>293.33333333333439</v>
      </c>
      <c r="AN54" s="60">
        <f ca="1">AVERAGE(OFFSET($AM$3,0,0,'Données projet'!$E$10+1,1))-AVERAGE(OFFSET($H$3,0,0,'Données projet'!$E$10+1,1))</f>
        <v>206.5885410269899</v>
      </c>
      <c r="AO54" s="60">
        <f t="shared" si="36"/>
        <v>347.41156847586302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72.170415495828877</v>
      </c>
      <c r="AV54" s="23">
        <f>EXP(-LN(2)/25)*AV53+(1-EXP(-LN(2)/25))/(LN(2)/25)*Calculateur!AQ54*Calculateur!AS54*VLOOKUP('Données projet'!$B$10,Paramètres!$A$1:$I$89,3,0)*0.475*44/12</f>
        <v>1.8675887796492763</v>
      </c>
      <c r="AW54" s="23">
        <f>EXP(-LN(2)/2)*AW53+(1-EXP(-LN(2)/2))/(LN(2)/2)*AQ54*AT54*VLOOKUP('Données projet'!$B$10,Paramètres!$A$1:$I$89,3,0)*0.475*44/12</f>
        <v>0.76063603419960391</v>
      </c>
      <c r="AX54" s="23">
        <f t="shared" si="6"/>
        <v>74.798640309677765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166.00000000000006</v>
      </c>
      <c r="BE54" s="14">
        <f>BD54*VLOOKUP('Données projet'!$B$11,Paramètres!$A$1:$I$89,3,0)*VLOOKUP('Données projet'!$B$11,Paramètres!$A$1:$I$89,5,0)</f>
        <v>157.96560000000005</v>
      </c>
      <c r="BF54" s="14">
        <f t="shared" si="37"/>
        <v>40.38330962462819</v>
      </c>
      <c r="BG54" s="22">
        <f t="shared" si="7"/>
        <v>345.45768426289419</v>
      </c>
      <c r="BH54" s="60">
        <f t="shared" si="8"/>
        <v>638.79101759622745</v>
      </c>
      <c r="BI54" s="60">
        <f ca="1">AVERAGE(OFFSET($BH$3,0,0,'Données projet'!$E$11+1,1))-AVERAGE(OFFSET($H$3,0,0,'Données projet'!$E$11+1,1))</f>
        <v>389.12604446638119</v>
      </c>
      <c r="BJ54" s="60">
        <f t="shared" si="38"/>
        <v>243.23852967152732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166.00000000000006</v>
      </c>
      <c r="BZ54" s="14">
        <f>BY54*VLOOKUP('Données projet'!$B$12,Paramètres!$A$1:$I$89,3,0)*VLOOKUP('Données projet'!$B$12,Paramètres!$A$1:$I$89,5,0)</f>
        <v>150.19680000000005</v>
      </c>
      <c r="CA54" s="14">
        <f t="shared" si="39"/>
        <v>38.623305713694506</v>
      </c>
      <c r="CB54" s="22">
        <f t="shared" si="10"/>
        <v>328.86168411801799</v>
      </c>
      <c r="CC54" s="60">
        <f t="shared" si="11"/>
        <v>622.1950174513513</v>
      </c>
      <c r="CD54" s="60">
        <f ca="1">AVERAGE(OFFSET($CC$3,0,0,'Données projet'!$E$12+1,1))-AVERAGE(OFFSET($H$3,0,0,'Données projet'!$E$12+1,1))</f>
        <v>371.95849973474657</v>
      </c>
      <c r="CE54" s="60">
        <f t="shared" si="40"/>
        <v>233.32640143610547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1.3213425979686439E-2</v>
      </c>
      <c r="CN54" s="24">
        <f t="shared" si="12"/>
        <v>1.3213425979686439E-2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166.00000000000006</v>
      </c>
      <c r="CU54" s="18">
        <f>CT54*VLOOKUP('Données projet'!$B$13,Paramètres!$A$1:$I$89,3,0)*VLOOKUP('Données projet'!$B$13,Paramètres!$A$1:$I$89,5,0)</f>
        <v>160.55520000000004</v>
      </c>
      <c r="CV54" s="14">
        <f t="shared" si="41"/>
        <v>40.96771705896618</v>
      </c>
      <c r="CW54" s="22">
        <f t="shared" si="13"/>
        <v>350.98574721103279</v>
      </c>
      <c r="CX54" s="60">
        <f t="shared" si="14"/>
        <v>644.3190805443661</v>
      </c>
      <c r="CY54" s="60">
        <f ca="1">AVERAGE(OFFSET($CX$3,0,0,'Données projet'!$E$13+1,1))-AVERAGE(OFFSET($H$3,0,0,'Données projet'!$E$13+1,1))</f>
        <v>394.8445842828649</v>
      </c>
      <c r="CZ54" s="60">
        <f t="shared" si="42"/>
        <v>246.54010105494143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1.4124696736906202E-2</v>
      </c>
      <c r="DI54" s="24">
        <f t="shared" si="15"/>
        <v>1.4124696736906202E-2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5.2</v>
      </c>
      <c r="DO54" s="13">
        <f>IF('Données projet'!$A$166&gt;35,DO53+DN54-DW53,IF(A54&lt;'Données projet'!$A$166,$DL$205^A54,IF(A54='Données projet'!$A$166,'Données projet'!$B$166,DO53+DN54-DW53)))</f>
        <v>151.20000000000005</v>
      </c>
      <c r="DP54" s="18">
        <f>DO54*VLOOKUP('Données projet'!$B$14,Paramètres!$A$1:$I$89,3,0)*VLOOKUP('Données projet'!$B$14,Paramètres!$A$1:$I$89,5,0)</f>
        <v>132.08832000000007</v>
      </c>
      <c r="DQ54" s="14">
        <f t="shared" si="43"/>
        <v>34.478460296570596</v>
      </c>
      <c r="DR54" s="22">
        <f t="shared" si="16"/>
        <v>290.10380901652724</v>
      </c>
      <c r="DS54" s="60">
        <f t="shared" si="17"/>
        <v>583.43714234986055</v>
      </c>
      <c r="DT54" s="60">
        <f ca="1">AVERAGE(OFFSET($DS$3,0,0,'Données projet'!$E$14+1,1))-AVERAGE(OFFSET($H$3,0,0,'Données projet'!$E$14+1,1))</f>
        <v>266.98113257513319</v>
      </c>
      <c r="DU54" s="60">
        <f t="shared" si="44"/>
        <v>275.73257102713393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6.2198345102666099</v>
      </c>
      <c r="EC54" s="23">
        <f>EXP(-LN(2)/2)*EC53+(1-EXP(-LN(2)/2))/(LN(2)/2)*DW54*DZ54*VLOOKUP('Données projet'!$B$14,Paramètres!$A$1:$I$89,3,0)*0.475*44/12</f>
        <v>7.2275416937147875E-3</v>
      </c>
      <c r="ED54" s="24">
        <f t="shared" si="18"/>
        <v>6.227062051960325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</v>
      </c>
      <c r="EJ54" s="13">
        <f>IF('Données projet'!$A$192&gt;35,EJ53+EI54-ER53,IF(A54&lt;'Données projet'!$A$192,$EG$205^A54,IF(A54='Données projet'!$A$192,'Données projet'!$B$192,EJ53+EI54-ER53)))</f>
        <v>166.00000000000006</v>
      </c>
      <c r="EK54" s="18">
        <f>EJ54*VLOOKUP('Données projet'!$B$15,Paramètres!$A$1:$I$89,3,0)*VLOOKUP('Données projet'!$B$15,Paramètres!$A$1:$I$89,5,0)</f>
        <v>189.04080000000008</v>
      </c>
      <c r="EL54" s="14">
        <f t="shared" si="45"/>
        <v>47.327824924099076</v>
      </c>
      <c r="EM54" s="22">
        <f t="shared" si="19"/>
        <v>411.67535507613934</v>
      </c>
      <c r="EN54" s="60">
        <f t="shared" si="20"/>
        <v>705.0086884094726</v>
      </c>
      <c r="EO54" s="60">
        <f ca="1">AVERAGE(OFFSET($EN$3,0,0,'Données projet'!$E$15+1,1))-AVERAGE(OFFSET($H$3,0,0,'Données projet'!$E$15+1,1))</f>
        <v>457.62828850677369</v>
      </c>
      <c r="EP54" s="60">
        <f t="shared" si="46"/>
        <v>282.78263556175563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8</v>
      </c>
      <c r="FE54" s="13">
        <f>IF('Données projet'!$A$218&gt;35,FE53+FD54-FM53,IF(A54&lt;'Données projet'!$A$218,$FB$205^A54,IF(A54='Données projet'!$A$218,'Données projet'!$B$218,FE53+FD54-FM53)))</f>
        <v>166.00000000000006</v>
      </c>
      <c r="FF54" s="18">
        <f>FE54*VLOOKUP('Données projet'!$B$16,Paramètres!$A$1:$I$89,3,0)*VLOOKUP('Données projet'!$B$16,Paramètres!$A$1:$I$89,5,0)</f>
        <v>181.27200000000005</v>
      </c>
      <c r="FG54" s="14">
        <f t="shared" si="47"/>
        <v>45.605066645465861</v>
      </c>
      <c r="FH54" s="22">
        <f t="shared" si="22"/>
        <v>395.14422440751974</v>
      </c>
      <c r="FI54" s="60">
        <f t="shared" si="23"/>
        <v>688.47755774085306</v>
      </c>
      <c r="FJ54" s="60">
        <f ca="1">AVERAGE(OFFSET($FI$3,0,0,'Données projet'!$E$16+1,1))-AVERAGE(OFFSET($H$3,0,0,'Données projet'!$E$16+1,1))</f>
        <v>440.52623925652182</v>
      </c>
      <c r="FK54" s="60">
        <f t="shared" si="48"/>
        <v>272.91122662088918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17</v>
      </c>
      <c r="FZ54" s="13">
        <f>IF('Données projet'!$A$244&gt;35,FZ53+FY54-GH53,IF(A54&lt;'Données projet'!$A$244,$FW$205^A54,IF(A54='Données projet'!$A$244,'Données projet'!$B$244,FZ53+FY54-GH53)))</f>
        <v>294.99999999999989</v>
      </c>
      <c r="GA54" s="18">
        <f>FZ54*VLOOKUP('Données projet'!$B$17,Paramètres!$A$1:$I$89,3,0)*VLOOKUP('Données projet'!$B$17,Paramètres!$A$1:$I$89,5,0)</f>
        <v>138.05999999999995</v>
      </c>
      <c r="GB54" s="14">
        <f t="shared" si="49"/>
        <v>35.85221845159689</v>
      </c>
      <c r="GC54" s="22">
        <f t="shared" si="25"/>
        <v>302.89711380319778</v>
      </c>
      <c r="GD54" s="60">
        <f t="shared" si="26"/>
        <v>596.2304471365311</v>
      </c>
      <c r="GE54" s="60">
        <f ca="1">AVERAGE(OFFSET($GD$3,0,0,'Données projet'!$E$17+1,1))-AVERAGE(OFFSET($H$3,0,0,'Données projet'!$E$17+1,1))</f>
        <v>317.54276561627643</v>
      </c>
      <c r="GF54" s="60">
        <f t="shared" si="50"/>
        <v>238.92443174298893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>
        <f>GU54*VLOOKUP('Données projet'!$B$18,Paramètres!$A$1:$I$89,3,0)*VLOOKUP('Données projet'!$B$18,Paramètres!$A$1:$I$89,5,0)</f>
        <v>0</v>
      </c>
      <c r="GW54" s="14" t="e">
        <f t="shared" si="51"/>
        <v>#NUM!</v>
      </c>
      <c r="GX54" s="22" t="e">
        <f t="shared" si="28"/>
        <v>#NUM!</v>
      </c>
      <c r="GY54" s="60" t="e">
        <f t="shared" si="29"/>
        <v>#NUM!</v>
      </c>
      <c r="GZ54" s="60">
        <f ca="1">AVERAGE(OFFSET($GY$3,0,0,'Données projet'!$E$18+1,1))-AVERAGE(OFFSET($H$3,0,0,'Données projet'!$E$18+1,1))</f>
        <v>79.868679770907136</v>
      </c>
      <c r="HA54" s="60">
        <f t="shared" si="52"/>
        <v>370.47471103028312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40.991995784157979</v>
      </c>
      <c r="HH54" s="23">
        <f>EXP(-LN(2)/25)*HH53+(1-EXP(-LN(2)/25))/(LN(2)/25)*Calculateur!HC54*Calculateur!HE54*VLOOKUP('Données projet'!$B$18,Paramètres!$A$1:$I$89,3,0)*0.475*44/12</f>
        <v>8.4392193781746396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49.43121516233262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0">
        <f t="shared" si="0"/>
        <v>293.33333333333439</v>
      </c>
      <c r="S55" s="60">
        <f ca="1">AVERAGE(OFFSET($R$3,0,0,'Données projet'!$E$9+1,1))-AVERAGE(OFFSET($H$3,0,0,'Données projet'!$E$9+1,1))</f>
        <v>206.5885410269899</v>
      </c>
      <c r="T55" s="60">
        <f t="shared" si="34"/>
        <v>347.41156847586302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3.3992364478763198E-14</v>
      </c>
      <c r="AK55" s="14">
        <f t="shared" si="35"/>
        <v>5.790027782444094E-13</v>
      </c>
      <c r="AL55" s="22">
        <f t="shared" si="4"/>
        <v>1.0676332069095257E-12</v>
      </c>
      <c r="AM55" s="60">
        <f t="shared" si="5"/>
        <v>293.33333333333439</v>
      </c>
      <c r="AN55" s="60">
        <f ca="1">AVERAGE(OFFSET($AM$3,0,0,'Données projet'!$E$10+1,1))-AVERAGE(OFFSET($H$3,0,0,'Données projet'!$E$10+1,1))</f>
        <v>206.5885410269899</v>
      </c>
      <c r="AO55" s="60">
        <f t="shared" si="36"/>
        <v>347.41156847586302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70.755197667562555</v>
      </c>
      <c r="AV55" s="23">
        <f>EXP(-LN(2)/25)*AV54+(1-EXP(-LN(2)/25))/(LN(2)/25)*Calculateur!AQ55*Calculateur!AS55*VLOOKUP('Données projet'!$B$10,Paramètres!$A$1:$I$89,3,0)*0.475*44/12</f>
        <v>1.8165194662575412</v>
      </c>
      <c r="AW55" s="23">
        <f>EXP(-LN(2)/2)*AW54+(1-EXP(-LN(2)/2))/(LN(2)/2)*AQ55*AT55*VLOOKUP('Données projet'!$B$10,Paramètres!$A$1:$I$89,3,0)*0.475*44/12</f>
        <v>0.5378508977973826</v>
      </c>
      <c r="AX55" s="23">
        <f t="shared" si="6"/>
        <v>73.109568031617485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174.00000000000006</v>
      </c>
      <c r="BE55" s="14">
        <f>BD55*VLOOKUP('Données projet'!$B$11,Paramètres!$A$1:$I$89,3,0)*VLOOKUP('Données projet'!$B$11,Paramètres!$A$1:$I$89,5,0)</f>
        <v>165.57840000000004</v>
      </c>
      <c r="BF55" s="14">
        <f t="shared" si="37"/>
        <v>42.098218509199697</v>
      </c>
      <c r="BG55" s="22">
        <f t="shared" si="7"/>
        <v>361.70344390352284</v>
      </c>
      <c r="BH55" s="60">
        <f t="shared" si="8"/>
        <v>655.0367772368561</v>
      </c>
      <c r="BI55" s="60">
        <f ca="1">AVERAGE(OFFSET($BH$3,0,0,'Données projet'!$E$11+1,1))-AVERAGE(OFFSET($H$3,0,0,'Données projet'!$E$11+1,1))</f>
        <v>389.12604446638119</v>
      </c>
      <c r="BJ55" s="60">
        <f t="shared" si="38"/>
        <v>243.23852967152732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174.00000000000006</v>
      </c>
      <c r="BZ55" s="14">
        <f>BY55*VLOOKUP('Données projet'!$B$12,Paramètres!$A$1:$I$89,3,0)*VLOOKUP('Données projet'!$B$12,Paramètres!$A$1:$I$89,5,0)</f>
        <v>157.43520000000007</v>
      </c>
      <c r="CA55" s="14">
        <f t="shared" si="39"/>
        <v>40.263474653179919</v>
      </c>
      <c r="CB55" s="22">
        <f t="shared" si="10"/>
        <v>344.32519168762178</v>
      </c>
      <c r="CC55" s="60">
        <f t="shared" si="11"/>
        <v>637.65852502095504</v>
      </c>
      <c r="CD55" s="60">
        <f ca="1">AVERAGE(OFFSET($CC$3,0,0,'Données projet'!$E$12+1,1))-AVERAGE(OFFSET($H$3,0,0,'Données projet'!$E$12+1,1))</f>
        <v>371.95849973474657</v>
      </c>
      <c r="CE55" s="60">
        <f t="shared" si="40"/>
        <v>233.32640143610547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9.3433031129427808E-3</v>
      </c>
      <c r="CN55" s="24">
        <f t="shared" si="12"/>
        <v>9.3433031129427808E-3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174.00000000000006</v>
      </c>
      <c r="CU55" s="18">
        <f>CT55*VLOOKUP('Données projet'!$B$13,Paramètres!$A$1:$I$89,3,0)*VLOOKUP('Données projet'!$B$13,Paramètres!$A$1:$I$89,5,0)</f>
        <v>168.29280000000006</v>
      </c>
      <c r="CV55" s="14">
        <f t="shared" si="41"/>
        <v>42.707443263135104</v>
      </c>
      <c r="CW55" s="22">
        <f t="shared" si="13"/>
        <v>367.49209034996039</v>
      </c>
      <c r="CX55" s="60">
        <f t="shared" si="14"/>
        <v>660.82542368329371</v>
      </c>
      <c r="CY55" s="60">
        <f ca="1">AVERAGE(OFFSET($CX$3,0,0,'Données projet'!$E$13+1,1))-AVERAGE(OFFSET($H$3,0,0,'Données projet'!$E$13+1,1))</f>
        <v>394.8445842828649</v>
      </c>
      <c r="CZ55" s="60">
        <f t="shared" si="42"/>
        <v>246.54010105494143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9.9876688448698753E-3</v>
      </c>
      <c r="DI55" s="24">
        <f t="shared" si="15"/>
        <v>9.9876688448698753E-3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5.2</v>
      </c>
      <c r="DO55" s="13">
        <f>IF('Données projet'!$A$166&gt;35,DO54+DN55-DW54,IF(A55&lt;'Données projet'!$A$166,$DL$205^A55,IF(A55='Données projet'!$A$166,'Données projet'!$B$166,DO54+DN55-DW54)))</f>
        <v>156.40000000000003</v>
      </c>
      <c r="DP55" s="18">
        <f>DO55*VLOOKUP('Données projet'!$B$14,Paramètres!$A$1:$I$89,3,0)*VLOOKUP('Données projet'!$B$14,Paramètres!$A$1:$I$89,5,0)</f>
        <v>136.63104000000004</v>
      </c>
      <c r="DQ55" s="14">
        <f t="shared" si="43"/>
        <v>35.52413336387999</v>
      </c>
      <c r="DR55" s="22">
        <f t="shared" si="16"/>
        <v>299.83692694209105</v>
      </c>
      <c r="DS55" s="60">
        <f t="shared" si="17"/>
        <v>593.17026027542443</v>
      </c>
      <c r="DT55" s="60">
        <f ca="1">AVERAGE(OFFSET($DS$3,0,0,'Données projet'!$E$14+1,1))-AVERAGE(OFFSET($H$3,0,0,'Données projet'!$E$14+1,1))</f>
        <v>266.98113257513319</v>
      </c>
      <c r="DU55" s="60">
        <f t="shared" si="44"/>
        <v>275.73257102713393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6.0497528084964882</v>
      </c>
      <c r="EC55" s="23">
        <f>EXP(-LN(2)/2)*EC54+(1-EXP(-LN(2)/2))/(LN(2)/2)*DW55*DZ55*VLOOKUP('Données projet'!$B$14,Paramètres!$A$1:$I$89,3,0)*0.475*44/12</f>
        <v>5.1106437429342313E-3</v>
      </c>
      <c r="ED55" s="24">
        <f t="shared" si="18"/>
        <v>6.054863452239422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</v>
      </c>
      <c r="EJ55" s="13">
        <f>IF('Données projet'!$A$192&gt;35,EJ54+EI55-ER54,IF(A55&lt;'Données projet'!$A$192,$EG$205^A55,IF(A55='Données projet'!$A$192,'Données projet'!$B$192,EJ54+EI55-ER54)))</f>
        <v>174.00000000000006</v>
      </c>
      <c r="EK55" s="18">
        <f>EJ55*VLOOKUP('Données projet'!$B$15,Paramètres!$A$1:$I$89,3,0)*VLOOKUP('Données projet'!$B$15,Paramètres!$A$1:$I$89,5,0)</f>
        <v>198.15120000000007</v>
      </c>
      <c r="EL55" s="14">
        <f t="shared" si="45"/>
        <v>49.337638092068957</v>
      </c>
      <c r="EM55" s="22">
        <f t="shared" si="19"/>
        <v>431.04305967702021</v>
      </c>
      <c r="EN55" s="60">
        <f t="shared" si="20"/>
        <v>724.37639301035347</v>
      </c>
      <c r="EO55" s="60">
        <f ca="1">AVERAGE(OFFSET($EN$3,0,0,'Données projet'!$E$15+1,1))-AVERAGE(OFFSET($H$3,0,0,'Données projet'!$E$15+1,1))</f>
        <v>457.62828850677369</v>
      </c>
      <c r="EP55" s="60">
        <f t="shared" si="46"/>
        <v>282.78263556175563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8</v>
      </c>
      <c r="FE55" s="13">
        <f>IF('Données projet'!$A$218&gt;35,FE54+FD55-FM54,IF(A55&lt;'Données projet'!$A$218,$FB$205^A55,IF(A55='Données projet'!$A$218,'Données projet'!$B$218,FE54+FD55-FM54)))</f>
        <v>174.00000000000006</v>
      </c>
      <c r="FF55" s="18">
        <f>FE55*VLOOKUP('Données projet'!$B$16,Paramètres!$A$1:$I$89,3,0)*VLOOKUP('Données projet'!$B$16,Paramètres!$A$1:$I$89,5,0)</f>
        <v>190.00800000000004</v>
      </c>
      <c r="FG55" s="14">
        <f t="shared" si="47"/>
        <v>47.541721533308205</v>
      </c>
      <c r="FH55" s="22">
        <f t="shared" si="22"/>
        <v>413.73243167051174</v>
      </c>
      <c r="FI55" s="60">
        <f t="shared" si="23"/>
        <v>707.06576500384506</v>
      </c>
      <c r="FJ55" s="60">
        <f ca="1">AVERAGE(OFFSET($FI$3,0,0,'Données projet'!$E$16+1,1))-AVERAGE(OFFSET($H$3,0,0,'Données projet'!$E$16+1,1))</f>
        <v>440.52623925652182</v>
      </c>
      <c r="FK55" s="60">
        <f t="shared" si="48"/>
        <v>272.91122662088918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17</v>
      </c>
      <c r="FZ55" s="13">
        <f>IF('Données projet'!$A$244&gt;35,FZ54+FY55-GH54,IF(A55&lt;'Données projet'!$A$244,$FW$205^A55,IF(A55='Données projet'!$A$244,'Données projet'!$B$244,FZ54+FY55-GH54)))</f>
        <v>311.99999999999989</v>
      </c>
      <c r="GA55" s="18">
        <f>FZ55*VLOOKUP('Données projet'!$B$17,Paramètres!$A$1:$I$89,3,0)*VLOOKUP('Données projet'!$B$17,Paramètres!$A$1:$I$89,5,0)</f>
        <v>146.01599999999993</v>
      </c>
      <c r="GB55" s="14">
        <f t="shared" si="49"/>
        <v>37.671793767891103</v>
      </c>
      <c r="GC55" s="22">
        <f t="shared" si="25"/>
        <v>319.92290747907685</v>
      </c>
      <c r="GD55" s="60">
        <f t="shared" si="26"/>
        <v>613.25624081241017</v>
      </c>
      <c r="GE55" s="60">
        <f ca="1">AVERAGE(OFFSET($GD$3,0,0,'Données projet'!$E$17+1,1))-AVERAGE(OFFSET($H$3,0,0,'Données projet'!$E$17+1,1))</f>
        <v>317.54276561627643</v>
      </c>
      <c r="GF55" s="60">
        <f t="shared" si="50"/>
        <v>238.92443174298893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>
        <f>GU55*VLOOKUP('Données projet'!$B$18,Paramètres!$A$1:$I$89,3,0)*VLOOKUP('Données projet'!$B$18,Paramètres!$A$1:$I$89,5,0)</f>
        <v>0</v>
      </c>
      <c r="GW55" s="14" t="e">
        <f t="shared" si="51"/>
        <v>#NUM!</v>
      </c>
      <c r="GX55" s="22" t="e">
        <f t="shared" si="28"/>
        <v>#NUM!</v>
      </c>
      <c r="GY55" s="60" t="e">
        <f t="shared" si="29"/>
        <v>#NUM!</v>
      </c>
      <c r="GZ55" s="60">
        <f ca="1">AVERAGE(OFFSET($GY$3,0,0,'Données projet'!$E$18+1,1))-AVERAGE(OFFSET($H$3,0,0,'Données projet'!$E$18+1,1))</f>
        <v>79.868679770907136</v>
      </c>
      <c r="HA55" s="60">
        <f t="shared" si="52"/>
        <v>370.47471103028312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40.188167749479263</v>
      </c>
      <c r="HH55" s="23">
        <f>EXP(-LN(2)/25)*HH54+(1-EXP(-LN(2)/25))/(LN(2)/25)*Calculateur!HC55*Calculateur!HE55*VLOOKUP('Données projet'!$B$18,Paramètres!$A$1:$I$89,3,0)*0.475*44/12</f>
        <v>8.2084484804791948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48.396616229958454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0">
        <f t="shared" si="0"/>
        <v>293.33333333333439</v>
      </c>
      <c r="S56" s="60">
        <f ca="1">AVERAGE(OFFSET($R$3,0,0,'Données projet'!$E$9+1,1))-AVERAGE(OFFSET($H$3,0,0,'Données projet'!$E$9+1,1))</f>
        <v>206.5885410269899</v>
      </c>
      <c r="T56" s="60">
        <f t="shared" si="34"/>
        <v>347.41156847586302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3.3992364478763198E-14</v>
      </c>
      <c r="AK56" s="14">
        <f t="shared" si="35"/>
        <v>5.790027782444094E-13</v>
      </c>
      <c r="AL56" s="22">
        <f t="shared" si="4"/>
        <v>1.0676332069095257E-12</v>
      </c>
      <c r="AM56" s="60">
        <f t="shared" si="5"/>
        <v>293.33333333333439</v>
      </c>
      <c r="AN56" s="60">
        <f ca="1">AVERAGE(OFFSET($AM$3,0,0,'Données projet'!$E$10+1,1))-AVERAGE(OFFSET($H$3,0,0,'Données projet'!$E$10+1,1))</f>
        <v>206.5885410269899</v>
      </c>
      <c r="AO56" s="60">
        <f t="shared" si="36"/>
        <v>347.41156847586302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69.367731397710884</v>
      </c>
      <c r="AV56" s="23">
        <f>EXP(-LN(2)/25)*AV55+(1-EXP(-LN(2)/25))/(LN(2)/25)*Calculateur!AQ56*Calculateur!AS56*VLOOKUP('Données projet'!$B$10,Paramètres!$A$1:$I$89,3,0)*0.475*44/12</f>
        <v>1.7668466459261218</v>
      </c>
      <c r="AW56" s="23">
        <f>EXP(-LN(2)/2)*AW55+(1-EXP(-LN(2)/2))/(LN(2)/2)*AQ56*AT56*VLOOKUP('Données projet'!$B$10,Paramètres!$A$1:$I$89,3,0)*0.475*44/12</f>
        <v>0.38031801709980195</v>
      </c>
      <c r="AX56" s="23">
        <f t="shared" si="6"/>
        <v>71.514896060736802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182.00000000000006</v>
      </c>
      <c r="BE56" s="14">
        <f>BD56*VLOOKUP('Données projet'!$B$11,Paramètres!$A$1:$I$89,3,0)*VLOOKUP('Données projet'!$B$11,Paramètres!$A$1:$I$89,5,0)</f>
        <v>173.19120000000007</v>
      </c>
      <c r="BF56" s="14">
        <f t="shared" si="37"/>
        <v>43.803970782681198</v>
      </c>
      <c r="BG56" s="22">
        <f t="shared" si="7"/>
        <v>377.93325577983654</v>
      </c>
      <c r="BH56" s="60">
        <f t="shared" si="8"/>
        <v>671.26658911316986</v>
      </c>
      <c r="BI56" s="60">
        <f ca="1">AVERAGE(OFFSET($BH$3,0,0,'Données projet'!$E$11+1,1))-AVERAGE(OFFSET($H$3,0,0,'Données projet'!$E$11+1,1))</f>
        <v>389.12604446638119</v>
      </c>
      <c r="BJ56" s="60">
        <f t="shared" si="38"/>
        <v>243.23852967152732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182.00000000000006</v>
      </c>
      <c r="BZ56" s="14">
        <f>BY56*VLOOKUP('Données projet'!$B$12,Paramètres!$A$1:$I$89,3,0)*VLOOKUP('Données projet'!$B$12,Paramètres!$A$1:$I$89,5,0)</f>
        <v>164.67360000000005</v>
      </c>
      <c r="CA56" s="14">
        <f t="shared" si="39"/>
        <v>41.894886049197019</v>
      </c>
      <c r="CB56" s="22">
        <f t="shared" si="10"/>
        <v>359.77344653568485</v>
      </c>
      <c r="CC56" s="60">
        <f t="shared" si="11"/>
        <v>653.10677986901817</v>
      </c>
      <c r="CD56" s="60">
        <f ca="1">AVERAGE(OFFSET($CC$3,0,0,'Données projet'!$E$12+1,1))-AVERAGE(OFFSET($H$3,0,0,'Données projet'!$E$12+1,1))</f>
        <v>371.95849973474657</v>
      </c>
      <c r="CE56" s="60">
        <f t="shared" si="40"/>
        <v>233.32640143610547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6.6067129898432194E-3</v>
      </c>
      <c r="CN56" s="24">
        <f t="shared" si="12"/>
        <v>6.6067129898432194E-3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182.00000000000006</v>
      </c>
      <c r="CU56" s="18">
        <f>CT56*VLOOKUP('Données projet'!$B$13,Paramètres!$A$1:$I$89,3,0)*VLOOKUP('Données projet'!$B$13,Paramètres!$A$1:$I$89,5,0)</f>
        <v>176.03040000000004</v>
      </c>
      <c r="CV56" s="14">
        <f t="shared" si="41"/>
        <v>44.437880346232944</v>
      </c>
      <c r="CW56" s="22">
        <f t="shared" si="13"/>
        <v>383.98225493635573</v>
      </c>
      <c r="CX56" s="60">
        <f t="shared" si="14"/>
        <v>677.31558826968899</v>
      </c>
      <c r="CY56" s="60">
        <f ca="1">AVERAGE(OFFSET($CX$3,0,0,'Données projet'!$E$13+1,1))-AVERAGE(OFFSET($H$3,0,0,'Données projet'!$E$13+1,1))</f>
        <v>394.8445842828649</v>
      </c>
      <c r="CZ56" s="60">
        <f t="shared" si="42"/>
        <v>246.54010105494143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7.0623483684531009E-3</v>
      </c>
      <c r="DI56" s="24">
        <f t="shared" si="15"/>
        <v>7.0623483684531009E-3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5.2</v>
      </c>
      <c r="DO56" s="13">
        <f>IF('Données projet'!$A$166&gt;35,DO55+DN56-DW55,IF(A56&lt;'Données projet'!$A$166,$DL$205^A56,IF(A56='Données projet'!$A$166,'Données projet'!$B$166,DO55+DN56-DW55)))</f>
        <v>161.60000000000002</v>
      </c>
      <c r="DP56" s="18">
        <f>DO56*VLOOKUP('Données projet'!$B$14,Paramètres!$A$1:$I$89,3,0)*VLOOKUP('Données projet'!$B$14,Paramètres!$A$1:$I$89,5,0)</f>
        <v>141.17376000000004</v>
      </c>
      <c r="DQ56" s="14">
        <f t="shared" si="43"/>
        <v>36.565766630582281</v>
      </c>
      <c r="DR56" s="22">
        <f t="shared" si="16"/>
        <v>309.56300888159757</v>
      </c>
      <c r="DS56" s="60">
        <f t="shared" si="17"/>
        <v>602.89634221493088</v>
      </c>
      <c r="DT56" s="60">
        <f ca="1">AVERAGE(OFFSET($DS$3,0,0,'Données projet'!$E$14+1,1))-AVERAGE(OFFSET($H$3,0,0,'Données projet'!$E$14+1,1))</f>
        <v>266.98113257513319</v>
      </c>
      <c r="DU56" s="60">
        <f t="shared" si="44"/>
        <v>275.73257102713393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5.8843219998054783</v>
      </c>
      <c r="EC56" s="23">
        <f>EXP(-LN(2)/2)*EC55+(1-EXP(-LN(2)/2))/(LN(2)/2)*DW56*DZ56*VLOOKUP('Données projet'!$B$14,Paramètres!$A$1:$I$89,3,0)*0.475*44/12</f>
        <v>3.6137708468573938E-3</v>
      </c>
      <c r="ED56" s="24">
        <f t="shared" si="18"/>
        <v>5.8879357706523354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</v>
      </c>
      <c r="EJ56" s="13">
        <f>IF('Données projet'!$A$192&gt;35,EJ55+EI56-ER55,IF(A56&lt;'Données projet'!$A$192,$EG$205^A56,IF(A56='Données projet'!$A$192,'Données projet'!$B$192,EJ55+EI56-ER55)))</f>
        <v>182.00000000000006</v>
      </c>
      <c r="EK56" s="18">
        <f>EJ56*VLOOKUP('Données projet'!$B$15,Paramètres!$A$1:$I$89,3,0)*VLOOKUP('Données projet'!$B$15,Paramètres!$A$1:$I$89,5,0)</f>
        <v>207.26160000000007</v>
      </c>
      <c r="EL56" s="14">
        <f t="shared" si="45"/>
        <v>51.3367200324452</v>
      </c>
      <c r="EM56" s="22">
        <f t="shared" si="19"/>
        <v>450.39207405650882</v>
      </c>
      <c r="EN56" s="60">
        <f t="shared" si="20"/>
        <v>743.72540738984208</v>
      </c>
      <c r="EO56" s="60">
        <f ca="1">AVERAGE(OFFSET($EN$3,0,0,'Données projet'!$E$15+1,1))-AVERAGE(OFFSET($H$3,0,0,'Données projet'!$E$15+1,1))</f>
        <v>457.62828850677369</v>
      </c>
      <c r="EP56" s="60">
        <f t="shared" si="46"/>
        <v>282.78263556175563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8</v>
      </c>
      <c r="FE56" s="13">
        <f>IF('Données projet'!$A$218&gt;35,FE55+FD56-FM55,IF(A56&lt;'Données projet'!$A$218,$FB$205^A56,IF(A56='Données projet'!$A$218,'Données projet'!$B$218,FE55+FD56-FM55)))</f>
        <v>182.00000000000006</v>
      </c>
      <c r="FF56" s="18">
        <f>FE56*VLOOKUP('Données projet'!$B$16,Paramètres!$A$1:$I$89,3,0)*VLOOKUP('Données projet'!$B$16,Paramètres!$A$1:$I$89,5,0)</f>
        <v>198.74400000000006</v>
      </c>
      <c r="FG56" s="14">
        <f t="shared" si="47"/>
        <v>49.468035816012197</v>
      </c>
      <c r="FH56" s="22">
        <f t="shared" si="22"/>
        <v>432.30262904622128</v>
      </c>
      <c r="FI56" s="60">
        <f t="shared" si="23"/>
        <v>725.6359623795546</v>
      </c>
      <c r="FJ56" s="60">
        <f ca="1">AVERAGE(OFFSET($FI$3,0,0,'Données projet'!$E$16+1,1))-AVERAGE(OFFSET($H$3,0,0,'Données projet'!$E$16+1,1))</f>
        <v>440.52623925652182</v>
      </c>
      <c r="FK56" s="60">
        <f t="shared" si="48"/>
        <v>272.91122662088918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17</v>
      </c>
      <c r="FZ56" s="13">
        <f>IF('Données projet'!$A$244&gt;35,FZ55+FY56-GH55,IF(A56&lt;'Données projet'!$A$244,$FW$205^A56,IF(A56='Données projet'!$A$244,'Données projet'!$B$244,FZ55+FY56-GH55)))</f>
        <v>328.99999999999989</v>
      </c>
      <c r="GA56" s="18">
        <f>FZ56*VLOOKUP('Données projet'!$B$17,Paramètres!$A$1:$I$89,3,0)*VLOOKUP('Données projet'!$B$17,Paramètres!$A$1:$I$89,5,0)</f>
        <v>153.97199999999995</v>
      </c>
      <c r="GB56" s="14">
        <f t="shared" si="49"/>
        <v>39.479859284656378</v>
      </c>
      <c r="GC56" s="22">
        <f t="shared" si="25"/>
        <v>336.92865492077641</v>
      </c>
      <c r="GD56" s="60">
        <f t="shared" si="26"/>
        <v>630.26198825410972</v>
      </c>
      <c r="GE56" s="60">
        <f ca="1">AVERAGE(OFFSET($GD$3,0,0,'Données projet'!$E$17+1,1))-AVERAGE(OFFSET($H$3,0,0,'Données projet'!$E$17+1,1))</f>
        <v>317.54276561627643</v>
      </c>
      <c r="GF56" s="60">
        <f t="shared" si="50"/>
        <v>238.92443174298893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>
        <f>GU56*VLOOKUP('Données projet'!$B$18,Paramètres!$A$1:$I$89,3,0)*VLOOKUP('Données projet'!$B$18,Paramètres!$A$1:$I$89,5,0)</f>
        <v>0</v>
      </c>
      <c r="GW56" s="14" t="e">
        <f t="shared" si="51"/>
        <v>#NUM!</v>
      </c>
      <c r="GX56" s="22" t="e">
        <f t="shared" si="28"/>
        <v>#NUM!</v>
      </c>
      <c r="GY56" s="60" t="e">
        <f t="shared" si="29"/>
        <v>#NUM!</v>
      </c>
      <c r="GZ56" s="60">
        <f ca="1">AVERAGE(OFFSET($GY$3,0,0,'Données projet'!$E$18+1,1))-AVERAGE(OFFSET($H$3,0,0,'Données projet'!$E$18+1,1))</f>
        <v>79.868679770907136</v>
      </c>
      <c r="HA56" s="60">
        <f t="shared" si="52"/>
        <v>370.47471103028312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39.400102292273907</v>
      </c>
      <c r="HH56" s="23">
        <f>EXP(-LN(2)/25)*HH55+(1-EXP(-LN(2)/25))/(LN(2)/25)*Calculateur!HC56*Calculateur!HE56*VLOOKUP('Données projet'!$B$18,Paramètres!$A$1:$I$89,3,0)*0.475*44/12</f>
        <v>7.9839880251169459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47.38409031739085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0">
        <f t="shared" si="0"/>
        <v>293.33333333333439</v>
      </c>
      <c r="S57" s="60">
        <f ca="1">AVERAGE(OFFSET($R$3,0,0,'Données projet'!$E$9+1,1))-AVERAGE(OFFSET($H$3,0,0,'Données projet'!$E$9+1,1))</f>
        <v>206.5885410269899</v>
      </c>
      <c r="T57" s="60">
        <f t="shared" si="34"/>
        <v>347.41156847586302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3.3992364478763198E-14</v>
      </c>
      <c r="AK57" s="14">
        <f t="shared" si="35"/>
        <v>5.790027782444094E-13</v>
      </c>
      <c r="AL57" s="22">
        <f t="shared" si="4"/>
        <v>1.0676332069095257E-12</v>
      </c>
      <c r="AM57" s="60">
        <f t="shared" si="5"/>
        <v>293.33333333333439</v>
      </c>
      <c r="AN57" s="60">
        <f ca="1">AVERAGE(OFFSET($AM$3,0,0,'Données projet'!$E$10+1,1))-AVERAGE(OFFSET($H$3,0,0,'Données projet'!$E$10+1,1))</f>
        <v>206.5885410269899</v>
      </c>
      <c r="AO57" s="60">
        <f t="shared" si="36"/>
        <v>347.41156847586302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68.007472495140149</v>
      </c>
      <c r="AV57" s="23">
        <f>EXP(-LN(2)/25)*AV56+(1-EXP(-LN(2)/25))/(LN(2)/25)*Calculateur!AQ57*Calculateur!AS57*VLOOKUP('Données projet'!$B$10,Paramètres!$A$1:$I$89,3,0)*0.475*44/12</f>
        <v>1.7185321314788451</v>
      </c>
      <c r="AW57" s="23">
        <f>EXP(-LN(2)/2)*AW56+(1-EXP(-LN(2)/2))/(LN(2)/2)*AQ57*AT57*VLOOKUP('Données projet'!$B$10,Paramètres!$A$1:$I$89,3,0)*0.475*44/12</f>
        <v>0.2689254488986913</v>
      </c>
      <c r="AX57" s="23">
        <f t="shared" si="6"/>
        <v>69.994930075517672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190.00000000000006</v>
      </c>
      <c r="BE57" s="14">
        <f>BD57*VLOOKUP('Données projet'!$B$11,Paramètres!$A$1:$I$89,3,0)*VLOOKUP('Données projet'!$B$11,Paramètres!$A$1:$I$89,5,0)</f>
        <v>180.80400000000006</v>
      </c>
      <c r="BF57" s="14">
        <f t="shared" si="37"/>
        <v>45.501014930459895</v>
      </c>
      <c r="BG57" s="22">
        <f t="shared" si="7"/>
        <v>394.14790100388433</v>
      </c>
      <c r="BH57" s="60">
        <f t="shared" si="8"/>
        <v>687.48123433721764</v>
      </c>
      <c r="BI57" s="60">
        <f ca="1">AVERAGE(OFFSET($BH$3,0,0,'Données projet'!$E$11+1,1))-AVERAGE(OFFSET($H$3,0,0,'Données projet'!$E$11+1,1))</f>
        <v>389.12604446638119</v>
      </c>
      <c r="BJ57" s="60">
        <f t="shared" si="38"/>
        <v>243.23852967152732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190.00000000000006</v>
      </c>
      <c r="BZ57" s="14">
        <f>BY57*VLOOKUP('Données projet'!$B$12,Paramètres!$A$1:$I$89,3,0)*VLOOKUP('Données projet'!$B$12,Paramètres!$A$1:$I$89,5,0)</f>
        <v>171.91200000000006</v>
      </c>
      <c r="CA57" s="14">
        <f t="shared" si="39"/>
        <v>43.51796884103733</v>
      </c>
      <c r="CB57" s="22">
        <f t="shared" si="10"/>
        <v>375.2071957314734</v>
      </c>
      <c r="CC57" s="60">
        <f t="shared" si="11"/>
        <v>668.54052906480672</v>
      </c>
      <c r="CD57" s="60">
        <f ca="1">AVERAGE(OFFSET($CC$3,0,0,'Données projet'!$E$12+1,1))-AVERAGE(OFFSET($H$3,0,0,'Données projet'!$E$12+1,1))</f>
        <v>371.95849973474657</v>
      </c>
      <c r="CE57" s="60">
        <f t="shared" si="40"/>
        <v>233.32640143610547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4.6716515564713904E-3</v>
      </c>
      <c r="CN57" s="24">
        <f t="shared" si="12"/>
        <v>4.6716515564713904E-3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190.00000000000006</v>
      </c>
      <c r="CU57" s="18">
        <f>CT57*VLOOKUP('Données projet'!$B$13,Paramètres!$A$1:$I$89,3,0)*VLOOKUP('Données projet'!$B$13,Paramètres!$A$1:$I$89,5,0)</f>
        <v>183.76800000000006</v>
      </c>
      <c r="CV57" s="14">
        <f t="shared" si="41"/>
        <v>46.159483283907285</v>
      </c>
      <c r="CW57" s="22">
        <f t="shared" si="13"/>
        <v>400.45703338613862</v>
      </c>
      <c r="CX57" s="60">
        <f t="shared" si="14"/>
        <v>693.79036671947188</v>
      </c>
      <c r="CY57" s="60">
        <f ca="1">AVERAGE(OFFSET($CX$3,0,0,'Données projet'!$E$13+1,1))-AVERAGE(OFFSET($H$3,0,0,'Données projet'!$E$13+1,1))</f>
        <v>394.8445842828649</v>
      </c>
      <c r="CZ57" s="60">
        <f t="shared" si="42"/>
        <v>246.54010105494143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4.9938344224349377E-3</v>
      </c>
      <c r="DI57" s="24">
        <f t="shared" si="15"/>
        <v>4.9938344224349377E-3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5.2</v>
      </c>
      <c r="DO57" s="13">
        <f>IF('Données projet'!$A$166&gt;35,DO56+DN57-DW56,IF(A57&lt;'Données projet'!$A$166,$DL$205^A57,IF(A57='Données projet'!$A$166,'Données projet'!$B$166,DO56+DN57-DW56)))</f>
        <v>166.8</v>
      </c>
      <c r="DP57" s="18">
        <f>DO57*VLOOKUP('Données projet'!$B$14,Paramètres!$A$1:$I$89,3,0)*VLOOKUP('Données projet'!$B$14,Paramètres!$A$1:$I$89,5,0)</f>
        <v>145.71648000000002</v>
      </c>
      <c r="DQ57" s="14">
        <f t="shared" si="43"/>
        <v>37.60350500083149</v>
      </c>
      <c r="DR57" s="22">
        <f t="shared" si="16"/>
        <v>319.28230720978155</v>
      </c>
      <c r="DS57" s="60">
        <f t="shared" si="17"/>
        <v>612.61564054311486</v>
      </c>
      <c r="DT57" s="60">
        <f ca="1">AVERAGE(OFFSET($DS$3,0,0,'Données projet'!$E$14+1,1))-AVERAGE(OFFSET($H$3,0,0,'Données projet'!$E$14+1,1))</f>
        <v>266.98113257513319</v>
      </c>
      <c r="DU57" s="60">
        <f t="shared" si="44"/>
        <v>275.73257102713393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5.7234149052777523</v>
      </c>
      <c r="EC57" s="23">
        <f>EXP(-LN(2)/2)*EC56+(1-EXP(-LN(2)/2))/(LN(2)/2)*DW57*DZ57*VLOOKUP('Données projet'!$B$14,Paramètres!$A$1:$I$89,3,0)*0.475*44/12</f>
        <v>2.5553218714671156E-3</v>
      </c>
      <c r="ED57" s="24">
        <f t="shared" si="18"/>
        <v>5.7259702271492197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</v>
      </c>
      <c r="EJ57" s="13">
        <f>IF('Données projet'!$A$192&gt;35,EJ56+EI57-ER56,IF(A57&lt;'Données projet'!$A$192,$EG$205^A57,IF(A57='Données projet'!$A$192,'Données projet'!$B$192,EJ56+EI57-ER56)))</f>
        <v>190.00000000000006</v>
      </c>
      <c r="EK57" s="18">
        <f>EJ57*VLOOKUP('Données projet'!$B$15,Paramètres!$A$1:$I$89,3,0)*VLOOKUP('Données projet'!$B$15,Paramètres!$A$1:$I$89,5,0)</f>
        <v>216.37200000000007</v>
      </c>
      <c r="EL57" s="14">
        <f t="shared" si="45"/>
        <v>53.325596354398634</v>
      </c>
      <c r="EM57" s="22">
        <f t="shared" si="19"/>
        <v>469.72331365057767</v>
      </c>
      <c r="EN57" s="60">
        <f t="shared" si="20"/>
        <v>763.05664698391092</v>
      </c>
      <c r="EO57" s="60">
        <f ca="1">AVERAGE(OFFSET($EN$3,0,0,'Données projet'!$E$15+1,1))-AVERAGE(OFFSET($H$3,0,0,'Données projet'!$E$15+1,1))</f>
        <v>457.62828850677369</v>
      </c>
      <c r="EP57" s="60">
        <f t="shared" si="46"/>
        <v>282.78263556175563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8</v>
      </c>
      <c r="FE57" s="13">
        <f>IF('Données projet'!$A$218&gt;35,FE56+FD57-FM56,IF(A57&lt;'Données projet'!$A$218,$FB$205^A57,IF(A57='Données projet'!$A$218,'Données projet'!$B$218,FE56+FD57-FM56)))</f>
        <v>190.00000000000006</v>
      </c>
      <c r="FF57" s="18">
        <f>FE57*VLOOKUP('Données projet'!$B$16,Paramètres!$A$1:$I$89,3,0)*VLOOKUP('Données projet'!$B$16,Paramètres!$A$1:$I$89,5,0)</f>
        <v>207.48000000000005</v>
      </c>
      <c r="FG57" s="14">
        <f t="shared" si="47"/>
        <v>51.384515970292227</v>
      </c>
      <c r="FH57" s="22">
        <f t="shared" si="22"/>
        <v>450.85569864825902</v>
      </c>
      <c r="FI57" s="60">
        <f t="shared" si="23"/>
        <v>744.18903198159228</v>
      </c>
      <c r="FJ57" s="60">
        <f ca="1">AVERAGE(OFFSET($FI$3,0,0,'Données projet'!$E$16+1,1))-AVERAGE(OFFSET($H$3,0,0,'Données projet'!$E$16+1,1))</f>
        <v>440.52623925652182</v>
      </c>
      <c r="FK57" s="60">
        <f t="shared" si="48"/>
        <v>272.91122662088918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17</v>
      </c>
      <c r="FZ57" s="13">
        <f>IF('Données projet'!$A$244&gt;35,FZ56+FY57-GH56,IF(A57&lt;'Données projet'!$A$244,$FW$205^A57,IF(A57='Données projet'!$A$244,'Données projet'!$B$244,FZ56+FY57-GH56)))</f>
        <v>345.99999999999989</v>
      </c>
      <c r="GA57" s="18">
        <f>FZ57*VLOOKUP('Données projet'!$B$17,Paramètres!$A$1:$I$89,3,0)*VLOOKUP('Données projet'!$B$17,Paramètres!$A$1:$I$89,5,0)</f>
        <v>161.92799999999994</v>
      </c>
      <c r="GB57" s="14">
        <f t="shared" si="49"/>
        <v>41.277077571585316</v>
      </c>
      <c r="GC57" s="22">
        <f t="shared" si="25"/>
        <v>353.91551010384433</v>
      </c>
      <c r="GD57" s="60">
        <f t="shared" si="26"/>
        <v>647.24884343717758</v>
      </c>
      <c r="GE57" s="60">
        <f ca="1">AVERAGE(OFFSET($GD$3,0,0,'Données projet'!$E$17+1,1))-AVERAGE(OFFSET($H$3,0,0,'Données projet'!$E$17+1,1))</f>
        <v>317.54276561627643</v>
      </c>
      <c r="GF57" s="60">
        <f t="shared" si="50"/>
        <v>238.92443174298893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>
        <f>GU57*VLOOKUP('Données projet'!$B$18,Paramètres!$A$1:$I$89,3,0)*VLOOKUP('Données projet'!$B$18,Paramètres!$A$1:$I$89,5,0)</f>
        <v>0</v>
      </c>
      <c r="GW57" s="14" t="e">
        <f t="shared" si="51"/>
        <v>#NUM!</v>
      </c>
      <c r="GX57" s="22" t="e">
        <f t="shared" si="28"/>
        <v>#NUM!</v>
      </c>
      <c r="GY57" s="60" t="e">
        <f t="shared" si="29"/>
        <v>#NUM!</v>
      </c>
      <c r="GZ57" s="60">
        <f ca="1">AVERAGE(OFFSET($GY$3,0,0,'Données projet'!$E$18+1,1))-AVERAGE(OFFSET($H$3,0,0,'Données projet'!$E$18+1,1))</f>
        <v>79.868679770907136</v>
      </c>
      <c r="HA57" s="60">
        <f t="shared" si="52"/>
        <v>370.47471103028312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38.62749031801188</v>
      </c>
      <c r="HH57" s="23">
        <f>EXP(-LN(2)/25)*HH56+(1-EXP(-LN(2)/25))/(LN(2)/25)*Calculateur!HC57*Calculateur!HE57*VLOOKUP('Données projet'!$B$18,Paramètres!$A$1:$I$89,3,0)*0.475*44/12</f>
        <v>7.7656654527104401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46.393155770722316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0">
        <f t="shared" si="0"/>
        <v>293.33333333333439</v>
      </c>
      <c r="S58" s="60">
        <f ca="1">AVERAGE(OFFSET($R$3,0,0,'Données projet'!$E$9+1,1))-AVERAGE(OFFSET($H$3,0,0,'Données projet'!$E$9+1,1))</f>
        <v>206.5885410269899</v>
      </c>
      <c r="T58" s="60">
        <f t="shared" si="34"/>
        <v>347.41156847586302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3.3992364478763198E-14</v>
      </c>
      <c r="AK58" s="14">
        <f t="shared" si="35"/>
        <v>5.790027782444094E-13</v>
      </c>
      <c r="AL58" s="22">
        <f t="shared" si="4"/>
        <v>1.0676332069095257E-12</v>
      </c>
      <c r="AM58" s="60">
        <f t="shared" si="5"/>
        <v>293.33333333333439</v>
      </c>
      <c r="AN58" s="60">
        <f ca="1">AVERAGE(OFFSET($AM$3,0,0,'Données projet'!$E$10+1,1))-AVERAGE(OFFSET($H$3,0,0,'Données projet'!$E$10+1,1))</f>
        <v>206.5885410269899</v>
      </c>
      <c r="AO58" s="60">
        <f t="shared" si="36"/>
        <v>347.41156847586302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66.673887439972816</v>
      </c>
      <c r="AV58" s="23">
        <f>EXP(-LN(2)/25)*AV57+(1-EXP(-LN(2)/25))/(LN(2)/25)*Calculateur!AQ58*Calculateur!AS58*VLOOKUP('Données projet'!$B$10,Paramètres!$A$1:$I$89,3,0)*0.475*44/12</f>
        <v>1.6715387799698791</v>
      </c>
      <c r="AW58" s="23">
        <f>EXP(-LN(2)/2)*AW57+(1-EXP(-LN(2)/2))/(LN(2)/2)*AQ58*AT58*VLOOKUP('Données projet'!$B$10,Paramètres!$A$1:$I$89,3,0)*0.475*44/12</f>
        <v>0.19015900854990098</v>
      </c>
      <c r="AX58" s="23">
        <f t="shared" si="6"/>
        <v>68.535585228492593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198.00000000000006</v>
      </c>
      <c r="BE58" s="14">
        <f>BD58*VLOOKUP('Données projet'!$B$11,Paramètres!$A$1:$I$89,3,0)*VLOOKUP('Données projet'!$B$11,Paramètres!$A$1:$I$89,5,0)</f>
        <v>188.41680000000005</v>
      </c>
      <c r="BF58" s="14">
        <f t="shared" si="37"/>
        <v>47.189759534268674</v>
      </c>
      <c r="BG58" s="22">
        <f t="shared" si="7"/>
        <v>410.34809118885141</v>
      </c>
      <c r="BH58" s="60">
        <f t="shared" si="8"/>
        <v>703.68142452218467</v>
      </c>
      <c r="BI58" s="60">
        <f ca="1">AVERAGE(OFFSET($BH$3,0,0,'Données projet'!$E$11+1,1))-AVERAGE(OFFSET($H$3,0,0,'Données projet'!$E$11+1,1))</f>
        <v>389.12604446638119</v>
      </c>
      <c r="BJ58" s="60">
        <f t="shared" si="38"/>
        <v>243.23852967152732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198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198.00000000000006</v>
      </c>
      <c r="BZ58" s="14">
        <f>BY58*VLOOKUP('Données projet'!$B$12,Paramètres!$A$1:$I$89,3,0)*VLOOKUP('Données projet'!$B$12,Paramètres!$A$1:$I$89,5,0)</f>
        <v>179.15040000000005</v>
      </c>
      <c r="CA58" s="14">
        <f t="shared" si="39"/>
        <v>45.133113803437347</v>
      </c>
      <c r="CB58" s="22">
        <f t="shared" si="10"/>
        <v>390.62711987432004</v>
      </c>
      <c r="CC58" s="60">
        <f t="shared" si="11"/>
        <v>683.96045320765336</v>
      </c>
      <c r="CD58" s="60">
        <f ca="1">AVERAGE(OFFSET($CC$3,0,0,'Données projet'!$E$12+1,1))-AVERAGE(OFFSET($H$3,0,0,'Données projet'!$E$12+1,1))</f>
        <v>371.95849973474657</v>
      </c>
      <c r="CE58" s="60">
        <f t="shared" si="40"/>
        <v>233.32640143610547</v>
      </c>
      <c r="CF58" s="16">
        <f>IF(ISNA(VLOOKUP(A58,'Données projet'!$A$113:$I$133,3,0)),0,VLOOKUP(A58,'Données projet'!$A$113:$I$133,3,0))</f>
        <v>7</v>
      </c>
      <c r="CG58" s="16">
        <f>IF(ISNA(VLOOKUP(A58,'Données projet'!$A$113:$I$133,4,0)),0,VLOOKUP(A58,'Données projet'!$A$113:$I$133,4,0))</f>
        <v>21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3.3033564949216097E-3</v>
      </c>
      <c r="CN58" s="24">
        <f t="shared" si="12"/>
        <v>3.3033564949216097E-3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198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198.00000000000006</v>
      </c>
      <c r="CU58" s="18">
        <f>CT58*VLOOKUP('Données projet'!$B$13,Paramètres!$A$1:$I$89,3,0)*VLOOKUP('Données projet'!$B$13,Paramètres!$A$1:$I$89,5,0)</f>
        <v>191.50560000000007</v>
      </c>
      <c r="CV58" s="14">
        <f t="shared" si="41"/>
        <v>47.872666570685276</v>
      </c>
      <c r="CW58" s="22">
        <f t="shared" si="13"/>
        <v>416.9171476106103</v>
      </c>
      <c r="CX58" s="60">
        <f t="shared" si="14"/>
        <v>710.25048094394356</v>
      </c>
      <c r="CY58" s="60">
        <f ca="1">AVERAGE(OFFSET($CX$3,0,0,'Données projet'!$E$13+1,1))-AVERAGE(OFFSET($H$3,0,0,'Données projet'!$E$13+1,1))</f>
        <v>394.8445842828649</v>
      </c>
      <c r="CZ58" s="60">
        <f t="shared" si="42"/>
        <v>246.54010105494143</v>
      </c>
      <c r="DA58" s="16">
        <f>IF(ISNA(VLOOKUP(A58,'Données projet'!$A$139:$I$159,3,0)),0,VLOOKUP(A58,'Données projet'!$A$139:$I$159,3,0))</f>
        <v>7</v>
      </c>
      <c r="DB58" s="16">
        <f>IF(ISNA(VLOOKUP(A58,'Données projet'!$A$139:$I$159,4,0)),0,VLOOKUP(A58,'Données projet'!$A$139:$I$159,4,0))</f>
        <v>21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3.5311741842265505E-3</v>
      </c>
      <c r="DI58" s="24">
        <f t="shared" si="15"/>
        <v>3.5311741842265505E-3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172</v>
      </c>
      <c r="DM58" s="13">
        <f>VLOOKUP(A58,'Données projet'!$A$165:$I$185,9,0)</f>
        <v>5.2</v>
      </c>
      <c r="DN58" s="13">
        <f t="array" ref="DN58">INDEX(DM:DM,MIN(IF(ISNUMBER(DM58:DM254),ROW(DM58:DM254),"")))</f>
        <v>5.2</v>
      </c>
      <c r="DO58" s="13">
        <f>IF('Données projet'!$A$166&gt;35,DO57+DN58-DW57,IF(A58&lt;'Données projet'!$A$166,$DL$205^A58,IF(A58='Données projet'!$A$166,'Données projet'!$B$166,DO57+DN58-DW57)))</f>
        <v>172</v>
      </c>
      <c r="DP58" s="18">
        <f>DO58*VLOOKUP('Données projet'!$B$14,Paramètres!$A$1:$I$89,3,0)*VLOOKUP('Données projet'!$B$14,Paramètres!$A$1:$I$89,5,0)</f>
        <v>150.25920000000002</v>
      </c>
      <c r="DQ58" s="14">
        <f t="shared" si="43"/>
        <v>38.637483830798729</v>
      </c>
      <c r="DR58" s="22">
        <f t="shared" si="16"/>
        <v>328.99505767197445</v>
      </c>
      <c r="DS58" s="60">
        <f t="shared" si="17"/>
        <v>622.32839100530782</v>
      </c>
      <c r="DT58" s="60">
        <f ca="1">AVERAGE(OFFSET($DS$3,0,0,'Données projet'!$E$14+1,1))-AVERAGE(OFFSET($H$3,0,0,'Données projet'!$E$14+1,1))</f>
        <v>266.98113257513319</v>
      </c>
      <c r="DU58" s="60">
        <f t="shared" si="44"/>
        <v>275.73257102713393</v>
      </c>
      <c r="DV58" s="16">
        <f>IF(ISNA(VLOOKUP(A58,'Données projet'!$A$165:$I$185,3,0)),0,VLOOKUP(A58,'Données projet'!$A$165:$I$185,3,0))</f>
        <v>8</v>
      </c>
      <c r="DW58" s="16">
        <f>IF(ISNA(VLOOKUP(A58,'Données projet'!$A$165:$I$185,4,0)),0,VLOOKUP(A58,'Données projet'!$A$165:$I$185,4,0))</f>
        <v>18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5.566907823711623</v>
      </c>
      <c r="EC58" s="23">
        <f>EXP(-LN(2)/2)*EC57+(1-EXP(-LN(2)/2))/(LN(2)/2)*DW58*DZ58*VLOOKUP('Données projet'!$B$14,Paramètres!$A$1:$I$89,3,0)*0.475*44/12</f>
        <v>1.8068854234286969E-3</v>
      </c>
      <c r="ED58" s="24">
        <f t="shared" si="18"/>
        <v>5.568714709135052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198</v>
      </c>
      <c r="EH58" s="13">
        <f>VLOOKUP(A58,'Données projet'!$A$191:$I$211,9,0)</f>
        <v>8</v>
      </c>
      <c r="EI58" s="13">
        <f t="array" ref="EI58">INDEX(EH:EH,MIN(IF(ISNUMBER(EH58:EH254),ROW(EH58:EH254),"")))</f>
        <v>8</v>
      </c>
      <c r="EJ58" s="13">
        <f>IF('Données projet'!$A$192&gt;35,EJ57+EI58-ER57,IF(A58&lt;'Données projet'!$A$192,$EG$205^A58,IF(A58='Données projet'!$A$192,'Données projet'!$B$192,EJ57+EI58-ER57)))</f>
        <v>198.00000000000006</v>
      </c>
      <c r="EK58" s="18">
        <f>EJ58*VLOOKUP('Données projet'!$B$15,Paramètres!$A$1:$I$89,3,0)*VLOOKUP('Données projet'!$B$15,Paramètres!$A$1:$I$89,5,0)</f>
        <v>225.4824000000001</v>
      </c>
      <c r="EL58" s="14">
        <f t="shared" si="45"/>
        <v>55.304745901414421</v>
      </c>
      <c r="EM58" s="22">
        <f t="shared" si="19"/>
        <v>489.03761244496371</v>
      </c>
      <c r="EN58" s="60">
        <f t="shared" si="20"/>
        <v>782.37094577829703</v>
      </c>
      <c r="EO58" s="60">
        <f ca="1">AVERAGE(OFFSET($EN$3,0,0,'Données projet'!$E$15+1,1))-AVERAGE(OFFSET($H$3,0,0,'Données projet'!$E$15+1,1))</f>
        <v>457.62828850677369</v>
      </c>
      <c r="EP58" s="60">
        <f t="shared" si="46"/>
        <v>282.78263556175563</v>
      </c>
      <c r="EQ58" s="16">
        <f>IF(ISNA(VLOOKUP(A58,'Données projet'!$A$191:$I$211,3,0)),0,VLOOKUP(A58,'Données projet'!$A$191:$I$211,3,0))</f>
        <v>7</v>
      </c>
      <c r="ER58" s="16">
        <f>IF(ISNA(VLOOKUP(A58,'Données projet'!$A$191:$I$211,4,0)),0,VLOOKUP(A58,'Données projet'!$A$191:$I$211,4,0))</f>
        <v>21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198</v>
      </c>
      <c r="FC58" s="13">
        <f>VLOOKUP(A58,'Données projet'!$A$217:$I$237,9,0)</f>
        <v>8</v>
      </c>
      <c r="FD58" s="13">
        <f t="array" ref="FD58">INDEX(FC:FC,MIN(IF(ISNUMBER(FC58:FC254),ROW(FC58:FC254),"")))</f>
        <v>8</v>
      </c>
      <c r="FE58" s="13">
        <f>IF('Données projet'!$A$218&gt;35,FE57+FD58-FM57,IF(A58&lt;'Données projet'!$A$218,$FB$205^A58,IF(A58='Données projet'!$A$218,'Données projet'!$B$218,FE57+FD58-FM57)))</f>
        <v>198.00000000000006</v>
      </c>
      <c r="FF58" s="18">
        <f>FE58*VLOOKUP('Données projet'!$B$16,Paramètres!$A$1:$I$89,3,0)*VLOOKUP('Données projet'!$B$16,Paramètres!$A$1:$I$89,5,0)</f>
        <v>216.21600000000004</v>
      </c>
      <c r="FG58" s="14">
        <f t="shared" si="47"/>
        <v>53.291623409473033</v>
      </c>
      <c r="FH58" s="22">
        <f t="shared" si="22"/>
        <v>469.39244410483224</v>
      </c>
      <c r="FI58" s="60">
        <f t="shared" si="23"/>
        <v>762.72577743816555</v>
      </c>
      <c r="FJ58" s="60">
        <f ca="1">AVERAGE(OFFSET($FI$3,0,0,'Données projet'!$E$16+1,1))-AVERAGE(OFFSET($H$3,0,0,'Données projet'!$E$16+1,1))</f>
        <v>440.52623925652182</v>
      </c>
      <c r="FK58" s="60">
        <f t="shared" si="48"/>
        <v>272.91122662088918</v>
      </c>
      <c r="FL58" s="16">
        <f>IF(ISNA(VLOOKUP(A58,'Données projet'!$A$217:$I$237,3,0)),0,VLOOKUP(A58,'Données projet'!$A$217:$I$237,3,0))</f>
        <v>7</v>
      </c>
      <c r="FM58" s="16">
        <f>IF(ISNA(VLOOKUP(A58,'Données projet'!$A$217:$I$237,4,0)),0,VLOOKUP(A58,'Données projet'!$A$217:$I$237,4,0))</f>
        <v>21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17</v>
      </c>
      <c r="FZ58" s="13">
        <f>IF('Données projet'!$A$244&gt;35,FZ57+FY58-GH57,IF(A58&lt;'Données projet'!$A$244,$FW$205^A58,IF(A58='Données projet'!$A$244,'Données projet'!$B$244,FZ57+FY58-GH57)))</f>
        <v>362.99999999999989</v>
      </c>
      <c r="GA58" s="18">
        <f>FZ58*VLOOKUP('Données projet'!$B$17,Paramètres!$A$1:$I$89,3,0)*VLOOKUP('Données projet'!$B$17,Paramètres!$A$1:$I$89,5,0)</f>
        <v>169.88399999999993</v>
      </c>
      <c r="GB58" s="14">
        <f t="shared" si="49"/>
        <v>43.064042412117296</v>
      </c>
      <c r="GC58" s="22">
        <f t="shared" si="25"/>
        <v>370.8845072011041</v>
      </c>
      <c r="GD58" s="60">
        <f t="shared" si="26"/>
        <v>664.21784053443741</v>
      </c>
      <c r="GE58" s="60">
        <f ca="1">AVERAGE(OFFSET($GD$3,0,0,'Données projet'!$E$17+1,1))-AVERAGE(OFFSET($H$3,0,0,'Données projet'!$E$17+1,1))</f>
        <v>317.54276561627643</v>
      </c>
      <c r="GF58" s="60">
        <f t="shared" si="50"/>
        <v>238.92443174298893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>
        <f>GU58*VLOOKUP('Données projet'!$B$18,Paramètres!$A$1:$I$89,3,0)*VLOOKUP('Données projet'!$B$18,Paramètres!$A$1:$I$89,5,0)</f>
        <v>0</v>
      </c>
      <c r="GW58" s="14" t="e">
        <f t="shared" si="51"/>
        <v>#NUM!</v>
      </c>
      <c r="GX58" s="22" t="e">
        <f t="shared" si="28"/>
        <v>#NUM!</v>
      </c>
      <c r="GY58" s="60" t="e">
        <f t="shared" si="29"/>
        <v>#NUM!</v>
      </c>
      <c r="GZ58" s="60">
        <f ca="1">AVERAGE(OFFSET($GY$3,0,0,'Données projet'!$E$18+1,1))-AVERAGE(OFFSET($H$3,0,0,'Données projet'!$E$18+1,1))</f>
        <v>79.868679770907136</v>
      </c>
      <c r="HA58" s="60">
        <f t="shared" si="52"/>
        <v>370.47471103028312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37.870028793318362</v>
      </c>
      <c r="HH58" s="23">
        <f>EXP(-LN(2)/25)*HH57+(1-EXP(-LN(2)/25))/(LN(2)/25)*Calculateur!HC58*Calculateur!HE58*VLOOKUP('Données projet'!$B$18,Paramètres!$A$1:$I$89,3,0)*0.475*44/12</f>
        <v>7.5533129225274758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45.423341715845837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0">
        <f t="shared" si="0"/>
        <v>293.33333333333439</v>
      </c>
      <c r="S59" s="60">
        <f ca="1">AVERAGE(OFFSET($R$3,0,0,'Données projet'!$E$9+1,1))-AVERAGE(OFFSET($H$3,0,0,'Données projet'!$E$9+1,1))</f>
        <v>206.5885410269899</v>
      </c>
      <c r="T59" s="60">
        <f t="shared" si="34"/>
        <v>347.41156847586302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3.3992364478763198E-14</v>
      </c>
      <c r="AK59" s="14">
        <f t="shared" si="35"/>
        <v>5.790027782444094E-13</v>
      </c>
      <c r="AL59" s="22">
        <f t="shared" si="4"/>
        <v>1.0676332069095257E-12</v>
      </c>
      <c r="AM59" s="60">
        <f t="shared" si="5"/>
        <v>293.33333333333439</v>
      </c>
      <c r="AN59" s="60">
        <f ca="1">AVERAGE(OFFSET($AM$3,0,0,'Données projet'!$E$10+1,1))-AVERAGE(OFFSET($H$3,0,0,'Données projet'!$E$10+1,1))</f>
        <v>206.5885410269899</v>
      </c>
      <c r="AO59" s="60">
        <f t="shared" si="36"/>
        <v>347.41156847586302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65.366453174330744</v>
      </c>
      <c r="AV59" s="23">
        <f>EXP(-LN(2)/25)*AV58+(1-EXP(-LN(2)/25))/(LN(2)/25)*Calculateur!AQ59*Calculateur!AS59*VLOOKUP('Données projet'!$B$10,Paramètres!$A$1:$I$89,3,0)*0.475*44/12</f>
        <v>1.6258304641291987</v>
      </c>
      <c r="AW59" s="23">
        <f>EXP(-LN(2)/2)*AW58+(1-EXP(-LN(2)/2))/(LN(2)/2)*AQ59*AT59*VLOOKUP('Données projet'!$B$10,Paramètres!$A$1:$I$89,3,0)*0.475*44/12</f>
        <v>0.13446272444934565</v>
      </c>
      <c r="AX59" s="23">
        <f t="shared" si="6"/>
        <v>67.126746362909287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184.40000000000006</v>
      </c>
      <c r="BE59" s="14">
        <f>BD59*VLOOKUP('Données projet'!$B$11,Paramètres!$A$1:$I$89,3,0)*VLOOKUP('Données projet'!$B$11,Paramètres!$A$1:$I$89,5,0)</f>
        <v>175.47504000000006</v>
      </c>
      <c r="BF59" s="14">
        <f t="shared" si="37"/>
        <v>44.313979066329459</v>
      </c>
      <c r="BG59" s="22">
        <f t="shared" si="7"/>
        <v>382.79920820719053</v>
      </c>
      <c r="BH59" s="60">
        <f t="shared" si="8"/>
        <v>676.13254154052379</v>
      </c>
      <c r="BI59" s="60">
        <f ca="1">AVERAGE(OFFSET($BH$3,0,0,'Données projet'!$E$11+1,1))-AVERAGE(OFFSET($H$3,0,0,'Données projet'!$E$11+1,1))</f>
        <v>389.12604446638119</v>
      </c>
      <c r="BJ59" s="60">
        <f t="shared" si="38"/>
        <v>243.23852967152732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7.4</v>
      </c>
      <c r="BY59" s="13">
        <f>IF('Données projet'!$A$114&gt;35,BY58+BX59-CG58,IF(A59&lt;'Données projet'!$A$114,$BV$205^A59,IF(A59='Données projet'!$A$114,'Données projet'!$B$114,BY58+BX59-CG58)))</f>
        <v>184.40000000000006</v>
      </c>
      <c r="BZ59" s="14">
        <f>BY59*VLOOKUP('Données projet'!$B$12,Paramètres!$A$1:$I$89,3,0)*VLOOKUP('Données projet'!$B$12,Paramètres!$A$1:$I$89,5,0)</f>
        <v>166.84512000000004</v>
      </c>
      <c r="CA59" s="14">
        <f t="shared" si="39"/>
        <v>42.382666918050084</v>
      </c>
      <c r="CB59" s="22">
        <f t="shared" si="10"/>
        <v>364.40506221560395</v>
      </c>
      <c r="CC59" s="60">
        <f t="shared" si="11"/>
        <v>657.73839554893721</v>
      </c>
      <c r="CD59" s="60">
        <f ca="1">AVERAGE(OFFSET($CC$3,0,0,'Données projet'!$E$12+1,1))-AVERAGE(OFFSET($H$3,0,0,'Données projet'!$E$12+1,1))</f>
        <v>371.95849973474657</v>
      </c>
      <c r="CE59" s="60">
        <f t="shared" si="40"/>
        <v>233.32640143610547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2.3358257782356952E-3</v>
      </c>
      <c r="CN59" s="24">
        <f t="shared" si="12"/>
        <v>2.3358257782356952E-3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7.4</v>
      </c>
      <c r="CT59" s="13">
        <f>IF('Données projet'!$A$140&gt;35,CT58+CS59-DB58,IF(A59&lt;'Données projet'!$A$140,$CQ$205^A59,IF(A59='Données projet'!$A$140,'Données projet'!$B$140,CT58+CS59-DB58)))</f>
        <v>184.40000000000006</v>
      </c>
      <c r="CU59" s="18">
        <f>CT59*VLOOKUP('Données projet'!$B$13,Paramètres!$A$1:$I$89,3,0)*VLOOKUP('Données projet'!$B$13,Paramètres!$A$1:$I$89,5,0)</f>
        <v>178.35168000000004</v>
      </c>
      <c r="CV59" s="14">
        <f t="shared" si="41"/>
        <v>44.95526921941952</v>
      </c>
      <c r="CW59" s="22">
        <f t="shared" si="13"/>
        <v>388.92626989048904</v>
      </c>
      <c r="CX59" s="60">
        <f t="shared" si="14"/>
        <v>682.2596032238223</v>
      </c>
      <c r="CY59" s="60">
        <f ca="1">AVERAGE(OFFSET($CX$3,0,0,'Données projet'!$E$13+1,1))-AVERAGE(OFFSET($H$3,0,0,'Données projet'!$E$13+1,1))</f>
        <v>394.8445842828649</v>
      </c>
      <c r="CZ59" s="60">
        <f t="shared" si="42"/>
        <v>246.54010105494143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2.4969172112174688E-3</v>
      </c>
      <c r="DI59" s="24">
        <f t="shared" si="15"/>
        <v>2.4969172112174688E-3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4.4000000000000004</v>
      </c>
      <c r="DO59" s="13">
        <f>IF('Données projet'!$A$166&gt;35,DO58+DN59-DW58,IF(A59&lt;'Données projet'!$A$166,$DL$205^A59,IF(A59='Données projet'!$A$166,'Données projet'!$B$166,DO58+DN59-DW58)))</f>
        <v>158.4</v>
      </c>
      <c r="DP59" s="18">
        <f>DO59*VLOOKUP('Données projet'!$B$14,Paramètres!$A$1:$I$89,3,0)*VLOOKUP('Données projet'!$B$14,Paramètres!$A$1:$I$89,5,0)</f>
        <v>138.37824000000001</v>
      </c>
      <c r="DQ59" s="14">
        <f t="shared" si="43"/>
        <v>35.925231489823396</v>
      </c>
      <c r="DR59" s="22">
        <f t="shared" si="16"/>
        <v>303.57854617810909</v>
      </c>
      <c r="DS59" s="60">
        <f t="shared" si="17"/>
        <v>596.91187951144241</v>
      </c>
      <c r="DT59" s="60">
        <f ca="1">AVERAGE(OFFSET($DS$3,0,0,'Données projet'!$E$14+1,1))-AVERAGE(OFFSET($H$3,0,0,'Données projet'!$E$14+1,1))</f>
        <v>266.98113257513319</v>
      </c>
      <c r="DU59" s="60">
        <f t="shared" si="44"/>
        <v>275.73257102713393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5.4146804365212695</v>
      </c>
      <c r="EC59" s="23">
        <f>EXP(-LN(2)/2)*EC58+(1-EXP(-LN(2)/2))/(LN(2)/2)*DW59*DZ59*VLOOKUP('Données projet'!$B$14,Paramètres!$A$1:$I$89,3,0)*0.475*44/12</f>
        <v>1.2776609357335578E-3</v>
      </c>
      <c r="ED59" s="24">
        <f t="shared" si="18"/>
        <v>5.4159580974570032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7.4</v>
      </c>
      <c r="EJ59" s="13">
        <f>IF('Données projet'!$A$192&gt;35,EJ58+EI59-ER58,IF(A59&lt;'Données projet'!$A$192,$EG$205^A59,IF(A59='Données projet'!$A$192,'Données projet'!$B$192,EJ58+EI59-ER58)))</f>
        <v>184.40000000000006</v>
      </c>
      <c r="EK59" s="18">
        <f>EJ59*VLOOKUP('Données projet'!$B$15,Paramètres!$A$1:$I$89,3,0)*VLOOKUP('Données projet'!$B$15,Paramètres!$A$1:$I$89,5,0)</f>
        <v>209.99472000000009</v>
      </c>
      <c r="EL59" s="14">
        <f t="shared" si="45"/>
        <v>51.934431883769705</v>
      </c>
      <c r="EM59" s="22">
        <f t="shared" si="19"/>
        <v>456.19327286423237</v>
      </c>
      <c r="EN59" s="60">
        <f t="shared" si="20"/>
        <v>749.52660619756568</v>
      </c>
      <c r="EO59" s="60">
        <f ca="1">AVERAGE(OFFSET($EN$3,0,0,'Données projet'!$E$15+1,1))-AVERAGE(OFFSET($H$3,0,0,'Données projet'!$E$15+1,1))</f>
        <v>457.62828850677369</v>
      </c>
      <c r="EP59" s="60">
        <f t="shared" si="46"/>
        <v>282.78263556175563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7.4</v>
      </c>
      <c r="FE59" s="13">
        <f>IF('Données projet'!$A$218&gt;35,FE58+FD59-FM58,IF(A59&lt;'Données projet'!$A$218,$FB$205^A59,IF(A59='Données projet'!$A$218,'Données projet'!$B$218,FE58+FD59-FM58)))</f>
        <v>184.40000000000006</v>
      </c>
      <c r="FF59" s="18">
        <f>FE59*VLOOKUP('Données projet'!$B$16,Paramètres!$A$1:$I$89,3,0)*VLOOKUP('Données projet'!$B$16,Paramètres!$A$1:$I$89,5,0)</f>
        <v>201.36480000000006</v>
      </c>
      <c r="FG59" s="14">
        <f t="shared" si="47"/>
        <v>50.04399063451806</v>
      </c>
      <c r="FH59" s="22">
        <f t="shared" si="22"/>
        <v>437.87031035511905</v>
      </c>
      <c r="FI59" s="60">
        <f t="shared" si="23"/>
        <v>731.2036436884523</v>
      </c>
      <c r="FJ59" s="60">
        <f ca="1">AVERAGE(OFFSET($FI$3,0,0,'Données projet'!$E$16+1,1))-AVERAGE(OFFSET($H$3,0,0,'Données projet'!$E$16+1,1))</f>
        <v>440.52623925652182</v>
      </c>
      <c r="FK59" s="60">
        <f t="shared" si="48"/>
        <v>272.91122662088918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>
        <f>VLOOKUP(A59,'Données projet'!$A$243:$I$263,2,0)</f>
        <v>380</v>
      </c>
      <c r="FX59" s="13">
        <f>VLOOKUP(A59,'Données projet'!$A$243:$I$263,9,0)</f>
        <v>17</v>
      </c>
      <c r="FY59" s="13">
        <f t="array" ref="FY59">INDEX(FX:FX,MIN(IF(ISNUMBER(FX59:FX255),ROW(FX59:FX255),"")))</f>
        <v>17</v>
      </c>
      <c r="FZ59" s="13">
        <f>IF('Données projet'!$A$244&gt;35,FZ58+FY59-GH58,IF(A59&lt;'Données projet'!$A$244,$FW$205^A59,IF(A59='Données projet'!$A$244,'Données projet'!$B$244,FZ58+FY59-GH58)))</f>
        <v>379.99999999999989</v>
      </c>
      <c r="GA59" s="18">
        <f>FZ59*VLOOKUP('Données projet'!$B$17,Paramètres!$A$1:$I$89,3,0)*VLOOKUP('Données projet'!$B$17,Paramètres!$A$1:$I$89,5,0)</f>
        <v>177.83999999999995</v>
      </c>
      <c r="GB59" s="14">
        <f t="shared" si="49"/>
        <v>44.841288830609102</v>
      </c>
      <c r="GC59" s="22">
        <f t="shared" si="25"/>
        <v>387.83657804664409</v>
      </c>
      <c r="GD59" s="60">
        <f t="shared" si="26"/>
        <v>681.16991137997741</v>
      </c>
      <c r="GE59" s="60">
        <f ca="1">AVERAGE(OFFSET($GD$3,0,0,'Données projet'!$E$17+1,1))-AVERAGE(OFFSET($H$3,0,0,'Données projet'!$E$17+1,1))</f>
        <v>317.54276561627643</v>
      </c>
      <c r="GF59" s="60">
        <f t="shared" si="50"/>
        <v>238.92443174298893</v>
      </c>
      <c r="GG59" s="16">
        <f>IF(ISNA(VLOOKUP(A59,'Données projet'!$A$243:$I$263,3,0)),0,VLOOKUP(A59,'Données projet'!$A$243:$I$263,3,0))</f>
        <v>7</v>
      </c>
      <c r="GH59" s="16">
        <f>IF(ISNA(VLOOKUP(A59,'Données projet'!$A$243:$I$263,4,0)),0,VLOOKUP(A59,'Données projet'!$A$243:$I$263,4,0))</f>
        <v>79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>
        <f>GU59*VLOOKUP('Données projet'!$B$18,Paramètres!$A$1:$I$89,3,0)*VLOOKUP('Données projet'!$B$18,Paramètres!$A$1:$I$89,5,0)</f>
        <v>0</v>
      </c>
      <c r="GW59" s="14" t="e">
        <f t="shared" si="51"/>
        <v>#NUM!</v>
      </c>
      <c r="GX59" s="22" t="e">
        <f t="shared" si="28"/>
        <v>#NUM!</v>
      </c>
      <c r="GY59" s="60" t="e">
        <f t="shared" si="29"/>
        <v>#NUM!</v>
      </c>
      <c r="GZ59" s="60">
        <f ca="1">AVERAGE(OFFSET($GY$3,0,0,'Données projet'!$E$18+1,1))-AVERAGE(OFFSET($H$3,0,0,'Données projet'!$E$18+1,1))</f>
        <v>79.868679770907136</v>
      </c>
      <c r="HA59" s="60">
        <f t="shared" si="52"/>
        <v>370.47471103028312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37.12742062711817</v>
      </c>
      <c r="HH59" s="23">
        <f>EXP(-LN(2)/25)*HH58+(1-EXP(-LN(2)/25))/(LN(2)/25)*Calculateur!HC59*Calculateur!HE59*VLOOKUP('Données projet'!$B$18,Paramètres!$A$1:$I$89,3,0)*0.475*44/12</f>
        <v>7.346767183449499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44.47418781056767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0">
        <f t="shared" si="0"/>
        <v>293.33333333333439</v>
      </c>
      <c r="S60" s="60">
        <f ca="1">AVERAGE(OFFSET($R$3,0,0,'Données projet'!$E$9+1,1))-AVERAGE(OFFSET($H$3,0,0,'Données projet'!$E$9+1,1))</f>
        <v>206.5885410269899</v>
      </c>
      <c r="T60" s="60">
        <f t="shared" si="34"/>
        <v>347.41156847586302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3.3992364478763198E-14</v>
      </c>
      <c r="AK60" s="14">
        <f t="shared" si="35"/>
        <v>5.790027782444094E-13</v>
      </c>
      <c r="AL60" s="22">
        <f t="shared" si="4"/>
        <v>1.0676332069095257E-12</v>
      </c>
      <c r="AM60" s="60">
        <f t="shared" si="5"/>
        <v>293.33333333333439</v>
      </c>
      <c r="AN60" s="60">
        <f ca="1">AVERAGE(OFFSET($AM$3,0,0,'Données projet'!$E$10+1,1))-AVERAGE(OFFSET($H$3,0,0,'Données projet'!$E$10+1,1))</f>
        <v>206.5885410269899</v>
      </c>
      <c r="AO60" s="60">
        <f t="shared" si="36"/>
        <v>347.41156847586302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64.084656897181759</v>
      </c>
      <c r="AV60" s="23">
        <f>EXP(-LN(2)/25)*AV59+(1-EXP(-LN(2)/25))/(LN(2)/25)*Calculateur!AQ60*Calculateur!AS60*VLOOKUP('Données projet'!$B$10,Paramètres!$A$1:$I$89,3,0)*0.475*44/12</f>
        <v>1.5813720445888775</v>
      </c>
      <c r="AW60" s="23">
        <f>EXP(-LN(2)/2)*AW59+(1-EXP(-LN(2)/2))/(LN(2)/2)*AQ60*AT60*VLOOKUP('Données projet'!$B$10,Paramètres!$A$1:$I$89,3,0)*0.475*44/12</f>
        <v>9.5079504274950488E-2</v>
      </c>
      <c r="AX60" s="23">
        <f t="shared" si="6"/>
        <v>65.761108446045583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191.80000000000007</v>
      </c>
      <c r="BE60" s="14">
        <f>BD60*VLOOKUP('Données projet'!$B$11,Paramètres!$A$1:$I$89,3,0)*VLOOKUP('Données projet'!$B$11,Paramètres!$A$1:$I$89,5,0)</f>
        <v>182.51688000000007</v>
      </c>
      <c r="BF60" s="14">
        <f t="shared" si="37"/>
        <v>45.881692259499843</v>
      </c>
      <c r="BG60" s="22">
        <f t="shared" si="7"/>
        <v>397.79418001862905</v>
      </c>
      <c r="BH60" s="60">
        <f t="shared" si="8"/>
        <v>691.12751335196231</v>
      </c>
      <c r="BI60" s="60">
        <f ca="1">AVERAGE(OFFSET($BH$3,0,0,'Données projet'!$E$11+1,1))-AVERAGE(OFFSET($H$3,0,0,'Données projet'!$E$11+1,1))</f>
        <v>389.12604446638119</v>
      </c>
      <c r="BJ60" s="60">
        <f t="shared" si="38"/>
        <v>243.23852967152732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7.4</v>
      </c>
      <c r="BY60" s="13">
        <f>IF('Données projet'!$A$114&gt;35,BY59+BX60-CG59,IF(A60&lt;'Données projet'!$A$114,$BV$205^A60,IF(A60='Données projet'!$A$114,'Données projet'!$B$114,BY59+BX60-CG59)))</f>
        <v>191.80000000000007</v>
      </c>
      <c r="BZ60" s="14">
        <f>BY60*VLOOKUP('Données projet'!$B$12,Paramètres!$A$1:$I$89,3,0)*VLOOKUP('Données projet'!$B$12,Paramètres!$A$1:$I$89,5,0)</f>
        <v>173.54064000000005</v>
      </c>
      <c r="CA60" s="14">
        <f t="shared" si="39"/>
        <v>43.882055316228445</v>
      </c>
      <c r="CB60" s="22">
        <f t="shared" si="10"/>
        <v>378.67786100909797</v>
      </c>
      <c r="CC60" s="60">
        <f t="shared" si="11"/>
        <v>672.01119434243128</v>
      </c>
      <c r="CD60" s="60">
        <f ca="1">AVERAGE(OFFSET($CC$3,0,0,'Données projet'!$E$12+1,1))-AVERAGE(OFFSET($H$3,0,0,'Données projet'!$E$12+1,1))</f>
        <v>371.95849973474657</v>
      </c>
      <c r="CE60" s="60">
        <f t="shared" si="40"/>
        <v>233.32640143610547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1.6516782474608048E-3</v>
      </c>
      <c r="CN60" s="24">
        <f t="shared" si="12"/>
        <v>1.6516782474608048E-3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7.4</v>
      </c>
      <c r="CT60" s="13">
        <f>IF('Données projet'!$A$140&gt;35,CT59+CS60-DB59,IF(A60&lt;'Données projet'!$A$140,$CQ$205^A60,IF(A60='Données projet'!$A$140,'Données projet'!$B$140,CT59+CS60-DB59)))</f>
        <v>191.80000000000007</v>
      </c>
      <c r="CU60" s="18">
        <f>CT60*VLOOKUP('Données projet'!$B$13,Paramètres!$A$1:$I$89,3,0)*VLOOKUP('Données projet'!$B$13,Paramètres!$A$1:$I$89,5,0)</f>
        <v>185.50896000000006</v>
      </c>
      <c r="CV60" s="14">
        <f t="shared" si="41"/>
        <v>46.545669588393878</v>
      </c>
      <c r="CW60" s="22">
        <f t="shared" si="13"/>
        <v>404.16181319978608</v>
      </c>
      <c r="CX60" s="60">
        <f t="shared" si="14"/>
        <v>697.4951465331194</v>
      </c>
      <c r="CY60" s="60">
        <f ca="1">AVERAGE(OFFSET($CX$3,0,0,'Données projet'!$E$13+1,1))-AVERAGE(OFFSET($H$3,0,0,'Données projet'!$E$13+1,1))</f>
        <v>394.8445842828649</v>
      </c>
      <c r="CZ60" s="60">
        <f t="shared" si="42"/>
        <v>246.54010105494143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1.7655870921132752E-3</v>
      </c>
      <c r="DI60" s="24">
        <f t="shared" si="15"/>
        <v>1.7655870921132752E-3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4.4000000000000004</v>
      </c>
      <c r="DO60" s="13">
        <f>IF('Données projet'!$A$166&gt;35,DO59+DN60-DW59,IF(A60&lt;'Données projet'!$A$166,$DL$205^A60,IF(A60='Données projet'!$A$166,'Données projet'!$B$166,DO59+DN60-DW59)))</f>
        <v>162.80000000000001</v>
      </c>
      <c r="DP60" s="18">
        <f>DO60*VLOOKUP('Données projet'!$B$14,Paramètres!$A$1:$I$89,3,0)*VLOOKUP('Données projet'!$B$14,Paramètres!$A$1:$I$89,5,0)</f>
        <v>142.22208000000003</v>
      </c>
      <c r="DQ60" s="14">
        <f t="shared" si="43"/>
        <v>36.805585341198615</v>
      </c>
      <c r="DR60" s="22">
        <f t="shared" si="16"/>
        <v>311.80651713592096</v>
      </c>
      <c r="DS60" s="60">
        <f t="shared" si="17"/>
        <v>605.13985046925427</v>
      </c>
      <c r="DT60" s="60">
        <f ca="1">AVERAGE(OFFSET($DS$3,0,0,'Données projet'!$E$14+1,1))-AVERAGE(OFFSET($H$3,0,0,'Données projet'!$E$14+1,1))</f>
        <v>266.98113257513319</v>
      </c>
      <c r="DU60" s="60">
        <f t="shared" si="44"/>
        <v>275.73257102713393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5.2666157152389266</v>
      </c>
      <c r="EC60" s="23">
        <f>EXP(-LN(2)/2)*EC59+(1-EXP(-LN(2)/2))/(LN(2)/2)*DW60*DZ60*VLOOKUP('Données projet'!$B$14,Paramètres!$A$1:$I$89,3,0)*0.475*44/12</f>
        <v>9.0344271171434844E-4</v>
      </c>
      <c r="ED60" s="24">
        <f t="shared" si="18"/>
        <v>5.2675191579506411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7.4</v>
      </c>
      <c r="EJ60" s="13">
        <f>IF('Données projet'!$A$192&gt;35,EJ59+EI60-ER59,IF(A60&lt;'Données projet'!$A$192,$EG$205^A60,IF(A60='Données projet'!$A$192,'Données projet'!$B$192,EJ59+EI60-ER59)))</f>
        <v>191.80000000000007</v>
      </c>
      <c r="EK60" s="18">
        <f>EJ60*VLOOKUP('Données projet'!$B$15,Paramètres!$A$1:$I$89,3,0)*VLOOKUP('Données projet'!$B$15,Paramètres!$A$1:$I$89,5,0)</f>
        <v>218.42184000000006</v>
      </c>
      <c r="EL60" s="14">
        <f t="shared" si="45"/>
        <v>53.771736855235361</v>
      </c>
      <c r="EM60" s="22">
        <f t="shared" si="19"/>
        <v>474.07047968953492</v>
      </c>
      <c r="EN60" s="60">
        <f t="shared" si="20"/>
        <v>767.40381302286823</v>
      </c>
      <c r="EO60" s="60">
        <f ca="1">AVERAGE(OFFSET($EN$3,0,0,'Données projet'!$E$15+1,1))-AVERAGE(OFFSET($H$3,0,0,'Données projet'!$E$15+1,1))</f>
        <v>457.62828850677369</v>
      </c>
      <c r="EP60" s="60">
        <f t="shared" si="46"/>
        <v>282.78263556175563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7.4</v>
      </c>
      <c r="FE60" s="13">
        <f>IF('Données projet'!$A$218&gt;35,FE59+FD60-FM59,IF(A60&lt;'Données projet'!$A$218,$FB$205^A60,IF(A60='Données projet'!$A$218,'Données projet'!$B$218,FE59+FD60-FM59)))</f>
        <v>191.80000000000007</v>
      </c>
      <c r="FF60" s="18">
        <f>FE60*VLOOKUP('Données projet'!$B$16,Paramètres!$A$1:$I$89,3,0)*VLOOKUP('Données projet'!$B$16,Paramètres!$A$1:$I$89,5,0)</f>
        <v>209.44560000000007</v>
      </c>
      <c r="FG60" s="14">
        <f t="shared" si="47"/>
        <v>51.8144167169784</v>
      </c>
      <c r="FH60" s="22">
        <f t="shared" si="22"/>
        <v>455.02786244873755</v>
      </c>
      <c r="FI60" s="60">
        <f t="shared" si="23"/>
        <v>748.36119578207081</v>
      </c>
      <c r="FJ60" s="60">
        <f ca="1">AVERAGE(OFFSET($FI$3,0,0,'Données projet'!$E$16+1,1))-AVERAGE(OFFSET($H$3,0,0,'Données projet'!$E$16+1,1))</f>
        <v>440.52623925652182</v>
      </c>
      <c r="FK60" s="60">
        <f t="shared" si="48"/>
        <v>272.91122662088918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>
        <f>VLOOKUP(A60,'Données projet'!$A$243:$I$263,2,0)</f>
        <v>316</v>
      </c>
      <c r="FX60" s="13">
        <f>VLOOKUP(A60,'Données projet'!$A$243:$I$263,9,0)</f>
        <v>15</v>
      </c>
      <c r="FY60" s="13">
        <f t="array" ref="FY60">INDEX(FX:FX,MIN(IF(ISNUMBER(FX60:FX256),ROW(FX60:FX256),"")))</f>
        <v>15</v>
      </c>
      <c r="FZ60" s="13">
        <f>IF('Données projet'!$A$244&gt;35,FZ59+FY60-GH59,IF(A60&lt;'Données projet'!$A$244,$FW$205^A60,IF(A60='Données projet'!$A$244,'Données projet'!$B$244,FZ59+FY60-GH59)))</f>
        <v>315.99999999999989</v>
      </c>
      <c r="GA60" s="18">
        <f>FZ60*VLOOKUP('Données projet'!$B$17,Paramètres!$A$1:$I$89,3,0)*VLOOKUP('Données projet'!$B$17,Paramètres!$A$1:$I$89,5,0)</f>
        <v>147.88799999999995</v>
      </c>
      <c r="GB60" s="14">
        <f t="shared" si="49"/>
        <v>38.098230660204834</v>
      </c>
      <c r="GC60" s="22">
        <f t="shared" si="25"/>
        <v>323.92601839985667</v>
      </c>
      <c r="GD60" s="60">
        <f t="shared" si="26"/>
        <v>617.25935173318999</v>
      </c>
      <c r="GE60" s="60">
        <f ca="1">AVERAGE(OFFSET($GD$3,0,0,'Données projet'!$E$17+1,1))-AVERAGE(OFFSET($H$3,0,0,'Données projet'!$E$17+1,1))</f>
        <v>317.54276561627643</v>
      </c>
      <c r="GF60" s="60">
        <f t="shared" si="50"/>
        <v>238.92443174298893</v>
      </c>
      <c r="GG60" s="16">
        <f>IF(ISNA(VLOOKUP(A60,'Données projet'!$A$243:$I$263,3,0)),0,VLOOKUP(A60,'Données projet'!$A$243:$I$263,3,0))</f>
        <v>8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>
        <f>GU60*VLOOKUP('Données projet'!$B$18,Paramètres!$A$1:$I$89,3,0)*VLOOKUP('Données projet'!$B$18,Paramètres!$A$1:$I$89,5,0)</f>
        <v>0</v>
      </c>
      <c r="GW60" s="14" t="e">
        <f t="shared" si="51"/>
        <v>#NUM!</v>
      </c>
      <c r="GX60" s="22" t="e">
        <f t="shared" si="28"/>
        <v>#NUM!</v>
      </c>
      <c r="GY60" s="60" t="e">
        <f t="shared" si="29"/>
        <v>#NUM!</v>
      </c>
      <c r="GZ60" s="60">
        <f ca="1">AVERAGE(OFFSET($GY$3,0,0,'Données projet'!$E$18+1,1))-AVERAGE(OFFSET($H$3,0,0,'Données projet'!$E$18+1,1))</f>
        <v>79.868679770907136</v>
      </c>
      <c r="HA60" s="60">
        <f t="shared" si="52"/>
        <v>370.47471103028312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36.399374554110906</v>
      </c>
      <c r="HH60" s="23">
        <f>EXP(-LN(2)/25)*HH59+(1-EXP(-LN(2)/25))/(LN(2)/25)*Calculateur!HC60*Calculateur!HE60*VLOOKUP('Données projet'!$B$18,Paramètres!$A$1:$I$89,3,0)*0.475*44/12</f>
        <v>7.1458694484683773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43.545244002579281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0">
        <f t="shared" si="0"/>
        <v>293.33333333333439</v>
      </c>
      <c r="S61" s="60">
        <f ca="1">AVERAGE(OFFSET($R$3,0,0,'Données projet'!$E$9+1,1))-AVERAGE(OFFSET($H$3,0,0,'Données projet'!$E$9+1,1))</f>
        <v>206.5885410269899</v>
      </c>
      <c r="T61" s="60">
        <f t="shared" si="34"/>
        <v>347.41156847586302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3.3992364478763198E-14</v>
      </c>
      <c r="AK61" s="14">
        <f t="shared" si="35"/>
        <v>5.790027782444094E-13</v>
      </c>
      <c r="AL61" s="22">
        <f t="shared" si="4"/>
        <v>1.0676332069095257E-12</v>
      </c>
      <c r="AM61" s="60">
        <f t="shared" si="5"/>
        <v>293.33333333333439</v>
      </c>
      <c r="AN61" s="60">
        <f ca="1">AVERAGE(OFFSET($AM$3,0,0,'Données projet'!$E$10+1,1))-AVERAGE(OFFSET($H$3,0,0,'Données projet'!$E$10+1,1))</f>
        <v>206.5885410269899</v>
      </c>
      <c r="AO61" s="60">
        <f t="shared" si="36"/>
        <v>347.41156847586302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62.827995863209132</v>
      </c>
      <c r="AV61" s="23">
        <f>EXP(-LN(2)/25)*AV60+(1-EXP(-LN(2)/25))/(LN(2)/25)*Calculateur!AQ61*Calculateur!AS61*VLOOKUP('Données projet'!$B$10,Paramètres!$A$1:$I$89,3,0)*0.475*44/12</f>
        <v>1.5381293428688532</v>
      </c>
      <c r="AW61" s="23">
        <f>EXP(-LN(2)/2)*AW60+(1-EXP(-LN(2)/2))/(LN(2)/2)*AQ61*AT61*VLOOKUP('Données projet'!$B$10,Paramètres!$A$1:$I$89,3,0)*0.475*44/12</f>
        <v>6.7231362224672825E-2</v>
      </c>
      <c r="AX61" s="23">
        <f t="shared" si="6"/>
        <v>64.433356568302656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199.20000000000007</v>
      </c>
      <c r="BE61" s="14">
        <f>BD61*VLOOKUP('Données projet'!$B$11,Paramètres!$A$1:$I$89,3,0)*VLOOKUP('Données projet'!$B$11,Paramètres!$A$1:$I$89,5,0)</f>
        <v>189.55872000000008</v>
      </c>
      <c r="BF61" s="14">
        <f t="shared" si="37"/>
        <v>47.442378909817926</v>
      </c>
      <c r="BG61" s="22">
        <f t="shared" si="7"/>
        <v>412.77691393459969</v>
      </c>
      <c r="BH61" s="60">
        <f t="shared" si="8"/>
        <v>706.110247267933</v>
      </c>
      <c r="BI61" s="60">
        <f ca="1">AVERAGE(OFFSET($BH$3,0,0,'Données projet'!$E$11+1,1))-AVERAGE(OFFSET($H$3,0,0,'Données projet'!$E$11+1,1))</f>
        <v>389.12604446638119</v>
      </c>
      <c r="BJ61" s="60">
        <f t="shared" si="38"/>
        <v>243.23852967152732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7.4</v>
      </c>
      <c r="BY61" s="13">
        <f>IF('Données projet'!$A$114&gt;35,BY60+BX61-CG60,IF(A61&lt;'Données projet'!$A$114,$BV$205^A61,IF(A61='Données projet'!$A$114,'Données projet'!$B$114,BY60+BX61-CG60)))</f>
        <v>199.20000000000007</v>
      </c>
      <c r="BZ61" s="14">
        <f>BY61*VLOOKUP('Données projet'!$B$12,Paramètres!$A$1:$I$89,3,0)*VLOOKUP('Données projet'!$B$12,Paramètres!$A$1:$I$89,5,0)</f>
        <v>180.23616000000004</v>
      </c>
      <c r="CA61" s="14">
        <f t="shared" si="39"/>
        <v>45.374723405565959</v>
      </c>
      <c r="CB61" s="22">
        <f t="shared" si="10"/>
        <v>392.93895526469413</v>
      </c>
      <c r="CC61" s="60">
        <f t="shared" si="11"/>
        <v>686.27228859802744</v>
      </c>
      <c r="CD61" s="60">
        <f ca="1">AVERAGE(OFFSET($CC$3,0,0,'Données projet'!$E$12+1,1))-AVERAGE(OFFSET($H$3,0,0,'Données projet'!$E$12+1,1))</f>
        <v>371.95849973474657</v>
      </c>
      <c r="CE61" s="60">
        <f t="shared" si="40"/>
        <v>233.32640143610547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1.1679128891178476E-3</v>
      </c>
      <c r="CN61" s="24">
        <f t="shared" si="12"/>
        <v>1.1679128891178476E-3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7.4</v>
      </c>
      <c r="CT61" s="13">
        <f>IF('Données projet'!$A$140&gt;35,CT60+CS61-DB60,IF(A61&lt;'Données projet'!$A$140,$CQ$205^A61,IF(A61='Données projet'!$A$140,'Données projet'!$B$140,CT60+CS61-DB60)))</f>
        <v>199.20000000000007</v>
      </c>
      <c r="CU61" s="18">
        <f>CT61*VLOOKUP('Données projet'!$B$13,Paramètres!$A$1:$I$89,3,0)*VLOOKUP('Données projet'!$B$13,Paramètres!$A$1:$I$89,5,0)</f>
        <v>192.66624000000007</v>
      </c>
      <c r="CV61" s="14">
        <f t="shared" si="41"/>
        <v>48.12894172983674</v>
      </c>
      <c r="CW61" s="22">
        <f t="shared" si="13"/>
        <v>419.38494151279912</v>
      </c>
      <c r="CX61" s="60">
        <f t="shared" si="14"/>
        <v>712.71827484613243</v>
      </c>
      <c r="CY61" s="60">
        <f ca="1">AVERAGE(OFFSET($CX$3,0,0,'Données projet'!$E$13+1,1))-AVERAGE(OFFSET($H$3,0,0,'Données projet'!$E$13+1,1))</f>
        <v>394.8445842828649</v>
      </c>
      <c r="CZ61" s="60">
        <f t="shared" si="42"/>
        <v>246.54010105494143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1.2484586056087344E-3</v>
      </c>
      <c r="DI61" s="24">
        <f t="shared" si="15"/>
        <v>1.2484586056087344E-3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4.4000000000000004</v>
      </c>
      <c r="DO61" s="13">
        <f>IF('Données projet'!$A$166&gt;35,DO60+DN61-DW60,IF(A61&lt;'Données projet'!$A$166,$DL$205^A61,IF(A61='Données projet'!$A$166,'Données projet'!$B$166,DO60+DN61-DW60)))</f>
        <v>167.20000000000002</v>
      </c>
      <c r="DP61" s="18">
        <f>DO61*VLOOKUP('Données projet'!$B$14,Paramètres!$A$1:$I$89,3,0)*VLOOKUP('Données projet'!$B$14,Paramètres!$A$1:$I$89,5,0)</f>
        <v>146.06592000000003</v>
      </c>
      <c r="DQ61" s="14">
        <f t="shared" si="43"/>
        <v>37.683173643014399</v>
      </c>
      <c r="DR61" s="22">
        <f t="shared" si="16"/>
        <v>320.02967142825008</v>
      </c>
      <c r="DS61" s="60">
        <f t="shared" si="17"/>
        <v>613.3630047615834</v>
      </c>
      <c r="DT61" s="60">
        <f ca="1">AVERAGE(OFFSET($DS$3,0,0,'Données projet'!$E$14+1,1))-AVERAGE(OFFSET($H$3,0,0,'Données projet'!$E$14+1,1))</f>
        <v>266.98113257513319</v>
      </c>
      <c r="DU61" s="60">
        <f t="shared" si="44"/>
        <v>275.73257102713393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5.1225998315464345</v>
      </c>
      <c r="EC61" s="23">
        <f>EXP(-LN(2)/2)*EC60+(1-EXP(-LN(2)/2))/(LN(2)/2)*DW61*DZ61*VLOOKUP('Données projet'!$B$14,Paramètres!$A$1:$I$89,3,0)*0.475*44/12</f>
        <v>6.3883046786677891E-4</v>
      </c>
      <c r="ED61" s="24">
        <f t="shared" si="18"/>
        <v>5.1232386620143009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7.4</v>
      </c>
      <c r="EJ61" s="13">
        <f>IF('Données projet'!$A$192&gt;35,EJ60+EI61-ER60,IF(A61&lt;'Données projet'!$A$192,$EG$205^A61,IF(A61='Données projet'!$A$192,'Données projet'!$B$192,EJ60+EI61-ER60)))</f>
        <v>199.20000000000007</v>
      </c>
      <c r="EK61" s="18">
        <f>EJ61*VLOOKUP('Données projet'!$B$15,Paramètres!$A$1:$I$89,3,0)*VLOOKUP('Données projet'!$B$15,Paramètres!$A$1:$I$89,5,0)</f>
        <v>226.84896000000009</v>
      </c>
      <c r="EL61" s="14">
        <f t="shared" si="45"/>
        <v>55.600806964501203</v>
      </c>
      <c r="EM61" s="22">
        <f t="shared" si="19"/>
        <v>491.93334412983972</v>
      </c>
      <c r="EN61" s="60">
        <f t="shared" si="20"/>
        <v>785.26667746317298</v>
      </c>
      <c r="EO61" s="60">
        <f ca="1">AVERAGE(OFFSET($EN$3,0,0,'Données projet'!$E$15+1,1))-AVERAGE(OFFSET($H$3,0,0,'Données projet'!$E$15+1,1))</f>
        <v>457.62828850677369</v>
      </c>
      <c r="EP61" s="60">
        <f t="shared" si="46"/>
        <v>282.78263556175563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7.4</v>
      </c>
      <c r="FE61" s="13">
        <f>IF('Données projet'!$A$218&gt;35,FE60+FD61-FM60,IF(A61&lt;'Données projet'!$A$218,$FB$205^A61,IF(A61='Données projet'!$A$218,'Données projet'!$B$218,FE60+FD61-FM60)))</f>
        <v>199.20000000000007</v>
      </c>
      <c r="FF61" s="18">
        <f>FE61*VLOOKUP('Données projet'!$B$16,Paramètres!$A$1:$I$89,3,0)*VLOOKUP('Données projet'!$B$16,Paramètres!$A$1:$I$89,5,0)</f>
        <v>217.52640000000008</v>
      </c>
      <c r="FG61" s="14">
        <f t="shared" si="47"/>
        <v>53.576907690651254</v>
      </c>
      <c r="FH61" s="22">
        <f t="shared" si="22"/>
        <v>472.17159422788433</v>
      </c>
      <c r="FI61" s="60">
        <f t="shared" si="23"/>
        <v>765.50492756121764</v>
      </c>
      <c r="FJ61" s="60">
        <f ca="1">AVERAGE(OFFSET($FI$3,0,0,'Données projet'!$E$16+1,1))-AVERAGE(OFFSET($H$3,0,0,'Données projet'!$E$16+1,1))</f>
        <v>440.52623925652182</v>
      </c>
      <c r="FK61" s="60">
        <f t="shared" si="48"/>
        <v>272.91122662088918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16.666666666666668</v>
      </c>
      <c r="FZ61" s="13">
        <f>IF('Données projet'!$A$244&gt;35,FZ60+FY61-GH60,IF(A61&lt;'Données projet'!$A$244,$FW$205^A61,IF(A61='Données projet'!$A$244,'Données projet'!$B$244,FZ60+FY61-GH60)))</f>
        <v>332.66666666666657</v>
      </c>
      <c r="GA61" s="18">
        <f>FZ61*VLOOKUP('Données projet'!$B$17,Paramètres!$A$1:$I$89,3,0)*VLOOKUP('Données projet'!$B$17,Paramètres!$A$1:$I$89,5,0)</f>
        <v>155.68799999999996</v>
      </c>
      <c r="GB61" s="14">
        <f t="shared" si="49"/>
        <v>39.868390761764985</v>
      </c>
      <c r="GC61" s="22">
        <f t="shared" si="25"/>
        <v>340.5940472434072</v>
      </c>
      <c r="GD61" s="60">
        <f t="shared" si="26"/>
        <v>633.92738057674046</v>
      </c>
      <c r="GE61" s="60">
        <f ca="1">AVERAGE(OFFSET($GD$3,0,0,'Données projet'!$E$17+1,1))-AVERAGE(OFFSET($H$3,0,0,'Données projet'!$E$17+1,1))</f>
        <v>317.54276561627643</v>
      </c>
      <c r="GF61" s="60">
        <f t="shared" si="50"/>
        <v>238.92443174298893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>
        <f>GU61*VLOOKUP('Données projet'!$B$18,Paramètres!$A$1:$I$89,3,0)*VLOOKUP('Données projet'!$B$18,Paramètres!$A$1:$I$89,5,0)</f>
        <v>0</v>
      </c>
      <c r="GW61" s="14" t="e">
        <f t="shared" si="51"/>
        <v>#NUM!</v>
      </c>
      <c r="GX61" s="22" t="e">
        <f t="shared" si="28"/>
        <v>#NUM!</v>
      </c>
      <c r="GY61" s="60" t="e">
        <f t="shared" si="29"/>
        <v>#NUM!</v>
      </c>
      <c r="GZ61" s="60">
        <f ca="1">AVERAGE(OFFSET($GY$3,0,0,'Données projet'!$E$18+1,1))-AVERAGE(OFFSET($H$3,0,0,'Données projet'!$E$18+1,1))</f>
        <v>79.868679770907136</v>
      </c>
      <c r="HA61" s="60">
        <f t="shared" si="52"/>
        <v>370.47471103028312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35.685605020531064</v>
      </c>
      <c r="HH61" s="23">
        <f>EXP(-LN(2)/25)*HH60+(1-EXP(-LN(2)/25))/(LN(2)/25)*Calculateur!HC61*Calculateur!HE61*VLOOKUP('Données projet'!$B$18,Paramètres!$A$1:$I$89,3,0)*0.475*44/12</f>
        <v>6.9504652726150677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42.636070293146133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0">
        <f t="shared" si="0"/>
        <v>293.33333333333439</v>
      </c>
      <c r="S62" s="60">
        <f ca="1">AVERAGE(OFFSET($R$3,0,0,'Données projet'!$E$9+1,1))-AVERAGE(OFFSET($H$3,0,0,'Données projet'!$E$9+1,1))</f>
        <v>206.5885410269899</v>
      </c>
      <c r="T62" s="60">
        <f t="shared" si="34"/>
        <v>347.41156847586302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3.3992364478763198E-14</v>
      </c>
      <c r="AK62" s="14">
        <f t="shared" si="35"/>
        <v>5.790027782444094E-13</v>
      </c>
      <c r="AL62" s="22">
        <f t="shared" si="4"/>
        <v>1.0676332069095257E-12</v>
      </c>
      <c r="AM62" s="60">
        <f t="shared" si="5"/>
        <v>293.33333333333439</v>
      </c>
      <c r="AN62" s="60">
        <f ca="1">AVERAGE(OFFSET($AM$3,0,0,'Données projet'!$E$10+1,1))-AVERAGE(OFFSET($H$3,0,0,'Données projet'!$E$10+1,1))</f>
        <v>206.5885410269899</v>
      </c>
      <c r="AO62" s="60">
        <f t="shared" si="36"/>
        <v>347.41156847586302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61.595977185625166</v>
      </c>
      <c r="AV62" s="23">
        <f>EXP(-LN(2)/25)*AV61+(1-EXP(-LN(2)/25))/(LN(2)/25)*Calculateur!AQ62*Calculateur!AS62*VLOOKUP('Données projet'!$B$10,Paramètres!$A$1:$I$89,3,0)*0.475*44/12</f>
        <v>1.4960691151013976</v>
      </c>
      <c r="AW62" s="23">
        <f>EXP(-LN(2)/2)*AW61+(1-EXP(-LN(2)/2))/(LN(2)/2)*AQ62*AT62*VLOOKUP('Données projet'!$B$10,Paramètres!$A$1:$I$89,3,0)*0.475*44/12</f>
        <v>4.7539752137475244E-2</v>
      </c>
      <c r="AX62" s="23">
        <f t="shared" si="6"/>
        <v>63.13958605286404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206.60000000000008</v>
      </c>
      <c r="BE62" s="14">
        <f>BD62*VLOOKUP('Données projet'!$B$11,Paramètres!$A$1:$I$89,3,0)*VLOOKUP('Données projet'!$B$11,Paramètres!$A$1:$I$89,5,0)</f>
        <v>196.60056000000006</v>
      </c>
      <c r="BF62" s="14">
        <f t="shared" si="37"/>
        <v>48.99632993395123</v>
      </c>
      <c r="BG62" s="22">
        <f t="shared" si="7"/>
        <v>427.74791663496512</v>
      </c>
      <c r="BH62" s="60">
        <f t="shared" si="8"/>
        <v>721.08124996829838</v>
      </c>
      <c r="BI62" s="60">
        <f ca="1">AVERAGE(OFFSET($BH$3,0,0,'Données projet'!$E$11+1,1))-AVERAGE(OFFSET($H$3,0,0,'Données projet'!$E$11+1,1))</f>
        <v>389.12604446638119</v>
      </c>
      <c r="BJ62" s="60">
        <f t="shared" si="38"/>
        <v>243.23852967152732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7.4</v>
      </c>
      <c r="BY62" s="13">
        <f>IF('Données projet'!$A$114&gt;35,BY61+BX62-CG61,IF(A62&lt;'Données projet'!$A$114,$BV$205^A62,IF(A62='Données projet'!$A$114,'Données projet'!$B$114,BY61+BX62-CG61)))</f>
        <v>206.60000000000008</v>
      </c>
      <c r="BZ62" s="14">
        <f>BY62*VLOOKUP('Données projet'!$B$12,Paramètres!$A$1:$I$89,3,0)*VLOOKUP('Données projet'!$B$12,Paramètres!$A$1:$I$89,5,0)</f>
        <v>186.93168000000006</v>
      </c>
      <c r="CA62" s="14">
        <f t="shared" si="39"/>
        <v>46.860949423866458</v>
      </c>
      <c r="CB62" s="22">
        <f t="shared" si="10"/>
        <v>407.18882957990081</v>
      </c>
      <c r="CC62" s="60">
        <f t="shared" si="11"/>
        <v>700.52216291323407</v>
      </c>
      <c r="CD62" s="60">
        <f ca="1">AVERAGE(OFFSET($CC$3,0,0,'Données projet'!$E$12+1,1))-AVERAGE(OFFSET($H$3,0,0,'Données projet'!$E$12+1,1))</f>
        <v>371.95849973474657</v>
      </c>
      <c r="CE62" s="60">
        <f t="shared" si="40"/>
        <v>233.32640143610547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8.2583912373040242E-4</v>
      </c>
      <c r="CN62" s="24">
        <f t="shared" si="12"/>
        <v>8.2583912373040242E-4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7.4</v>
      </c>
      <c r="CT62" s="13">
        <f>IF('Données projet'!$A$140&gt;35,CT61+CS62-DB61,IF(A62&lt;'Données projet'!$A$140,$CQ$205^A62,IF(A62='Données projet'!$A$140,'Données projet'!$B$140,CT61+CS62-DB61)))</f>
        <v>206.60000000000008</v>
      </c>
      <c r="CU62" s="18">
        <f>CT62*VLOOKUP('Données projet'!$B$13,Paramètres!$A$1:$I$89,3,0)*VLOOKUP('Données projet'!$B$13,Paramètres!$A$1:$I$89,5,0)</f>
        <v>199.82352000000006</v>
      </c>
      <c r="CV62" s="14">
        <f t="shared" si="41"/>
        <v>49.705380770418969</v>
      </c>
      <c r="CW62" s="22">
        <f t="shared" si="13"/>
        <v>434.59616884181315</v>
      </c>
      <c r="CX62" s="60">
        <f t="shared" si="14"/>
        <v>727.92950217514647</v>
      </c>
      <c r="CY62" s="60">
        <f ca="1">AVERAGE(OFFSET($CX$3,0,0,'Données projet'!$E$13+1,1))-AVERAGE(OFFSET($H$3,0,0,'Données projet'!$E$13+1,1))</f>
        <v>394.8445842828649</v>
      </c>
      <c r="CZ62" s="60">
        <f t="shared" si="42"/>
        <v>246.54010105494143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8.8279354605663761E-4</v>
      </c>
      <c r="DI62" s="24">
        <f t="shared" si="15"/>
        <v>8.8279354605663761E-4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4.4000000000000004</v>
      </c>
      <c r="DO62" s="13">
        <f>IF('Données projet'!$A$166&gt;35,DO61+DN62-DW61,IF(A62&lt;'Données projet'!$A$166,$DL$205^A62,IF(A62='Données projet'!$A$166,'Données projet'!$B$166,DO61+DN62-DW61)))</f>
        <v>171.60000000000002</v>
      </c>
      <c r="DP62" s="18">
        <f>DO62*VLOOKUP('Données projet'!$B$14,Paramètres!$A$1:$I$89,3,0)*VLOOKUP('Données projet'!$B$14,Paramètres!$A$1:$I$89,5,0)</f>
        <v>149.90976000000003</v>
      </c>
      <c r="DQ62" s="14">
        <f t="shared" si="43"/>
        <v>38.558077538852132</v>
      </c>
      <c r="DR62" s="22">
        <f t="shared" si="16"/>
        <v>328.24815038016749</v>
      </c>
      <c r="DS62" s="60">
        <f t="shared" si="17"/>
        <v>621.5814837135008</v>
      </c>
      <c r="DT62" s="60">
        <f ca="1">AVERAGE(OFFSET($DS$3,0,0,'Données projet'!$E$14+1,1))-AVERAGE(OFFSET($H$3,0,0,'Données projet'!$E$14+1,1))</f>
        <v>266.98113257513319</v>
      </c>
      <c r="DU62" s="60">
        <f t="shared" si="44"/>
        <v>275.73257102713393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4.9825220697669801</v>
      </c>
      <c r="EC62" s="23">
        <f>EXP(-LN(2)/2)*EC61+(1-EXP(-LN(2)/2))/(LN(2)/2)*DW62*DZ62*VLOOKUP('Données projet'!$B$14,Paramètres!$A$1:$I$89,3,0)*0.475*44/12</f>
        <v>4.5172135585717422E-4</v>
      </c>
      <c r="ED62" s="24">
        <f t="shared" si="18"/>
        <v>4.9829737911228369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7.4</v>
      </c>
      <c r="EJ62" s="13">
        <f>IF('Données projet'!$A$192&gt;35,EJ61+EI62-ER61,IF(A62&lt;'Données projet'!$A$192,$EG$205^A62,IF(A62='Données projet'!$A$192,'Données projet'!$B$192,EJ61+EI62-ER61)))</f>
        <v>206.60000000000008</v>
      </c>
      <c r="EK62" s="18">
        <f>EJ62*VLOOKUP('Données projet'!$B$15,Paramètres!$A$1:$I$89,3,0)*VLOOKUP('Données projet'!$B$15,Paramètres!$A$1:$I$89,5,0)</f>
        <v>235.27608000000006</v>
      </c>
      <c r="EL62" s="14">
        <f t="shared" si="45"/>
        <v>57.421983155715438</v>
      </c>
      <c r="EM62" s="22">
        <f t="shared" si="19"/>
        <v>509.78245999620441</v>
      </c>
      <c r="EN62" s="60">
        <f t="shared" si="20"/>
        <v>803.11579332953772</v>
      </c>
      <c r="EO62" s="60">
        <f ca="1">AVERAGE(OFFSET($EN$3,0,0,'Données projet'!$E$15+1,1))-AVERAGE(OFFSET($H$3,0,0,'Données projet'!$E$15+1,1))</f>
        <v>457.62828850677369</v>
      </c>
      <c r="EP62" s="60">
        <f t="shared" si="46"/>
        <v>282.78263556175563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7.4</v>
      </c>
      <c r="FE62" s="13">
        <f>IF('Données projet'!$A$218&gt;35,FE61+FD62-FM61,IF(A62&lt;'Données projet'!$A$218,$FB$205^A62,IF(A62='Données projet'!$A$218,'Données projet'!$B$218,FE61+FD62-FM61)))</f>
        <v>206.60000000000008</v>
      </c>
      <c r="FF62" s="18">
        <f>FE62*VLOOKUP('Données projet'!$B$16,Paramètres!$A$1:$I$89,3,0)*VLOOKUP('Données projet'!$B$16,Paramètres!$A$1:$I$89,5,0)</f>
        <v>225.60720000000006</v>
      </c>
      <c r="FG62" s="14">
        <f t="shared" si="47"/>
        <v>55.331792089134765</v>
      </c>
      <c r="FH62" s="22">
        <f t="shared" si="22"/>
        <v>489.30207788857643</v>
      </c>
      <c r="FI62" s="60">
        <f t="shared" si="23"/>
        <v>782.63541122190975</v>
      </c>
      <c r="FJ62" s="60">
        <f ca="1">AVERAGE(OFFSET($FI$3,0,0,'Données projet'!$E$16+1,1))-AVERAGE(OFFSET($H$3,0,0,'Données projet'!$E$16+1,1))</f>
        <v>440.52623925652182</v>
      </c>
      <c r="FK62" s="60">
        <f t="shared" si="48"/>
        <v>272.91122662088918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16.666666666666668</v>
      </c>
      <c r="FZ62" s="13">
        <f>IF('Données projet'!$A$244&gt;35,FZ61+FY62-GH61,IF(A62&lt;'Données projet'!$A$244,$FW$205^A62,IF(A62='Données projet'!$A$244,'Données projet'!$B$244,FZ61+FY62-GH61)))</f>
        <v>349.33333333333326</v>
      </c>
      <c r="GA62" s="18">
        <f>FZ62*VLOOKUP('Données projet'!$B$17,Paramètres!$A$1:$I$89,3,0)*VLOOKUP('Données projet'!$B$17,Paramètres!$A$1:$I$89,5,0)</f>
        <v>163.48799999999994</v>
      </c>
      <c r="GB62" s="14">
        <f t="shared" si="49"/>
        <v>41.628253379180116</v>
      </c>
      <c r="GC62" s="22">
        <f t="shared" si="25"/>
        <v>357.24414130207191</v>
      </c>
      <c r="GD62" s="60">
        <f t="shared" si="26"/>
        <v>650.57747463540522</v>
      </c>
      <c r="GE62" s="60">
        <f ca="1">AVERAGE(OFFSET($GD$3,0,0,'Données projet'!$E$17+1,1))-AVERAGE(OFFSET($H$3,0,0,'Données projet'!$E$17+1,1))</f>
        <v>317.54276561627643</v>
      </c>
      <c r="GF62" s="60">
        <f t="shared" si="50"/>
        <v>238.92443174298893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>
        <f>GU62*VLOOKUP('Données projet'!$B$18,Paramètres!$A$1:$I$89,3,0)*VLOOKUP('Données projet'!$B$18,Paramètres!$A$1:$I$89,5,0)</f>
        <v>0</v>
      </c>
      <c r="GW62" s="14" t="e">
        <f t="shared" si="51"/>
        <v>#NUM!</v>
      </c>
      <c r="GX62" s="22" t="e">
        <f t="shared" si="28"/>
        <v>#NUM!</v>
      </c>
      <c r="GY62" s="60" t="e">
        <f t="shared" si="29"/>
        <v>#NUM!</v>
      </c>
      <c r="GZ62" s="60">
        <f ca="1">AVERAGE(OFFSET($GY$3,0,0,'Données projet'!$E$18+1,1))-AVERAGE(OFFSET($H$3,0,0,'Données projet'!$E$18+1,1))</f>
        <v>79.868679770907136</v>
      </c>
      <c r="HA62" s="60">
        <f t="shared" si="52"/>
        <v>370.47471103028312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34.985832072148291</v>
      </c>
      <c r="HH62" s="23">
        <f>EXP(-LN(2)/25)*HH61+(1-EXP(-LN(2)/25))/(LN(2)/25)*Calculateur!HC62*Calculateur!HE62*VLOOKUP('Données projet'!$B$18,Paramètres!$A$1:$I$89,3,0)*0.475*44/12</f>
        <v>6.7604044342263254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41.746236506374615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0">
        <f t="shared" si="0"/>
        <v>293.33333333333439</v>
      </c>
      <c r="S63" s="60">
        <f ca="1">AVERAGE(OFFSET($R$3,0,0,'Données projet'!$E$9+1,1))-AVERAGE(OFFSET($H$3,0,0,'Données projet'!$E$9+1,1))</f>
        <v>206.5885410269899</v>
      </c>
      <c r="T63" s="60">
        <f t="shared" si="34"/>
        <v>347.41156847586302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3.3992364478763198E-14</v>
      </c>
      <c r="AK63" s="14">
        <f t="shared" si="35"/>
        <v>5.790027782444094E-13</v>
      </c>
      <c r="AL63" s="22">
        <f t="shared" si="4"/>
        <v>1.0676332069095257E-12</v>
      </c>
      <c r="AM63" s="60">
        <f t="shared" si="5"/>
        <v>293.33333333333439</v>
      </c>
      <c r="AN63" s="60">
        <f ca="1">AVERAGE(OFFSET($AM$3,0,0,'Données projet'!$E$10+1,1))-AVERAGE(OFFSET($H$3,0,0,'Données projet'!$E$10+1,1))</f>
        <v>206.5885410269899</v>
      </c>
      <c r="AO63" s="60">
        <f t="shared" si="36"/>
        <v>347.41156847586302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60.388117642851427</v>
      </c>
      <c r="AV63" s="23">
        <f>EXP(-LN(2)/25)*AV62+(1-EXP(-LN(2)/25))/(LN(2)/25)*Calculateur!AQ63*Calculateur!AS63*VLOOKUP('Données projet'!$B$10,Paramètres!$A$1:$I$89,3,0)*0.475*44/12</f>
        <v>1.4551590264740943</v>
      </c>
      <c r="AW63" s="23">
        <f>EXP(-LN(2)/2)*AW62+(1-EXP(-LN(2)/2))/(LN(2)/2)*AQ63*AT63*VLOOKUP('Données projet'!$B$10,Paramètres!$A$1:$I$89,3,0)*0.475*44/12</f>
        <v>3.3615681112336412E-2</v>
      </c>
      <c r="AX63" s="23">
        <f t="shared" si="6"/>
        <v>61.876892350437856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214.00000000000009</v>
      </c>
      <c r="BE63" s="14">
        <f>BD63*VLOOKUP('Données projet'!$B$11,Paramètres!$A$1:$I$89,3,0)*VLOOKUP('Données projet'!$B$11,Paramètres!$A$1:$I$89,5,0)</f>
        <v>203.64240000000009</v>
      </c>
      <c r="BF63" s="14">
        <f t="shared" si="37"/>
        <v>50.543814227115448</v>
      </c>
      <c r="BG63" s="22">
        <f t="shared" si="7"/>
        <v>442.70765644555962</v>
      </c>
      <c r="BH63" s="60">
        <f t="shared" si="8"/>
        <v>736.04098977889294</v>
      </c>
      <c r="BI63" s="60">
        <f ca="1">AVERAGE(OFFSET($BH$3,0,0,'Données projet'!$E$11+1,1))-AVERAGE(OFFSET($H$3,0,0,'Données projet'!$E$11+1,1))</f>
        <v>389.12604446638119</v>
      </c>
      <c r="BJ63" s="60">
        <f t="shared" si="38"/>
        <v>243.23852967152732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214</v>
      </c>
      <c r="BW63" s="13">
        <f>VLOOKUP(A63,'Données projet'!$A$113:$I$133,9,0)</f>
        <v>7.4</v>
      </c>
      <c r="BX63" s="13">
        <f t="array" ref="BX63">INDEX(BW:BW,MIN(IF(ISNUMBER(BW63:BW259),ROW(BW63:BW259),"")))</f>
        <v>7.4</v>
      </c>
      <c r="BY63" s="13">
        <f>IF('Données projet'!$A$114&gt;35,BY62+BX63-CG62,IF(A63&lt;'Données projet'!$A$114,$BV$205^A63,IF(A63='Données projet'!$A$114,'Données projet'!$B$114,BY62+BX63-CG62)))</f>
        <v>214.00000000000009</v>
      </c>
      <c r="BZ63" s="14">
        <f>BY63*VLOOKUP('Données projet'!$B$12,Paramètres!$A$1:$I$89,3,0)*VLOOKUP('Données projet'!$B$12,Paramètres!$A$1:$I$89,5,0)</f>
        <v>193.62720000000007</v>
      </c>
      <c r="CA63" s="14">
        <f t="shared" si="39"/>
        <v>48.340990547231236</v>
      </c>
      <c r="CB63" s="22">
        <f t="shared" si="10"/>
        <v>421.42793186976115</v>
      </c>
      <c r="CC63" s="60">
        <f t="shared" si="11"/>
        <v>714.76126520309447</v>
      </c>
      <c r="CD63" s="60">
        <f ca="1">AVERAGE(OFFSET($CC$3,0,0,'Données projet'!$E$12+1,1))-AVERAGE(OFFSET($H$3,0,0,'Données projet'!$E$12+1,1))</f>
        <v>371.95849973474657</v>
      </c>
      <c r="CE63" s="60">
        <f t="shared" si="40"/>
        <v>233.32640143610547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21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5.839564445589238E-4</v>
      </c>
      <c r="CN63" s="24">
        <f t="shared" si="12"/>
        <v>5.839564445589238E-4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214</v>
      </c>
      <c r="CR63" s="13">
        <f>VLOOKUP(A63,'Données projet'!$A$139:$I$159,9,0)</f>
        <v>7.4</v>
      </c>
      <c r="CS63" s="13">
        <f t="array" ref="CS63">INDEX(CR:CR,MIN(IF(ISNUMBER(CR63:CR259),ROW(CR63:CR259),"")))</f>
        <v>7.4</v>
      </c>
      <c r="CT63" s="13">
        <f>IF('Données projet'!$A$140&gt;35,CT62+CS63-DB62,IF(A63&lt;'Données projet'!$A$140,$CQ$205^A63,IF(A63='Données projet'!$A$140,'Données projet'!$B$140,CT62+CS63-DB62)))</f>
        <v>214.00000000000009</v>
      </c>
      <c r="CU63" s="18">
        <f>CT63*VLOOKUP('Données projet'!$B$13,Paramètres!$A$1:$I$89,3,0)*VLOOKUP('Données projet'!$B$13,Paramètres!$A$1:$I$89,5,0)</f>
        <v>206.9808000000001</v>
      </c>
      <c r="CV63" s="14">
        <f t="shared" si="41"/>
        <v>51.275259496675787</v>
      </c>
      <c r="CW63" s="22">
        <f t="shared" si="13"/>
        <v>449.7959702900439</v>
      </c>
      <c r="CX63" s="60">
        <f t="shared" si="14"/>
        <v>743.12930362337715</v>
      </c>
      <c r="CY63" s="60">
        <f ca="1">AVERAGE(OFFSET($CX$3,0,0,'Données projet'!$E$13+1,1))-AVERAGE(OFFSET($H$3,0,0,'Données projet'!$E$13+1,1))</f>
        <v>394.8445842828649</v>
      </c>
      <c r="CZ63" s="60">
        <f t="shared" si="42"/>
        <v>246.54010105494143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21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6.2422930280436721E-4</v>
      </c>
      <c r="DI63" s="24">
        <f t="shared" si="15"/>
        <v>6.2422930280436721E-4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176</v>
      </c>
      <c r="DM63" s="13">
        <f>VLOOKUP(A63,'Données projet'!$A$165:$I$185,9,0)</f>
        <v>4.4000000000000004</v>
      </c>
      <c r="DN63" s="13">
        <f t="array" ref="DN63">INDEX(DM:DM,MIN(IF(ISNUMBER(DM63:DM259),ROW(DM63:DM259),"")))</f>
        <v>4.4000000000000004</v>
      </c>
      <c r="DO63" s="13">
        <f>IF('Données projet'!$A$166&gt;35,DO62+DN63-DW62,IF(A63&lt;'Données projet'!$A$166,$DL$205^A63,IF(A63='Données projet'!$A$166,'Données projet'!$B$166,DO62+DN63-DW62)))</f>
        <v>176.00000000000003</v>
      </c>
      <c r="DP63" s="18">
        <f>DO63*VLOOKUP('Données projet'!$B$14,Paramètres!$A$1:$I$89,3,0)*VLOOKUP('Données projet'!$B$14,Paramètres!$A$1:$I$89,5,0)</f>
        <v>153.75360000000006</v>
      </c>
      <c r="DQ63" s="14">
        <f t="shared" si="43"/>
        <v>39.430373774012359</v>
      </c>
      <c r="DR63" s="22">
        <f t="shared" si="16"/>
        <v>336.462087656405</v>
      </c>
      <c r="DS63" s="60">
        <f t="shared" si="17"/>
        <v>629.79542098973832</v>
      </c>
      <c r="DT63" s="60">
        <f ca="1">AVERAGE(OFFSET($DS$3,0,0,'Données projet'!$E$14+1,1))-AVERAGE(OFFSET($H$3,0,0,'Données projet'!$E$14+1,1))</f>
        <v>266.98113257513319</v>
      </c>
      <c r="DU63" s="60">
        <f t="shared" si="44"/>
        <v>275.73257102713393</v>
      </c>
      <c r="DV63" s="16">
        <f>IF(ISNA(VLOOKUP(A63,'Données projet'!$A$165:$I$185,3,0)),0,VLOOKUP(A63,'Données projet'!$A$165:$I$185,3,0))</f>
        <v>9</v>
      </c>
      <c r="DW63" s="16">
        <f>IF(ISNA(VLOOKUP(A63,'Données projet'!$A$165:$I$185,4,0)),0,VLOOKUP(A63,'Données projet'!$A$165:$I$185,4,0))</f>
        <v>16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4.8462747417497543</v>
      </c>
      <c r="EC63" s="23">
        <f>EXP(-LN(2)/2)*EC62+(1-EXP(-LN(2)/2))/(LN(2)/2)*DW63*DZ63*VLOOKUP('Données projet'!$B$14,Paramètres!$A$1:$I$89,3,0)*0.475*44/12</f>
        <v>3.1941523393338945E-4</v>
      </c>
      <c r="ED63" s="24">
        <f t="shared" si="18"/>
        <v>4.8465941569836879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214</v>
      </c>
      <c r="EH63" s="13">
        <f>VLOOKUP(A63,'Données projet'!$A$191:$I$211,9,0)</f>
        <v>7.4</v>
      </c>
      <c r="EI63" s="13">
        <f t="array" ref="EI63">INDEX(EH:EH,MIN(IF(ISNUMBER(EH63:EH259),ROW(EH63:EH259),"")))</f>
        <v>7.4</v>
      </c>
      <c r="EJ63" s="13">
        <f>IF('Données projet'!$A$192&gt;35,EJ62+EI63-ER62,IF(A63&lt;'Données projet'!$A$192,$EG$205^A63,IF(A63='Données projet'!$A$192,'Données projet'!$B$192,EJ62+EI63-ER62)))</f>
        <v>214.00000000000009</v>
      </c>
      <c r="EK63" s="18">
        <f>EJ63*VLOOKUP('Données projet'!$B$15,Paramètres!$A$1:$I$89,3,0)*VLOOKUP('Données projet'!$B$15,Paramètres!$A$1:$I$89,5,0)</f>
        <v>243.70320000000009</v>
      </c>
      <c r="EL63" s="14">
        <f t="shared" si="45"/>
        <v>59.235580564655933</v>
      </c>
      <c r="EM63" s="22">
        <f t="shared" si="19"/>
        <v>527.61837615010927</v>
      </c>
      <c r="EN63" s="60">
        <f t="shared" si="20"/>
        <v>820.95170948344253</v>
      </c>
      <c r="EO63" s="60">
        <f ca="1">AVERAGE(OFFSET($EN$3,0,0,'Données projet'!$E$15+1,1))-AVERAGE(OFFSET($H$3,0,0,'Données projet'!$E$15+1,1))</f>
        <v>457.62828850677369</v>
      </c>
      <c r="EP63" s="60">
        <f t="shared" si="46"/>
        <v>282.78263556175563</v>
      </c>
      <c r="EQ63" s="16">
        <f>IF(ISNA(VLOOKUP(A63,'Données projet'!$A$191:$I$211,3,0)),0,VLOOKUP(A63,'Données projet'!$A$191:$I$211,3,0))</f>
        <v>8</v>
      </c>
      <c r="ER63" s="16">
        <f>IF(ISNA(VLOOKUP(A63,'Données projet'!$A$191:$I$211,4,0)),0,VLOOKUP(A63,'Données projet'!$A$191:$I$211,4,0))</f>
        <v>21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214</v>
      </c>
      <c r="FC63" s="13">
        <f>VLOOKUP(A63,'Données projet'!$A$217:$I$237,9,0)</f>
        <v>7.4</v>
      </c>
      <c r="FD63" s="13">
        <f t="array" ref="FD63">INDEX(FC:FC,MIN(IF(ISNUMBER(FC63:FC259),ROW(FC63:FC259),"")))</f>
        <v>7.4</v>
      </c>
      <c r="FE63" s="13">
        <f>IF('Données projet'!$A$218&gt;35,FE62+FD63-FM62,IF(A63&lt;'Données projet'!$A$218,$FB$205^A63,IF(A63='Données projet'!$A$218,'Données projet'!$B$218,FE62+FD63-FM62)))</f>
        <v>214.00000000000009</v>
      </c>
      <c r="FF63" s="18">
        <f>FE63*VLOOKUP('Données projet'!$B$16,Paramètres!$A$1:$I$89,3,0)*VLOOKUP('Données projet'!$B$16,Paramètres!$A$1:$I$89,5,0)</f>
        <v>233.68800000000007</v>
      </c>
      <c r="FG63" s="14">
        <f t="shared" si="47"/>
        <v>57.079373577094991</v>
      </c>
      <c r="FH63" s="22">
        <f t="shared" si="22"/>
        <v>506.41984231344054</v>
      </c>
      <c r="FI63" s="60">
        <f t="shared" si="23"/>
        <v>799.7531756467738</v>
      </c>
      <c r="FJ63" s="60">
        <f ca="1">AVERAGE(OFFSET($FI$3,0,0,'Données projet'!$E$16+1,1))-AVERAGE(OFFSET($H$3,0,0,'Données projet'!$E$16+1,1))</f>
        <v>440.52623925652182</v>
      </c>
      <c r="FK63" s="60">
        <f t="shared" si="48"/>
        <v>272.91122662088918</v>
      </c>
      <c r="FL63" s="16">
        <f>IF(ISNA(VLOOKUP(A63,'Données projet'!$A$217:$I$237,3,0)),0,VLOOKUP(A63,'Données projet'!$A$217:$I$237,3,0))</f>
        <v>8</v>
      </c>
      <c r="FM63" s="16">
        <f>IF(ISNA(VLOOKUP(A63,'Données projet'!$A$217:$I$237,4,0)),0,VLOOKUP(A63,'Données projet'!$A$217:$I$237,4,0))</f>
        <v>21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16.666666666666668</v>
      </c>
      <c r="FZ63" s="13">
        <f>IF('Données projet'!$A$244&gt;35,FZ62+FY63-GH62,IF(A63&lt;'Données projet'!$A$244,$FW$205^A63,IF(A63='Données projet'!$A$244,'Données projet'!$B$244,FZ62+FY63-GH62)))</f>
        <v>365.99999999999994</v>
      </c>
      <c r="GA63" s="18">
        <f>FZ63*VLOOKUP('Données projet'!$B$17,Paramètres!$A$1:$I$89,3,0)*VLOOKUP('Données projet'!$B$17,Paramètres!$A$1:$I$89,5,0)</f>
        <v>171.28799999999995</v>
      </c>
      <c r="GB63" s="14">
        <f t="shared" si="49"/>
        <v>43.378365895721338</v>
      </c>
      <c r="GC63" s="22">
        <f t="shared" si="25"/>
        <v>373.87725393504792</v>
      </c>
      <c r="GD63" s="60">
        <f t="shared" si="26"/>
        <v>667.21058726838123</v>
      </c>
      <c r="GE63" s="60">
        <f ca="1">AVERAGE(OFFSET($GD$3,0,0,'Données projet'!$E$17+1,1))-AVERAGE(OFFSET($H$3,0,0,'Données projet'!$E$17+1,1))</f>
        <v>317.54276561627643</v>
      </c>
      <c r="GF63" s="60">
        <f t="shared" si="50"/>
        <v>238.92443174298893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>
        <f>GU63*VLOOKUP('Données projet'!$B$18,Paramètres!$A$1:$I$89,3,0)*VLOOKUP('Données projet'!$B$18,Paramètres!$A$1:$I$89,5,0)</f>
        <v>0</v>
      </c>
      <c r="GW63" s="14" t="e">
        <f t="shared" si="51"/>
        <v>#NUM!</v>
      </c>
      <c r="GX63" s="22" t="e">
        <f t="shared" si="28"/>
        <v>#NUM!</v>
      </c>
      <c r="GY63" s="60" t="e">
        <f t="shared" si="29"/>
        <v>#NUM!</v>
      </c>
      <c r="GZ63" s="60">
        <f ca="1">AVERAGE(OFFSET($GY$3,0,0,'Données projet'!$E$18+1,1))-AVERAGE(OFFSET($H$3,0,0,'Données projet'!$E$18+1,1))</f>
        <v>79.868679770907136</v>
      </c>
      <c r="HA63" s="60">
        <f t="shared" si="52"/>
        <v>370.47471103028312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34.299781244463951</v>
      </c>
      <c r="HH63" s="23">
        <f>EXP(-LN(2)/25)*HH62+(1-EXP(-LN(2)/25))/(LN(2)/25)*Calculateur!HC63*Calculateur!HE63*VLOOKUP('Données projet'!$B$18,Paramètres!$A$1:$I$89,3,0)*0.475*44/12</f>
        <v>6.5755408194581886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40.875322063922141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0">
        <f t="shared" si="0"/>
        <v>293.33333333333439</v>
      </c>
      <c r="S64" s="60">
        <f ca="1">AVERAGE(OFFSET($R$3,0,0,'Données projet'!$E$9+1,1))-AVERAGE(OFFSET($H$3,0,0,'Données projet'!$E$9+1,1))</f>
        <v>206.5885410269899</v>
      </c>
      <c r="T64" s="60">
        <f t="shared" si="34"/>
        <v>347.41156847586302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3.3992364478763198E-14</v>
      </c>
      <c r="AK64" s="14">
        <f t="shared" si="35"/>
        <v>5.790027782444094E-13</v>
      </c>
      <c r="AL64" s="22">
        <f t="shared" si="4"/>
        <v>1.0676332069095257E-12</v>
      </c>
      <c r="AM64" s="60">
        <f t="shared" si="5"/>
        <v>293.33333333333439</v>
      </c>
      <c r="AN64" s="60">
        <f ca="1">AVERAGE(OFFSET($AM$3,0,0,'Données projet'!$E$10+1,1))-AVERAGE(OFFSET($H$3,0,0,'Données projet'!$E$10+1,1))</f>
        <v>206.5885410269899</v>
      </c>
      <c r="AO64" s="60">
        <f t="shared" si="36"/>
        <v>347.41156847586302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59.203943488989907</v>
      </c>
      <c r="AV64" s="23">
        <f>EXP(-LN(2)/25)*AV63+(1-EXP(-LN(2)/25))/(LN(2)/25)*Calculateur!AQ64*Calculateur!AS64*VLOOKUP('Données projet'!$B$10,Paramètres!$A$1:$I$89,3,0)*0.475*44/12</f>
        <v>1.4153676263716728</v>
      </c>
      <c r="AW64" s="23">
        <f>EXP(-LN(2)/2)*AW63+(1-EXP(-LN(2)/2))/(LN(2)/2)*AQ64*AT64*VLOOKUP('Données projet'!$B$10,Paramètres!$A$1:$I$89,3,0)*0.475*44/12</f>
        <v>2.3769876068737622E-2</v>
      </c>
      <c r="AX64" s="23">
        <f t="shared" si="6"/>
        <v>60.643080991430324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200.20000000000007</v>
      </c>
      <c r="BE64" s="14">
        <f>BD64*VLOOKUP('Données projet'!$B$11,Paramètres!$A$1:$I$89,3,0)*VLOOKUP('Données projet'!$B$11,Paramètres!$A$1:$I$89,5,0)</f>
        <v>190.51032000000006</v>
      </c>
      <c r="BF64" s="14">
        <f t="shared" si="37"/>
        <v>47.652759738576194</v>
      </c>
      <c r="BG64" s="22">
        <f t="shared" si="7"/>
        <v>414.80069721135357</v>
      </c>
      <c r="BH64" s="60">
        <f t="shared" si="8"/>
        <v>708.13403054468688</v>
      </c>
      <c r="BI64" s="60">
        <f ca="1">AVERAGE(OFFSET($BH$3,0,0,'Données projet'!$E$11+1,1))-AVERAGE(OFFSET($H$3,0,0,'Données projet'!$E$11+1,1))</f>
        <v>389.12604446638119</v>
      </c>
      <c r="BJ64" s="60">
        <f t="shared" si="38"/>
        <v>243.23852967152732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200.20000000000007</v>
      </c>
      <c r="BZ64" s="14">
        <f>BY64*VLOOKUP('Données projet'!$B$12,Paramètres!$A$1:$I$89,3,0)*VLOOKUP('Données projet'!$B$12,Paramètres!$A$1:$I$89,5,0)</f>
        <v>181.14096000000006</v>
      </c>
      <c r="CA64" s="14">
        <f t="shared" si="39"/>
        <v>45.575935320610981</v>
      </c>
      <c r="CB64" s="22">
        <f t="shared" si="10"/>
        <v>394.86525935006421</v>
      </c>
      <c r="CC64" s="60">
        <f t="shared" si="11"/>
        <v>688.19859268339746</v>
      </c>
      <c r="CD64" s="60">
        <f ca="1">AVERAGE(OFFSET($CC$3,0,0,'Données projet'!$E$12+1,1))-AVERAGE(OFFSET($H$3,0,0,'Données projet'!$E$12+1,1))</f>
        <v>371.95849973474657</v>
      </c>
      <c r="CE64" s="60">
        <f t="shared" si="40"/>
        <v>233.32640143610547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4.1291956186520121E-4</v>
      </c>
      <c r="CN64" s="24">
        <f t="shared" si="12"/>
        <v>4.1291956186520121E-4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200.20000000000007</v>
      </c>
      <c r="CU64" s="18">
        <f>CT64*VLOOKUP('Données projet'!$B$13,Paramètres!$A$1:$I$89,3,0)*VLOOKUP('Données projet'!$B$13,Paramètres!$A$1:$I$89,5,0)</f>
        <v>193.63344000000006</v>
      </c>
      <c r="CV64" s="14">
        <f t="shared" si="41"/>
        <v>48.342367086681271</v>
      </c>
      <c r="CW64" s="22">
        <f t="shared" si="13"/>
        <v>421.4411973426366</v>
      </c>
      <c r="CX64" s="60">
        <f t="shared" si="14"/>
        <v>714.77453067596991</v>
      </c>
      <c r="CY64" s="60">
        <f ca="1">AVERAGE(OFFSET($CX$3,0,0,'Données projet'!$E$13+1,1))-AVERAGE(OFFSET($H$3,0,0,'Données projet'!$E$13+1,1))</f>
        <v>394.8445842828649</v>
      </c>
      <c r="CZ64" s="60">
        <f t="shared" si="42"/>
        <v>246.54010105494143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4.4139677302831881E-4</v>
      </c>
      <c r="DI64" s="24">
        <f t="shared" si="15"/>
        <v>4.4139677302831881E-4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</v>
      </c>
      <c r="DO64" s="13">
        <f>IF('Données projet'!$A$166&gt;35,DO63+DN64-DW63,IF(A64&lt;'Données projet'!$A$166,$DL$205^A64,IF(A64='Données projet'!$A$166,'Données projet'!$B$166,DO63+DN64-DW63)))</f>
        <v>164.00000000000003</v>
      </c>
      <c r="DP64" s="18">
        <f>DO64*VLOOKUP('Données projet'!$B$14,Paramètres!$A$1:$I$89,3,0)*VLOOKUP('Données projet'!$B$14,Paramètres!$A$1:$I$89,5,0)</f>
        <v>143.27040000000002</v>
      </c>
      <c r="DQ64" s="14">
        <f t="shared" si="43"/>
        <v>37.045198377171303</v>
      </c>
      <c r="DR64" s="22">
        <f t="shared" si="16"/>
        <v>314.04966717357337</v>
      </c>
      <c r="DS64" s="60">
        <f t="shared" si="17"/>
        <v>607.38300050690668</v>
      </c>
      <c r="DT64" s="60">
        <f ca="1">AVERAGE(OFFSET($DS$3,0,0,'Données projet'!$E$14+1,1))-AVERAGE(OFFSET($H$3,0,0,'Données projet'!$E$14+1,1))</f>
        <v>266.98113257513319</v>
      </c>
      <c r="DU64" s="60">
        <f t="shared" si="44"/>
        <v>275.73257102713393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4.7137531040820946</v>
      </c>
      <c r="EC64" s="23">
        <f>EXP(-LN(2)/2)*EC63+(1-EXP(-LN(2)/2))/(LN(2)/2)*DW64*DZ64*VLOOKUP('Données projet'!$B$14,Paramètres!$A$1:$I$89,3,0)*0.475*44/12</f>
        <v>2.2586067792858711E-4</v>
      </c>
      <c r="ED64" s="24">
        <f t="shared" si="18"/>
        <v>4.713978964760023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7.2</v>
      </c>
      <c r="EJ64" s="13">
        <f>IF('Données projet'!$A$192&gt;35,EJ63+EI64-ER63,IF(A64&lt;'Données projet'!$A$192,$EG$205^A64,IF(A64='Données projet'!$A$192,'Données projet'!$B$192,EJ63+EI64-ER63)))</f>
        <v>200.20000000000007</v>
      </c>
      <c r="EK64" s="18">
        <f>EJ64*VLOOKUP('Données projet'!$B$15,Paramètres!$A$1:$I$89,3,0)*VLOOKUP('Données projet'!$B$15,Paramètres!$A$1:$I$89,5,0)</f>
        <v>227.98776000000007</v>
      </c>
      <c r="EL64" s="14">
        <f t="shared" si="45"/>
        <v>55.847365929662985</v>
      </c>
      <c r="EM64" s="22">
        <f t="shared" si="19"/>
        <v>494.34617766082982</v>
      </c>
      <c r="EN64" s="60">
        <f t="shared" si="20"/>
        <v>787.67951099416314</v>
      </c>
      <c r="EO64" s="60">
        <f ca="1">AVERAGE(OFFSET($EN$3,0,0,'Données projet'!$E$15+1,1))-AVERAGE(OFFSET($H$3,0,0,'Données projet'!$E$15+1,1))</f>
        <v>457.62828850677369</v>
      </c>
      <c r="EP64" s="60">
        <f t="shared" si="46"/>
        <v>282.78263556175563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7.2</v>
      </c>
      <c r="FE64" s="13">
        <f>IF('Données projet'!$A$218&gt;35,FE63+FD64-FM63,IF(A64&lt;'Données projet'!$A$218,$FB$205^A64,IF(A64='Données projet'!$A$218,'Données projet'!$B$218,FE63+FD64-FM63)))</f>
        <v>200.20000000000007</v>
      </c>
      <c r="FF64" s="18">
        <f>FE64*VLOOKUP('Données projet'!$B$16,Paramètres!$A$1:$I$89,3,0)*VLOOKUP('Données projet'!$B$16,Paramètres!$A$1:$I$89,5,0)</f>
        <v>218.61840000000007</v>
      </c>
      <c r="FG64" s="14">
        <f t="shared" si="47"/>
        <v>53.814491776889589</v>
      </c>
      <c r="FH64" s="22">
        <f t="shared" si="22"/>
        <v>474.48728651141619</v>
      </c>
      <c r="FI64" s="60">
        <f t="shared" si="23"/>
        <v>767.82061984474944</v>
      </c>
      <c r="FJ64" s="60">
        <f ca="1">AVERAGE(OFFSET($FI$3,0,0,'Données projet'!$E$16+1,1))-AVERAGE(OFFSET($H$3,0,0,'Données projet'!$E$16+1,1))</f>
        <v>440.52623925652182</v>
      </c>
      <c r="FK64" s="60">
        <f t="shared" si="48"/>
        <v>272.91122662088918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16.666666666666668</v>
      </c>
      <c r="FZ64" s="13">
        <f>IF('Données projet'!$A$244&gt;35,FZ63+FY64-GH63,IF(A64&lt;'Données projet'!$A$244,$FW$205^A64,IF(A64='Données projet'!$A$244,'Données projet'!$B$244,FZ63+FY64-GH63)))</f>
        <v>382.66666666666663</v>
      </c>
      <c r="GA64" s="18">
        <f>FZ64*VLOOKUP('Données projet'!$B$17,Paramètres!$A$1:$I$89,3,0)*VLOOKUP('Données projet'!$B$17,Paramètres!$A$1:$I$89,5,0)</f>
        <v>179.08799999999999</v>
      </c>
      <c r="GB64" s="14">
        <f t="shared" si="49"/>
        <v>45.119223023956835</v>
      </c>
      <c r="GC64" s="22">
        <f t="shared" si="25"/>
        <v>390.49424676672476</v>
      </c>
      <c r="GD64" s="60">
        <f t="shared" si="26"/>
        <v>683.82758010005807</v>
      </c>
      <c r="GE64" s="60">
        <f ca="1">AVERAGE(OFFSET($GD$3,0,0,'Données projet'!$E$17+1,1))-AVERAGE(OFFSET($H$3,0,0,'Données projet'!$E$17+1,1))</f>
        <v>317.54276561627643</v>
      </c>
      <c r="GF64" s="60">
        <f t="shared" si="50"/>
        <v>238.92443174298893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>
        <f>GU64*VLOOKUP('Données projet'!$B$18,Paramètres!$A$1:$I$89,3,0)*VLOOKUP('Données projet'!$B$18,Paramètres!$A$1:$I$89,5,0)</f>
        <v>0</v>
      </c>
      <c r="GW64" s="14" t="e">
        <f t="shared" si="51"/>
        <v>#NUM!</v>
      </c>
      <c r="GX64" s="22" t="e">
        <f t="shared" si="28"/>
        <v>#NUM!</v>
      </c>
      <c r="GY64" s="60" t="e">
        <f t="shared" si="29"/>
        <v>#NUM!</v>
      </c>
      <c r="GZ64" s="60">
        <f ca="1">AVERAGE(OFFSET($GY$3,0,0,'Données projet'!$E$18+1,1))-AVERAGE(OFFSET($H$3,0,0,'Données projet'!$E$18+1,1))</f>
        <v>79.868679770907136</v>
      </c>
      <c r="HA64" s="60">
        <f t="shared" si="52"/>
        <v>370.47471103028312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33.627183455060816</v>
      </c>
      <c r="HH64" s="23">
        <f>EXP(-LN(2)/25)*HH63+(1-EXP(-LN(2)/25))/(LN(2)/25)*Calculateur!HC64*Calculateur!HE64*VLOOKUP('Données projet'!$B$18,Paramètres!$A$1:$I$89,3,0)*0.475*44/12</f>
        <v>6.3957323099574417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40.022915765018254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0">
        <f t="shared" si="0"/>
        <v>293.33333333333439</v>
      </c>
      <c r="S65" s="60">
        <f ca="1">AVERAGE(OFFSET($R$3,0,0,'Données projet'!$E$9+1,1))-AVERAGE(OFFSET($H$3,0,0,'Données projet'!$E$9+1,1))</f>
        <v>206.5885410269899</v>
      </c>
      <c r="T65" s="60">
        <f t="shared" si="34"/>
        <v>347.41156847586302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3.3992364478763198E-14</v>
      </c>
      <c r="AK65" s="14">
        <f t="shared" si="35"/>
        <v>5.790027782444094E-13</v>
      </c>
      <c r="AL65" s="22">
        <f t="shared" si="4"/>
        <v>1.0676332069095257E-12</v>
      </c>
      <c r="AM65" s="60">
        <f t="shared" si="5"/>
        <v>293.33333333333439</v>
      </c>
      <c r="AN65" s="60">
        <f ca="1">AVERAGE(OFFSET($AM$3,0,0,'Données projet'!$E$10+1,1))-AVERAGE(OFFSET($H$3,0,0,'Données projet'!$E$10+1,1))</f>
        <v>206.5885410269899</v>
      </c>
      <c r="AO65" s="60">
        <f t="shared" si="36"/>
        <v>347.41156847586302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58.042990268010691</v>
      </c>
      <c r="AV65" s="23">
        <f>EXP(-LN(2)/25)*AV64+(1-EXP(-LN(2)/25))/(LN(2)/25)*Calculateur!AQ65*Calculateur!AS65*VLOOKUP('Données projet'!$B$10,Paramètres!$A$1:$I$89,3,0)*0.475*44/12</f>
        <v>1.3766643241975909</v>
      </c>
      <c r="AW65" s="23">
        <f>EXP(-LN(2)/2)*AW64+(1-EXP(-LN(2)/2))/(LN(2)/2)*AQ65*AT65*VLOOKUP('Données projet'!$B$10,Paramètres!$A$1:$I$89,3,0)*0.475*44/12</f>
        <v>1.6807840556168206E-2</v>
      </c>
      <c r="AX65" s="23">
        <f t="shared" si="6"/>
        <v>59.436462432764451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207.40000000000006</v>
      </c>
      <c r="BE65" s="14">
        <f>BD65*VLOOKUP('Données projet'!$B$11,Paramètres!$A$1:$I$89,3,0)*VLOOKUP('Données projet'!$B$11,Paramètres!$A$1:$I$89,5,0)</f>
        <v>197.36184000000006</v>
      </c>
      <c r="BF65" s="14">
        <f t="shared" si="37"/>
        <v>49.163932700586031</v>
      </c>
      <c r="BG65" s="22">
        <f t="shared" si="7"/>
        <v>429.36572078685407</v>
      </c>
      <c r="BH65" s="60">
        <f t="shared" si="8"/>
        <v>722.69905412018738</v>
      </c>
      <c r="BI65" s="60">
        <f ca="1">AVERAGE(OFFSET($BH$3,0,0,'Données projet'!$E$11+1,1))-AVERAGE(OFFSET($H$3,0,0,'Données projet'!$E$11+1,1))</f>
        <v>389.12604446638119</v>
      </c>
      <c r="BJ65" s="60">
        <f t="shared" si="38"/>
        <v>243.23852967152732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207.40000000000006</v>
      </c>
      <c r="BZ65" s="14">
        <f>BY65*VLOOKUP('Données projet'!$B$12,Paramètres!$A$1:$I$89,3,0)*VLOOKUP('Données projet'!$B$12,Paramètres!$A$1:$I$89,5,0)</f>
        <v>187.65552000000005</v>
      </c>
      <c r="CA65" s="14">
        <f t="shared" si="39"/>
        <v>47.021247649900147</v>
      </c>
      <c r="CB65" s="22">
        <f t="shared" si="10"/>
        <v>408.72870365690954</v>
      </c>
      <c r="CC65" s="60">
        <f t="shared" si="11"/>
        <v>702.06203699024286</v>
      </c>
      <c r="CD65" s="60">
        <f ca="1">AVERAGE(OFFSET($CC$3,0,0,'Données projet'!$E$12+1,1))-AVERAGE(OFFSET($H$3,0,0,'Données projet'!$E$12+1,1))</f>
        <v>371.95849973474657</v>
      </c>
      <c r="CE65" s="60">
        <f t="shared" si="40"/>
        <v>233.32640143610547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2.919782222794619E-4</v>
      </c>
      <c r="CN65" s="24">
        <f t="shared" si="12"/>
        <v>2.919782222794619E-4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207.40000000000006</v>
      </c>
      <c r="CU65" s="18">
        <f>CT65*VLOOKUP('Données projet'!$B$13,Paramètres!$A$1:$I$89,3,0)*VLOOKUP('Données projet'!$B$13,Paramètres!$A$1:$I$89,5,0)</f>
        <v>200.5972800000001</v>
      </c>
      <c r="CV65" s="14">
        <f t="shared" si="41"/>
        <v>49.875409002023019</v>
      </c>
      <c r="CW65" s="22">
        <f t="shared" si="13"/>
        <v>436.23993334519031</v>
      </c>
      <c r="CX65" s="60">
        <f t="shared" si="14"/>
        <v>729.57326667852362</v>
      </c>
      <c r="CY65" s="60">
        <f ca="1">AVERAGE(OFFSET($CX$3,0,0,'Données projet'!$E$13+1,1))-AVERAGE(OFFSET($H$3,0,0,'Données projet'!$E$13+1,1))</f>
        <v>394.8445842828649</v>
      </c>
      <c r="CZ65" s="60">
        <f t="shared" si="42"/>
        <v>246.54010105494143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3.121146514021836E-4</v>
      </c>
      <c r="DI65" s="24">
        <f t="shared" si="15"/>
        <v>3.121146514021836E-4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</v>
      </c>
      <c r="DO65" s="13">
        <f>IF('Données projet'!$A$166&gt;35,DO64+DN65-DW64,IF(A65&lt;'Données projet'!$A$166,$DL$205^A65,IF(A65='Données projet'!$A$166,'Données projet'!$B$166,DO64+DN65-DW64)))</f>
        <v>168.00000000000003</v>
      </c>
      <c r="DP65" s="18">
        <f>DO65*VLOOKUP('Données projet'!$B$14,Paramètres!$A$1:$I$89,3,0)*VLOOKUP('Données projet'!$B$14,Paramètres!$A$1:$I$89,5,0)</f>
        <v>146.76480000000004</v>
      </c>
      <c r="DQ65" s="14">
        <f t="shared" si="43"/>
        <v>37.842444439956665</v>
      </c>
      <c r="DR65" s="22">
        <f t="shared" si="16"/>
        <v>321.52428406625791</v>
      </c>
      <c r="DS65" s="60">
        <f t="shared" si="17"/>
        <v>614.85761739959116</v>
      </c>
      <c r="DT65" s="60">
        <f ca="1">AVERAGE(OFFSET($DS$3,0,0,'Données projet'!$E$14+1,1))-AVERAGE(OFFSET($H$3,0,0,'Données projet'!$E$14+1,1))</f>
        <v>266.98113257513319</v>
      </c>
      <c r="DU65" s="60">
        <f t="shared" si="44"/>
        <v>275.73257102713393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4.5848552775654676</v>
      </c>
      <c r="EC65" s="23">
        <f>EXP(-LN(2)/2)*EC64+(1-EXP(-LN(2)/2))/(LN(2)/2)*DW65*DZ65*VLOOKUP('Données projet'!$B$14,Paramètres!$A$1:$I$89,3,0)*0.475*44/12</f>
        <v>1.5970761696669473E-4</v>
      </c>
      <c r="ED65" s="24">
        <f t="shared" si="18"/>
        <v>4.5850149851824344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7.2</v>
      </c>
      <c r="EJ65" s="13">
        <f>IF('Données projet'!$A$192&gt;35,EJ64+EI65-ER64,IF(A65&lt;'Données projet'!$A$192,$EG$205^A65,IF(A65='Données projet'!$A$192,'Données projet'!$B$192,EJ64+EI65-ER64)))</f>
        <v>207.40000000000006</v>
      </c>
      <c r="EK65" s="18">
        <f>EJ65*VLOOKUP('Données projet'!$B$15,Paramètres!$A$1:$I$89,3,0)*VLOOKUP('Données projet'!$B$15,Paramètres!$A$1:$I$89,5,0)</f>
        <v>236.18712000000008</v>
      </c>
      <c r="EL65" s="14">
        <f t="shared" si="45"/>
        <v>57.61840772987285</v>
      </c>
      <c r="EM65" s="22">
        <f t="shared" si="19"/>
        <v>511.71129412952865</v>
      </c>
      <c r="EN65" s="60">
        <f t="shared" si="20"/>
        <v>805.04462746286197</v>
      </c>
      <c r="EO65" s="60">
        <f ca="1">AVERAGE(OFFSET($EN$3,0,0,'Données projet'!$E$15+1,1))-AVERAGE(OFFSET($H$3,0,0,'Données projet'!$E$15+1,1))</f>
        <v>457.62828850677369</v>
      </c>
      <c r="EP65" s="60">
        <f t="shared" si="46"/>
        <v>282.78263556175563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7.2</v>
      </c>
      <c r="FE65" s="13">
        <f>IF('Données projet'!$A$218&gt;35,FE64+FD65-FM64,IF(A65&lt;'Données projet'!$A$218,$FB$205^A65,IF(A65='Données projet'!$A$218,'Données projet'!$B$218,FE64+FD65-FM64)))</f>
        <v>207.40000000000006</v>
      </c>
      <c r="FF65" s="18">
        <f>FE65*VLOOKUP('Données projet'!$B$16,Paramètres!$A$1:$I$89,3,0)*VLOOKUP('Données projet'!$B$16,Paramètres!$A$1:$I$89,5,0)</f>
        <v>226.48080000000007</v>
      </c>
      <c r="FG65" s="14">
        <f t="shared" si="47"/>
        <v>55.52106670316202</v>
      </c>
      <c r="FH65" s="22">
        <f t="shared" si="22"/>
        <v>491.15325117467387</v>
      </c>
      <c r="FI65" s="60">
        <f t="shared" si="23"/>
        <v>784.48658450800713</v>
      </c>
      <c r="FJ65" s="60">
        <f ca="1">AVERAGE(OFFSET($FI$3,0,0,'Données projet'!$E$16+1,1))-AVERAGE(OFFSET($H$3,0,0,'Données projet'!$E$16+1,1))</f>
        <v>440.52623925652182</v>
      </c>
      <c r="FK65" s="60">
        <f t="shared" si="48"/>
        <v>272.91122662088918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16.666666666666668</v>
      </c>
      <c r="FZ65" s="13">
        <f>IF('Données projet'!$A$244&gt;35,FZ64+FY65-GH64,IF(A65&lt;'Données projet'!$A$244,$FW$205^A65,IF(A65='Données projet'!$A$244,'Données projet'!$B$244,FZ64+FY65-GH64)))</f>
        <v>399.33333333333331</v>
      </c>
      <c r="GA65" s="18">
        <f>FZ65*VLOOKUP('Données projet'!$B$17,Paramètres!$A$1:$I$89,3,0)*VLOOKUP('Données projet'!$B$17,Paramètres!$A$1:$I$89,5,0)</f>
        <v>186.88800000000001</v>
      </c>
      <c r="GB65" s="14">
        <f t="shared" si="49"/>
        <v>46.851273946133198</v>
      </c>
      <c r="GC65" s="22">
        <f t="shared" si="25"/>
        <v>407.09590212284866</v>
      </c>
      <c r="GD65" s="60">
        <f t="shared" si="26"/>
        <v>700.42923545618191</v>
      </c>
      <c r="GE65" s="60">
        <f ca="1">AVERAGE(OFFSET($GD$3,0,0,'Données projet'!$E$17+1,1))-AVERAGE(OFFSET($H$3,0,0,'Données projet'!$E$17+1,1))</f>
        <v>317.54276561627643</v>
      </c>
      <c r="GF65" s="60">
        <f t="shared" si="50"/>
        <v>238.92443174298893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>
        <f>GU65*VLOOKUP('Données projet'!$B$18,Paramètres!$A$1:$I$89,3,0)*VLOOKUP('Données projet'!$B$18,Paramètres!$A$1:$I$89,5,0)</f>
        <v>0</v>
      </c>
      <c r="GW65" s="14" t="e">
        <f t="shared" si="51"/>
        <v>#NUM!</v>
      </c>
      <c r="GX65" s="22" t="e">
        <f t="shared" si="28"/>
        <v>#NUM!</v>
      </c>
      <c r="GY65" s="60" t="e">
        <f t="shared" si="29"/>
        <v>#NUM!</v>
      </c>
      <c r="GZ65" s="60">
        <f ca="1">AVERAGE(OFFSET($GY$3,0,0,'Données projet'!$E$18+1,1))-AVERAGE(OFFSET($H$3,0,0,'Données projet'!$E$18+1,1))</f>
        <v>79.868679770907136</v>
      </c>
      <c r="HA65" s="60">
        <f t="shared" si="52"/>
        <v>370.47471103028312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32.96777489806373</v>
      </c>
      <c r="HH65" s="23">
        <f>EXP(-LN(2)/25)*HH64+(1-EXP(-LN(2)/25))/(LN(2)/25)*Calculateur!HC65*Calculateur!HE65*VLOOKUP('Données projet'!$B$18,Paramètres!$A$1:$I$89,3,0)*0.475*44/12</f>
        <v>6.2208406736047106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39.188615571668443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0">
        <f t="shared" si="0"/>
        <v>293.33333333333439</v>
      </c>
      <c r="S66" s="60">
        <f ca="1">AVERAGE(OFFSET($R$3,0,0,'Données projet'!$E$9+1,1))-AVERAGE(OFFSET($H$3,0,0,'Données projet'!$E$9+1,1))</f>
        <v>206.5885410269899</v>
      </c>
      <c r="T66" s="60">
        <f t="shared" si="34"/>
        <v>347.41156847586302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3.3992364478763198E-14</v>
      </c>
      <c r="AK66" s="14">
        <f t="shared" si="35"/>
        <v>5.790027782444094E-13</v>
      </c>
      <c r="AL66" s="22">
        <f t="shared" si="4"/>
        <v>1.0676332069095257E-12</v>
      </c>
      <c r="AM66" s="60">
        <f t="shared" si="5"/>
        <v>293.33333333333439</v>
      </c>
      <c r="AN66" s="60">
        <f ca="1">AVERAGE(OFFSET($AM$3,0,0,'Données projet'!$E$10+1,1))-AVERAGE(OFFSET($H$3,0,0,'Données projet'!$E$10+1,1))</f>
        <v>206.5885410269899</v>
      </c>
      <c r="AO66" s="60">
        <f t="shared" si="36"/>
        <v>347.41156847586302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56.904802631583337</v>
      </c>
      <c r="AV66" s="23">
        <f>EXP(-LN(2)/25)*AV65+(1-EXP(-LN(2)/25))/(LN(2)/25)*Calculateur!AQ66*Calculateur!AS66*VLOOKUP('Données projet'!$B$10,Paramètres!$A$1:$I$89,3,0)*0.475*44/12</f>
        <v>1.3390193658567773</v>
      </c>
      <c r="AW66" s="23">
        <f>EXP(-LN(2)/2)*AW65+(1-EXP(-LN(2)/2))/(LN(2)/2)*AQ66*AT66*VLOOKUP('Données projet'!$B$10,Paramètres!$A$1:$I$89,3,0)*0.475*44/12</f>
        <v>1.1884938034368811E-2</v>
      </c>
      <c r="AX66" s="23">
        <f t="shared" si="6"/>
        <v>58.255706935474485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214.60000000000005</v>
      </c>
      <c r="BE66" s="14">
        <f>BD66*VLOOKUP('Données projet'!$B$11,Paramètres!$A$1:$I$89,3,0)*VLOOKUP('Données projet'!$B$11,Paramètres!$A$1:$I$89,5,0)</f>
        <v>204.21336000000005</v>
      </c>
      <c r="BF66" s="14">
        <f t="shared" si="37"/>
        <v>50.669010210991836</v>
      </c>
      <c r="BG66" s="22">
        <f t="shared" si="7"/>
        <v>443.92012811747753</v>
      </c>
      <c r="BH66" s="60">
        <f t="shared" si="8"/>
        <v>737.25346145081085</v>
      </c>
      <c r="BI66" s="60">
        <f ca="1">AVERAGE(OFFSET($BH$3,0,0,'Données projet'!$E$11+1,1))-AVERAGE(OFFSET($H$3,0,0,'Données projet'!$E$11+1,1))</f>
        <v>389.12604446638119</v>
      </c>
      <c r="BJ66" s="60">
        <f t="shared" si="38"/>
        <v>243.23852967152732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214.60000000000005</v>
      </c>
      <c r="BZ66" s="14">
        <f>BY66*VLOOKUP('Données projet'!$B$12,Paramètres!$A$1:$I$89,3,0)*VLOOKUP('Données projet'!$B$12,Paramètres!$A$1:$I$89,5,0)</f>
        <v>194.17008000000004</v>
      </c>
      <c r="CA66" s="14">
        <f t="shared" si="39"/>
        <v>48.460730182351078</v>
      </c>
      <c r="CB66" s="22">
        <f t="shared" si="10"/>
        <v>422.58199440092818</v>
      </c>
      <c r="CC66" s="60">
        <f t="shared" si="11"/>
        <v>715.9153277342615</v>
      </c>
      <c r="CD66" s="60">
        <f ca="1">AVERAGE(OFFSET($CC$3,0,0,'Données projet'!$E$12+1,1))-AVERAGE(OFFSET($H$3,0,0,'Données projet'!$E$12+1,1))</f>
        <v>371.95849973474657</v>
      </c>
      <c r="CE66" s="60">
        <f t="shared" si="40"/>
        <v>233.32640143610547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2.0645978093260061E-4</v>
      </c>
      <c r="CN66" s="24">
        <f t="shared" si="12"/>
        <v>2.0645978093260061E-4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214.60000000000005</v>
      </c>
      <c r="CU66" s="18">
        <f>CT66*VLOOKUP('Données projet'!$B$13,Paramètres!$A$1:$I$89,3,0)*VLOOKUP('Données projet'!$B$13,Paramètres!$A$1:$I$89,5,0)</f>
        <v>207.56112000000005</v>
      </c>
      <c r="CV66" s="14">
        <f t="shared" si="41"/>
        <v>51.40226725537714</v>
      </c>
      <c r="CW66" s="22">
        <f t="shared" si="13"/>
        <v>451.02789946978191</v>
      </c>
      <c r="CX66" s="60">
        <f t="shared" si="14"/>
        <v>744.36123280311517</v>
      </c>
      <c r="CY66" s="60">
        <f ca="1">AVERAGE(OFFSET($CX$3,0,0,'Données projet'!$E$13+1,1))-AVERAGE(OFFSET($H$3,0,0,'Données projet'!$E$13+1,1))</f>
        <v>394.8445842828649</v>
      </c>
      <c r="CZ66" s="60">
        <f t="shared" si="42"/>
        <v>246.54010105494143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2.206983865141594E-4</v>
      </c>
      <c r="DI66" s="24">
        <f t="shared" si="15"/>
        <v>2.206983865141594E-4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</v>
      </c>
      <c r="DO66" s="13">
        <f>IF('Données projet'!$A$166&gt;35,DO65+DN66-DW65,IF(A66&lt;'Données projet'!$A$166,$DL$205^A66,IF(A66='Données projet'!$A$166,'Données projet'!$B$166,DO65+DN66-DW65)))</f>
        <v>172.00000000000003</v>
      </c>
      <c r="DP66" s="18">
        <f>DO66*VLOOKUP('Données projet'!$B$14,Paramètres!$A$1:$I$89,3,0)*VLOOKUP('Données projet'!$B$14,Paramètres!$A$1:$I$89,5,0)</f>
        <v>150.25920000000005</v>
      </c>
      <c r="DQ66" s="14">
        <f t="shared" si="43"/>
        <v>38.637483830798729</v>
      </c>
      <c r="DR66" s="22">
        <f t="shared" si="16"/>
        <v>328.99505767197456</v>
      </c>
      <c r="DS66" s="60">
        <f t="shared" si="17"/>
        <v>622.32839100530782</v>
      </c>
      <c r="DT66" s="60">
        <f ca="1">AVERAGE(OFFSET($DS$3,0,0,'Données projet'!$E$14+1,1))-AVERAGE(OFFSET($H$3,0,0,'Données projet'!$E$14+1,1))</f>
        <v>266.98113257513319</v>
      </c>
      <c r="DU66" s="60">
        <f t="shared" si="44"/>
        <v>275.73257102713393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4.4594821688933797</v>
      </c>
      <c r="EC66" s="23">
        <f>EXP(-LN(2)/2)*EC65+(1-EXP(-LN(2)/2))/(LN(2)/2)*DW66*DZ66*VLOOKUP('Données projet'!$B$14,Paramètres!$A$1:$I$89,3,0)*0.475*44/12</f>
        <v>1.1293033896429356E-4</v>
      </c>
      <c r="ED66" s="24">
        <f t="shared" si="18"/>
        <v>4.4595950992323443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7.2</v>
      </c>
      <c r="EJ66" s="13">
        <f>IF('Données projet'!$A$192&gt;35,EJ65+EI66-ER65,IF(A66&lt;'Données projet'!$A$192,$EG$205^A66,IF(A66='Données projet'!$A$192,'Données projet'!$B$192,EJ65+EI66-ER65)))</f>
        <v>214.60000000000005</v>
      </c>
      <c r="EK66" s="18">
        <f>EJ66*VLOOKUP('Données projet'!$B$15,Paramètres!$A$1:$I$89,3,0)*VLOOKUP('Données projet'!$B$15,Paramètres!$A$1:$I$89,5,0)</f>
        <v>244.38648000000006</v>
      </c>
      <c r="EL66" s="14">
        <f t="shared" si="45"/>
        <v>59.382305874225118</v>
      </c>
      <c r="EM66" s="22">
        <f t="shared" si="19"/>
        <v>529.06396873094207</v>
      </c>
      <c r="EN66" s="60">
        <f t="shared" si="20"/>
        <v>822.39730206427544</v>
      </c>
      <c r="EO66" s="60">
        <f ca="1">AVERAGE(OFFSET($EN$3,0,0,'Données projet'!$E$15+1,1))-AVERAGE(OFFSET($H$3,0,0,'Données projet'!$E$15+1,1))</f>
        <v>457.62828850677369</v>
      </c>
      <c r="EP66" s="60">
        <f t="shared" si="46"/>
        <v>282.78263556175563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7.2</v>
      </c>
      <c r="FE66" s="13">
        <f>IF('Données projet'!$A$218&gt;35,FE65+FD66-FM65,IF(A66&lt;'Données projet'!$A$218,$FB$205^A66,IF(A66='Données projet'!$A$218,'Données projet'!$B$218,FE65+FD66-FM65)))</f>
        <v>214.60000000000005</v>
      </c>
      <c r="FF66" s="18">
        <f>FE66*VLOOKUP('Données projet'!$B$16,Paramètres!$A$1:$I$89,3,0)*VLOOKUP('Données projet'!$B$16,Paramètres!$A$1:$I$89,5,0)</f>
        <v>234.34320000000005</v>
      </c>
      <c r="FG66" s="14">
        <f t="shared" si="47"/>
        <v>57.220758006491664</v>
      </c>
      <c r="FH66" s="22">
        <f t="shared" si="22"/>
        <v>507.80722686130639</v>
      </c>
      <c r="FI66" s="60">
        <f t="shared" si="23"/>
        <v>801.14056019463965</v>
      </c>
      <c r="FJ66" s="60">
        <f ca="1">AVERAGE(OFFSET($FI$3,0,0,'Données projet'!$E$16+1,1))-AVERAGE(OFFSET($H$3,0,0,'Données projet'!$E$16+1,1))</f>
        <v>440.52623925652182</v>
      </c>
      <c r="FK66" s="60">
        <f t="shared" si="48"/>
        <v>272.91122662088918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>
        <f>VLOOKUP(A66,'Données projet'!$A$243:$I$263,2,0)</f>
        <v>416</v>
      </c>
      <c r="FX66" s="13">
        <f>VLOOKUP(A66,'Données projet'!$A$243:$I$263,9,0)</f>
        <v>16.666666666666668</v>
      </c>
      <c r="FY66" s="13">
        <f t="array" ref="FY66">INDEX(FX:FX,MIN(IF(ISNUMBER(FX66:FX262),ROW(FX66:FX262),"")))</f>
        <v>16.666666666666668</v>
      </c>
      <c r="FZ66" s="13">
        <f>IF('Données projet'!$A$244&gt;35,FZ65+FY66-GH65,IF(A66&lt;'Données projet'!$A$244,$FW$205^A66,IF(A66='Données projet'!$A$244,'Données projet'!$B$244,FZ65+FY66-GH65)))</f>
        <v>416</v>
      </c>
      <c r="GA66" s="18">
        <f>FZ66*VLOOKUP('Données projet'!$B$17,Paramètres!$A$1:$I$89,3,0)*VLOOKUP('Données projet'!$B$17,Paramètres!$A$1:$I$89,5,0)</f>
        <v>194.68799999999999</v>
      </c>
      <c r="GB66" s="14">
        <f t="shared" si="49"/>
        <v>48.574928228914978</v>
      </c>
      <c r="GC66" s="22">
        <f t="shared" si="25"/>
        <v>423.68293333202695</v>
      </c>
      <c r="GD66" s="60">
        <f t="shared" si="26"/>
        <v>717.01626666536026</v>
      </c>
      <c r="GE66" s="60">
        <f ca="1">AVERAGE(OFFSET($GD$3,0,0,'Données projet'!$E$17+1,1))-AVERAGE(OFFSET($H$3,0,0,'Données projet'!$E$17+1,1))</f>
        <v>317.54276561627643</v>
      </c>
      <c r="GF66" s="60">
        <f t="shared" si="50"/>
        <v>238.92443174298893</v>
      </c>
      <c r="GG66" s="16">
        <f>IF(ISNA(VLOOKUP(A66,'Données projet'!$A$243:$I$263,3,0)),0,VLOOKUP(A66,'Données projet'!$A$243:$I$263,3,0))</f>
        <v>9</v>
      </c>
      <c r="GH66" s="16">
        <f>IF(ISNA(VLOOKUP(A66,'Données projet'!$A$243:$I$263,4,0)),0,VLOOKUP(A66,'Données projet'!$A$243:$I$263,4,0))</f>
        <v>79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>
        <f>GU66*VLOOKUP('Données projet'!$B$18,Paramètres!$A$1:$I$89,3,0)*VLOOKUP('Données projet'!$B$18,Paramètres!$A$1:$I$89,5,0)</f>
        <v>0</v>
      </c>
      <c r="GW66" s="14" t="e">
        <f t="shared" si="51"/>
        <v>#NUM!</v>
      </c>
      <c r="GX66" s="22" t="e">
        <f t="shared" si="28"/>
        <v>#NUM!</v>
      </c>
      <c r="GY66" s="60" t="e">
        <f t="shared" si="29"/>
        <v>#NUM!</v>
      </c>
      <c r="GZ66" s="60">
        <f ca="1">AVERAGE(OFFSET($GY$3,0,0,'Données projet'!$E$18+1,1))-AVERAGE(OFFSET($H$3,0,0,'Données projet'!$E$18+1,1))</f>
        <v>79.868679770907136</v>
      </c>
      <c r="HA66" s="60">
        <f t="shared" si="52"/>
        <v>370.47471103028312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32.321296940669853</v>
      </c>
      <c r="HH66" s="23">
        <f>EXP(-LN(2)/25)*HH65+(1-EXP(-LN(2)/25))/(LN(2)/25)*Calculateur!HC66*Calculateur!HE66*VLOOKUP('Données projet'!$B$18,Paramètres!$A$1:$I$89,3,0)*0.475*44/12</f>
        <v>6.0507314582451963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38.372028398915049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0">
        <f t="shared" ref="R67:R130" si="55">Q67+(I67+J67)*44/12</f>
        <v>293.33333333333439</v>
      </c>
      <c r="S67" s="60">
        <f ca="1">AVERAGE(OFFSET($R$3,0,0,'Données projet'!$E$9+1,1))-AVERAGE(OFFSET($H$3,0,0,'Données projet'!$E$9+1,1))</f>
        <v>206.5885410269899</v>
      </c>
      <c r="T67" s="60">
        <f t="shared" si="34"/>
        <v>347.41156847586302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3.3992364478763198E-14</v>
      </c>
      <c r="AK67" s="14">
        <f t="shared" si="35"/>
        <v>5.790027782444094E-13</v>
      </c>
      <c r="AL67" s="22">
        <f t="shared" si="4"/>
        <v>1.0676332069095257E-12</v>
      </c>
      <c r="AM67" s="60">
        <f t="shared" si="5"/>
        <v>293.33333333333439</v>
      </c>
      <c r="AN67" s="60">
        <f ca="1">AVERAGE(OFFSET($AM$3,0,0,'Données projet'!$E$10+1,1))-AVERAGE(OFFSET($H$3,0,0,'Données projet'!$E$10+1,1))</f>
        <v>206.5885410269899</v>
      </c>
      <c r="AO67" s="60">
        <f t="shared" si="36"/>
        <v>347.41156847586302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55.788934160480416</v>
      </c>
      <c r="AV67" s="23">
        <f>EXP(-LN(2)/25)*AV66+(1-EXP(-LN(2)/25))/(LN(2)/25)*Calculateur!AQ67*Calculateur!AS67*VLOOKUP('Données projet'!$B$10,Paramètres!$A$1:$I$89,3,0)*0.475*44/12</f>
        <v>1.3024038108814555</v>
      </c>
      <c r="AW67" s="23">
        <f>EXP(-LN(2)/2)*AW66+(1-EXP(-LN(2)/2))/(LN(2)/2)*AQ67*AT67*VLOOKUP('Données projet'!$B$10,Paramètres!$A$1:$I$89,3,0)*0.475*44/12</f>
        <v>8.4039202780841031E-3</v>
      </c>
      <c r="AX67" s="23">
        <f t="shared" si="6"/>
        <v>57.099741891639958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221.80000000000004</v>
      </c>
      <c r="BE67" s="14">
        <f>BD67*VLOOKUP('Données projet'!$B$11,Paramètres!$A$1:$I$89,3,0)*VLOOKUP('Données projet'!$B$11,Paramètres!$A$1:$I$89,5,0)</f>
        <v>211.06488000000004</v>
      </c>
      <c r="BF67" s="14">
        <f t="shared" si="37"/>
        <v>52.168220223304438</v>
      </c>
      <c r="BG67" s="22">
        <f t="shared" si="7"/>
        <v>458.46431622225526</v>
      </c>
      <c r="BH67" s="60">
        <f t="shared" si="8"/>
        <v>751.79764955558858</v>
      </c>
      <c r="BI67" s="60">
        <f ca="1">AVERAGE(OFFSET($BH$3,0,0,'Données projet'!$E$11+1,1))-AVERAGE(OFFSET($H$3,0,0,'Données projet'!$E$11+1,1))</f>
        <v>389.12604446638119</v>
      </c>
      <c r="BJ67" s="60">
        <f t="shared" si="38"/>
        <v>243.23852967152732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221.80000000000004</v>
      </c>
      <c r="BZ67" s="14">
        <f>BY67*VLOOKUP('Données projet'!$B$12,Paramètres!$A$1:$I$89,3,0)*VLOOKUP('Données projet'!$B$12,Paramètres!$A$1:$I$89,5,0)</f>
        <v>200.68464</v>
      </c>
      <c r="CA67" s="14">
        <f t="shared" si="39"/>
        <v>49.894600936700193</v>
      </c>
      <c r="CB67" s="22">
        <f t="shared" si="10"/>
        <v>436.42551129808612</v>
      </c>
      <c r="CC67" s="60">
        <f t="shared" si="11"/>
        <v>729.75884463141938</v>
      </c>
      <c r="CD67" s="60">
        <f ca="1">AVERAGE(OFFSET($CC$3,0,0,'Données projet'!$E$12+1,1))-AVERAGE(OFFSET($H$3,0,0,'Données projet'!$E$12+1,1))</f>
        <v>371.95849973474657</v>
      </c>
      <c r="CE67" s="60">
        <f t="shared" si="40"/>
        <v>233.32640143610547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1.4598911113973095E-4</v>
      </c>
      <c r="CN67" s="24">
        <f t="shared" si="12"/>
        <v>1.4598911113973095E-4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221.80000000000004</v>
      </c>
      <c r="CU67" s="18">
        <f>CT67*VLOOKUP('Données projet'!$B$13,Paramètres!$A$1:$I$89,3,0)*VLOOKUP('Données projet'!$B$13,Paramètres!$A$1:$I$89,5,0)</f>
        <v>214.52496000000005</v>
      </c>
      <c r="CV67" s="14">
        <f t="shared" si="41"/>
        <v>52.923173099085766</v>
      </c>
      <c r="CW67" s="22">
        <f t="shared" si="13"/>
        <v>465.80549848090777</v>
      </c>
      <c r="CX67" s="60">
        <f t="shared" si="14"/>
        <v>759.13883181424103</v>
      </c>
      <c r="CY67" s="60">
        <f ca="1">AVERAGE(OFFSET($CX$3,0,0,'Données projet'!$E$13+1,1))-AVERAGE(OFFSET($H$3,0,0,'Données projet'!$E$13+1,1))</f>
        <v>394.8445842828649</v>
      </c>
      <c r="CZ67" s="60">
        <f t="shared" si="42"/>
        <v>246.54010105494143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1.560573257010918E-4</v>
      </c>
      <c r="DI67" s="24">
        <f t="shared" si="15"/>
        <v>1.560573257010918E-4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</v>
      </c>
      <c r="DO67" s="13">
        <f>IF('Données projet'!$A$166&gt;35,DO66+DN67-DW66,IF(A67&lt;'Données projet'!$A$166,$DL$205^A67,IF(A67='Données projet'!$A$166,'Données projet'!$B$166,DO66+DN67-DW66)))</f>
        <v>176.00000000000003</v>
      </c>
      <c r="DP67" s="18">
        <f>DO67*VLOOKUP('Données projet'!$B$14,Paramètres!$A$1:$I$89,3,0)*VLOOKUP('Données projet'!$B$14,Paramètres!$A$1:$I$89,5,0)</f>
        <v>153.75360000000006</v>
      </c>
      <c r="DQ67" s="14">
        <f t="shared" si="43"/>
        <v>39.430373774012359</v>
      </c>
      <c r="DR67" s="22">
        <f t="shared" si="16"/>
        <v>336.462087656405</v>
      </c>
      <c r="DS67" s="60">
        <f t="shared" si="17"/>
        <v>629.79542098973832</v>
      </c>
      <c r="DT67" s="60">
        <f ca="1">AVERAGE(OFFSET($DS$3,0,0,'Données projet'!$E$14+1,1))-AVERAGE(OFFSET($H$3,0,0,'Données projet'!$E$14+1,1))</f>
        <v>266.98113257513319</v>
      </c>
      <c r="DU67" s="60">
        <f t="shared" si="44"/>
        <v>275.73257102713393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4.3375373944710152</v>
      </c>
      <c r="EC67" s="23">
        <f>EXP(-LN(2)/2)*EC66+(1-EXP(-LN(2)/2))/(LN(2)/2)*DW67*DZ67*VLOOKUP('Données projet'!$B$14,Paramètres!$A$1:$I$89,3,0)*0.475*44/12</f>
        <v>7.9853808483347364E-5</v>
      </c>
      <c r="ED67" s="24">
        <f t="shared" si="18"/>
        <v>4.3376172482794981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7.2</v>
      </c>
      <c r="EJ67" s="13">
        <f>IF('Données projet'!$A$192&gt;35,EJ66+EI67-ER66,IF(A67&lt;'Données projet'!$A$192,$EG$205^A67,IF(A67='Données projet'!$A$192,'Données projet'!$B$192,EJ66+EI67-ER66)))</f>
        <v>221.80000000000004</v>
      </c>
      <c r="EK67" s="18">
        <f>EJ67*VLOOKUP('Données projet'!$B$15,Paramètres!$A$1:$I$89,3,0)*VLOOKUP('Données projet'!$B$15,Paramètres!$A$1:$I$89,5,0)</f>
        <v>252.58584000000005</v>
      </c>
      <c r="EL67" s="14">
        <f t="shared" si="45"/>
        <v>61.139327516253068</v>
      </c>
      <c r="EM67" s="22">
        <f t="shared" si="19"/>
        <v>546.40466675747416</v>
      </c>
      <c r="EN67" s="60">
        <f t="shared" si="20"/>
        <v>839.73800009080742</v>
      </c>
      <c r="EO67" s="60">
        <f ca="1">AVERAGE(OFFSET($EN$3,0,0,'Données projet'!$E$15+1,1))-AVERAGE(OFFSET($H$3,0,0,'Données projet'!$E$15+1,1))</f>
        <v>457.62828850677369</v>
      </c>
      <c r="EP67" s="60">
        <f t="shared" si="46"/>
        <v>282.78263556175563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7.2</v>
      </c>
      <c r="FE67" s="13">
        <f>IF('Données projet'!$A$218&gt;35,FE66+FD67-FM66,IF(A67&lt;'Données projet'!$A$218,$FB$205^A67,IF(A67='Données projet'!$A$218,'Données projet'!$B$218,FE66+FD67-FM66)))</f>
        <v>221.80000000000004</v>
      </c>
      <c r="FF67" s="18">
        <f>FE67*VLOOKUP('Données projet'!$B$16,Paramètres!$A$1:$I$89,3,0)*VLOOKUP('Données projet'!$B$16,Paramètres!$A$1:$I$89,5,0)</f>
        <v>242.20560000000003</v>
      </c>
      <c r="FG67" s="14">
        <f t="shared" si="47"/>
        <v>58.913823115879495</v>
      </c>
      <c r="FH67" s="22">
        <f t="shared" si="22"/>
        <v>524.44966192682341</v>
      </c>
      <c r="FI67" s="60">
        <f t="shared" si="23"/>
        <v>817.78299526015667</v>
      </c>
      <c r="FJ67" s="60">
        <f ca="1">AVERAGE(OFFSET($FI$3,0,0,'Données projet'!$E$16+1,1))-AVERAGE(OFFSET($H$3,0,0,'Données projet'!$E$16+1,1))</f>
        <v>440.52623925652182</v>
      </c>
      <c r="FK67" s="60">
        <f t="shared" si="48"/>
        <v>272.91122662088918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>
        <f>VLOOKUP(A67,'Données projet'!$A$243:$I$263,2,0)</f>
        <v>353</v>
      </c>
      <c r="FX67" s="13">
        <f>VLOOKUP(A67,'Données projet'!$A$243:$I$263,9,0)</f>
        <v>16</v>
      </c>
      <c r="FY67" s="13">
        <f t="array" ref="FY67">INDEX(FX:FX,MIN(IF(ISNUMBER(FX67:FX263),ROW(FX67:FX263),"")))</f>
        <v>16</v>
      </c>
      <c r="FZ67" s="13">
        <f>IF('Données projet'!$A$244&gt;35,FZ66+FY67-GH66,IF(A67&lt;'Données projet'!$A$244,$FW$205^A67,IF(A67='Données projet'!$A$244,'Données projet'!$B$244,FZ66+FY67-GH66)))</f>
        <v>353</v>
      </c>
      <c r="GA67" s="18">
        <f>FZ67*VLOOKUP('Données projet'!$B$17,Paramètres!$A$1:$I$89,3,0)*VLOOKUP('Données projet'!$B$17,Paramètres!$A$1:$I$89,5,0)</f>
        <v>165.20400000000001</v>
      </c>
      <c r="GB67" s="14">
        <f t="shared" si="49"/>
        <v>42.01409666579589</v>
      </c>
      <c r="GC67" s="22">
        <f t="shared" si="25"/>
        <v>360.90485169292782</v>
      </c>
      <c r="GD67" s="60">
        <f t="shared" si="26"/>
        <v>654.23818502626114</v>
      </c>
      <c r="GE67" s="60">
        <f ca="1">AVERAGE(OFFSET($GD$3,0,0,'Données projet'!$E$17+1,1))-AVERAGE(OFFSET($H$3,0,0,'Données projet'!$E$17+1,1))</f>
        <v>317.54276561627643</v>
      </c>
      <c r="GF67" s="60">
        <f t="shared" si="50"/>
        <v>238.92443174298893</v>
      </c>
      <c r="GG67" s="16">
        <f>IF(ISNA(VLOOKUP(A67,'Données projet'!$A$243:$I$263,3,0)),0,VLOOKUP(A67,'Données projet'!$A$243:$I$263,3,0))</f>
        <v>10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>
        <f>GU67*VLOOKUP('Données projet'!$B$18,Paramètres!$A$1:$I$89,3,0)*VLOOKUP('Données projet'!$B$18,Paramètres!$A$1:$I$89,5,0)</f>
        <v>0</v>
      </c>
      <c r="GW67" s="14" t="e">
        <f t="shared" si="51"/>
        <v>#NUM!</v>
      </c>
      <c r="GX67" s="22" t="e">
        <f t="shared" si="28"/>
        <v>#NUM!</v>
      </c>
      <c r="GY67" s="60" t="e">
        <f t="shared" si="29"/>
        <v>#NUM!</v>
      </c>
      <c r="GZ67" s="60">
        <f ca="1">AVERAGE(OFFSET($GY$3,0,0,'Données projet'!$E$18+1,1))-AVERAGE(OFFSET($H$3,0,0,'Données projet'!$E$18+1,1))</f>
        <v>79.868679770907136</v>
      </c>
      <c r="HA67" s="60">
        <f t="shared" si="52"/>
        <v>370.47471103028312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31.687496021707851</v>
      </c>
      <c r="HH67" s="23">
        <f>EXP(-LN(2)/25)*HH66+(1-EXP(-LN(2)/25))/(LN(2)/25)*Calculateur!HC67*Calculateur!HE67*VLOOKUP('Données projet'!$B$18,Paramètres!$A$1:$I$89,3,0)*0.475*44/12</f>
        <v>5.8852738883253428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37.572769910033195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0">
        <f t="shared" si="55"/>
        <v>293.33333333333439</v>
      </c>
      <c r="S68" s="60">
        <f ca="1">AVERAGE(OFFSET($R$3,0,0,'Données projet'!$E$9+1,1))-AVERAGE(OFFSET($H$3,0,0,'Données projet'!$E$9+1,1))</f>
        <v>206.5885410269899</v>
      </c>
      <c r="T68" s="60">
        <f t="shared" si="34"/>
        <v>347.41156847586302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3.3992364478763198E-14</v>
      </c>
      <c r="AK68" s="14">
        <f t="shared" si="35"/>
        <v>5.790027782444094E-13</v>
      </c>
      <c r="AL68" s="22">
        <f t="shared" ref="AL68:AL131" si="58">(AJ68+AK68)*0.475*44/12</f>
        <v>1.0676332069095257E-12</v>
      </c>
      <c r="AM68" s="60">
        <f t="shared" ref="AM68:AM131" si="59">AL68+(AD68+AE68)*44/12</f>
        <v>293.33333333333439</v>
      </c>
      <c r="AN68" s="60">
        <f ca="1">AVERAGE(OFFSET($AM$3,0,0,'Données projet'!$E$10+1,1))-AVERAGE(OFFSET($H$3,0,0,'Données projet'!$E$10+1,1))</f>
        <v>206.5885410269899</v>
      </c>
      <c r="AO68" s="60">
        <f t="shared" si="36"/>
        <v>347.41156847586302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54.694947189483258</v>
      </c>
      <c r="AV68" s="23">
        <f>EXP(-LN(2)/25)*AV67+(1-EXP(-LN(2)/25))/(LN(2)/25)*Calculateur!AQ68*Calculateur!AS68*VLOOKUP('Données projet'!$B$10,Paramètres!$A$1:$I$89,3,0)*0.475*44/12</f>
        <v>1.2667895101824624</v>
      </c>
      <c r="AW68" s="23">
        <f>EXP(-LN(2)/2)*AW67+(1-EXP(-LN(2)/2))/(LN(2)/2)*AQ68*AT68*VLOOKUP('Données projet'!$B$10,Paramètres!$A$1:$I$89,3,0)*0.475*44/12</f>
        <v>5.9424690171844055E-3</v>
      </c>
      <c r="AX68" s="23">
        <f t="shared" ref="AX68:AX131" si="60">SUM(AU68:AW68)</f>
        <v>55.967679168682906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229.00000000000003</v>
      </c>
      <c r="BE68" s="14">
        <f>BD68*VLOOKUP('Données projet'!$B$11,Paramètres!$A$1:$I$89,3,0)*VLOOKUP('Données projet'!$B$11,Paramètres!$A$1:$I$89,5,0)</f>
        <v>217.91640000000004</v>
      </c>
      <c r="BF68" s="14">
        <f t="shared" si="37"/>
        <v>53.661775051402536</v>
      </c>
      <c r="BG68" s="22">
        <f t="shared" ref="BG68:BG131" si="61">(BE68+BF68)*0.475*44/12</f>
        <v>472.99865488119281</v>
      </c>
      <c r="BH68" s="60">
        <f t="shared" ref="BH68:BH131" si="62">BG68+(AY68+AZ68)*44/12</f>
        <v>766.33198821452606</v>
      </c>
      <c r="BI68" s="60">
        <f ca="1">AVERAGE(OFFSET($BH$3,0,0,'Données projet'!$E$11+1,1))-AVERAGE(OFFSET($H$3,0,0,'Données projet'!$E$11+1,1))</f>
        <v>389.12604446638119</v>
      </c>
      <c r="BJ68" s="60">
        <f t="shared" si="38"/>
        <v>243.23852967152732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229.00000000000003</v>
      </c>
      <c r="BZ68" s="14">
        <f>BY68*VLOOKUP('Données projet'!$B$12,Paramètres!$A$1:$I$89,3,0)*VLOOKUP('Données projet'!$B$12,Paramètres!$A$1:$I$89,5,0)</f>
        <v>207.19919999999999</v>
      </c>
      <c r="CA68" s="14">
        <f t="shared" si="39"/>
        <v>51.32306297366555</v>
      </c>
      <c r="CB68" s="22">
        <f t="shared" ref="CB68:CB131" si="64">(BZ68+CA68)*0.475*44/12</f>
        <v>450.25960801246742</v>
      </c>
      <c r="CC68" s="60">
        <f t="shared" ref="CC68:CC131" si="65">CB68+(BT68+BU68)*44/12</f>
        <v>743.59294134580068</v>
      </c>
      <c r="CD68" s="60">
        <f ca="1">AVERAGE(OFFSET($CC$3,0,0,'Données projet'!$E$12+1,1))-AVERAGE(OFFSET($H$3,0,0,'Données projet'!$E$12+1,1))</f>
        <v>371.95849973474657</v>
      </c>
      <c r="CE68" s="60">
        <f t="shared" si="40"/>
        <v>233.32640143610547</v>
      </c>
      <c r="CF68" s="16">
        <f>IF(ISNA(VLOOKUP(A68,'Données projet'!$A$113:$I$133,3,0)),0,VLOOKUP(A68,'Données projet'!$A$113:$I$133,3,0))</f>
        <v>9</v>
      </c>
      <c r="CG68" s="16">
        <f>IF(ISNA(VLOOKUP(A68,'Données projet'!$A$113:$I$133,4,0)),0,VLOOKUP(A68,'Données projet'!$A$113:$I$133,4,0))</f>
        <v>21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1.032298904663003E-4</v>
      </c>
      <c r="CN68" s="24">
        <f t="shared" ref="CN68:CN131" si="66">SUM(CK68:CM68)</f>
        <v>1.032298904663003E-4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229.00000000000003</v>
      </c>
      <c r="CU68" s="18">
        <f>CT68*VLOOKUP('Données projet'!$B$13,Paramètres!$A$1:$I$89,3,0)*VLOOKUP('Données projet'!$B$13,Paramètres!$A$1:$I$89,5,0)</f>
        <v>221.48880000000003</v>
      </c>
      <c r="CV68" s="14">
        <f t="shared" si="41"/>
        <v>54.43834191952984</v>
      </c>
      <c r="CW68" s="22">
        <f t="shared" ref="CW68:CW131" si="67">(CU68+CV68)*0.475*44/12</f>
        <v>480.57310550984772</v>
      </c>
      <c r="CX68" s="60">
        <f t="shared" ref="CX68:CX131" si="68">CW68+(CO68+CP68)*44/12</f>
        <v>773.90643884318104</v>
      </c>
      <c r="CY68" s="60">
        <f ca="1">AVERAGE(OFFSET($CX$3,0,0,'Données projet'!$E$13+1,1))-AVERAGE(OFFSET($H$3,0,0,'Données projet'!$E$13+1,1))</f>
        <v>394.8445842828649</v>
      </c>
      <c r="CZ68" s="60">
        <f t="shared" si="42"/>
        <v>246.54010105494143</v>
      </c>
      <c r="DA68" s="16">
        <f>IF(ISNA(VLOOKUP(A68,'Données projet'!$A$139:$I$159,3,0)),0,VLOOKUP(A68,'Données projet'!$A$139:$I$159,3,0))</f>
        <v>9</v>
      </c>
      <c r="DB68" s="16">
        <f>IF(ISNA(VLOOKUP(A68,'Données projet'!$A$139:$I$159,4,0)),0,VLOOKUP(A68,'Données projet'!$A$139:$I$159,4,0))</f>
        <v>21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1.103491932570797E-4</v>
      </c>
      <c r="DI68" s="24">
        <f t="shared" ref="DI68:DI131" si="69">SUM(DF68:DH68)</f>
        <v>1.103491932570797E-4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180</v>
      </c>
      <c r="DM68" s="13">
        <f>VLOOKUP(A68,'Données projet'!$A$165:$I$185,9,0)</f>
        <v>4</v>
      </c>
      <c r="DN68" s="13">
        <f t="array" ref="DN68">INDEX(DM:DM,MIN(IF(ISNUMBER(DM68:DM264),ROW(DM68:DM264),"")))</f>
        <v>4</v>
      </c>
      <c r="DO68" s="13">
        <f>IF('Données projet'!$A$166&gt;35,DO67+DN68-DW67,IF(A68&lt;'Données projet'!$A$166,$DL$205^A68,IF(A68='Données projet'!$A$166,'Données projet'!$B$166,DO67+DN68-DW67)))</f>
        <v>180.00000000000003</v>
      </c>
      <c r="DP68" s="18">
        <f>DO68*VLOOKUP('Données projet'!$B$14,Paramètres!$A$1:$I$89,3,0)*VLOOKUP('Données projet'!$B$14,Paramètres!$A$1:$I$89,5,0)</f>
        <v>157.24800000000005</v>
      </c>
      <c r="DQ68" s="14">
        <f t="shared" si="43"/>
        <v>40.221168744348645</v>
      </c>
      <c r="DR68" s="22">
        <f t="shared" ref="DR68:DR131" si="70">(DP68+DQ68)*0.475*44/12</f>
        <v>343.92546889640727</v>
      </c>
      <c r="DS68" s="60">
        <f t="shared" ref="DS68:DS131" si="71">DR68+(DJ68+DK68)*44/12</f>
        <v>637.25880222974058</v>
      </c>
      <c r="DT68" s="60">
        <f ca="1">AVERAGE(OFFSET($DS$3,0,0,'Données projet'!$E$14+1,1))-AVERAGE(OFFSET($H$3,0,0,'Données projet'!$E$14+1,1))</f>
        <v>266.98113257513319</v>
      </c>
      <c r="DU68" s="60">
        <f t="shared" si="44"/>
        <v>275.73257102713393</v>
      </c>
      <c r="DV68" s="16">
        <f>IF(ISNA(VLOOKUP(A68,'Données projet'!$A$165:$I$185,3,0)),0,VLOOKUP(A68,'Données projet'!$A$165:$I$185,3,0))</f>
        <v>10</v>
      </c>
      <c r="DW68" s="16">
        <f>IF(ISNA(VLOOKUP(A68,'Données projet'!$A$165:$I$185,4,0)),0,VLOOKUP(A68,'Données projet'!$A$165:$I$185,4,0))</f>
        <v>14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4.2189272063180274</v>
      </c>
      <c r="EC68" s="23">
        <f>EXP(-LN(2)/2)*EC67+(1-EXP(-LN(2)/2))/(LN(2)/2)*DW68*DZ68*VLOOKUP('Données projet'!$B$14,Paramètres!$A$1:$I$89,3,0)*0.475*44/12</f>
        <v>5.6465169482146778E-5</v>
      </c>
      <c r="ED68" s="24">
        <f t="shared" ref="ED68:ED131" si="72">SUM(EA68:EC68)</f>
        <v>4.2189836714875097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229</v>
      </c>
      <c r="EH68" s="13">
        <f>VLOOKUP(A68,'Données projet'!$A$191:$I$211,9,0)</f>
        <v>7.2</v>
      </c>
      <c r="EI68" s="13">
        <f t="array" ref="EI68">INDEX(EH:EH,MIN(IF(ISNUMBER(EH68:EH264),ROW(EH68:EH264),"")))</f>
        <v>7.2</v>
      </c>
      <c r="EJ68" s="13">
        <f>IF('Données projet'!$A$192&gt;35,EJ67+EI68-ER67,IF(A68&lt;'Données projet'!$A$192,$EG$205^A68,IF(A68='Données projet'!$A$192,'Données projet'!$B$192,EJ67+EI68-ER67)))</f>
        <v>229.00000000000003</v>
      </c>
      <c r="EK68" s="18">
        <f>EJ68*VLOOKUP('Données projet'!$B$15,Paramètres!$A$1:$I$89,3,0)*VLOOKUP('Données projet'!$B$15,Paramètres!$A$1:$I$89,5,0)</f>
        <v>260.78520000000003</v>
      </c>
      <c r="EL68" s="14">
        <f t="shared" si="45"/>
        <v>62.889721480388701</v>
      </c>
      <c r="EM68" s="22">
        <f t="shared" ref="EM68:EM131" si="73">(EK68+EL68)*0.475*44/12</f>
        <v>563.73382157834374</v>
      </c>
      <c r="EN68" s="60">
        <f t="shared" ref="EN68:EN131" si="74">EM68+(EE68+EF68)*44/12</f>
        <v>857.06715491167711</v>
      </c>
      <c r="EO68" s="60">
        <f ca="1">AVERAGE(OFFSET($EN$3,0,0,'Données projet'!$E$15+1,1))-AVERAGE(OFFSET($H$3,0,0,'Données projet'!$E$15+1,1))</f>
        <v>457.62828850677369</v>
      </c>
      <c r="EP68" s="60">
        <f t="shared" si="46"/>
        <v>282.78263556175563</v>
      </c>
      <c r="EQ68" s="16">
        <f>IF(ISNA(VLOOKUP(A68,'Données projet'!$A$191:$I$211,3,0)),0,VLOOKUP(A68,'Données projet'!$A$191:$I$211,3,0))</f>
        <v>9</v>
      </c>
      <c r="ER68" s="16">
        <f>IF(ISNA(VLOOKUP(A68,'Données projet'!$A$191:$I$211,4,0)),0,VLOOKUP(A68,'Données projet'!$A$191:$I$211,4,0))</f>
        <v>21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229</v>
      </c>
      <c r="FC68" s="13">
        <f>VLOOKUP(A68,'Données projet'!$A$217:$I$237,9,0)</f>
        <v>7.2</v>
      </c>
      <c r="FD68" s="13">
        <f t="array" ref="FD68">INDEX(FC:FC,MIN(IF(ISNUMBER(FC68:FC264),ROW(FC68:FC264),"")))</f>
        <v>7.2</v>
      </c>
      <c r="FE68" s="13">
        <f>IF('Données projet'!$A$218&gt;35,FE67+FD68-FM67,IF(A68&lt;'Données projet'!$A$218,$FB$205^A68,IF(A68='Données projet'!$A$218,'Données projet'!$B$218,FE67+FD68-FM67)))</f>
        <v>229.00000000000003</v>
      </c>
      <c r="FF68" s="18">
        <f>FE68*VLOOKUP('Données projet'!$B$16,Paramètres!$A$1:$I$89,3,0)*VLOOKUP('Données projet'!$B$16,Paramètres!$A$1:$I$89,5,0)</f>
        <v>250.06800000000004</v>
      </c>
      <c r="FG68" s="14">
        <f t="shared" si="47"/>
        <v>60.600501798414548</v>
      </c>
      <c r="FH68" s="22">
        <f t="shared" ref="FH68:FH131" si="76">(FF68+FG68)*0.475*44/12</f>
        <v>541.08097396557207</v>
      </c>
      <c r="FI68" s="60">
        <f t="shared" ref="FI68:FI131" si="77">FH68+(EZ68+FA68)*44/12</f>
        <v>834.41430729890544</v>
      </c>
      <c r="FJ68" s="60">
        <f ca="1">AVERAGE(OFFSET($FI$3,0,0,'Données projet'!$E$16+1,1))-AVERAGE(OFFSET($H$3,0,0,'Données projet'!$E$16+1,1))</f>
        <v>440.52623925652182</v>
      </c>
      <c r="FK68" s="60">
        <f t="shared" si="48"/>
        <v>272.91122662088918</v>
      </c>
      <c r="FL68" s="16">
        <f>IF(ISNA(VLOOKUP(A68,'Données projet'!$A$217:$I$237,3,0)),0,VLOOKUP(A68,'Données projet'!$A$217:$I$237,3,0))</f>
        <v>9</v>
      </c>
      <c r="FM68" s="16">
        <f>IF(ISNA(VLOOKUP(A68,'Données projet'!$A$217:$I$237,4,0)),0,VLOOKUP(A68,'Données projet'!$A$217:$I$237,4,0))</f>
        <v>21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16.142857142857142</v>
      </c>
      <c r="FZ68" s="13">
        <f>IF('Données projet'!$A$244&gt;35,FZ67+FY68-GH67,IF(A68&lt;'Données projet'!$A$244,$FW$205^A68,IF(A68='Données projet'!$A$244,'Données projet'!$B$244,FZ67+FY68-GH67)))</f>
        <v>369.14285714285717</v>
      </c>
      <c r="GA68" s="18">
        <f>FZ68*VLOOKUP('Données projet'!$B$17,Paramètres!$A$1:$I$89,3,0)*VLOOKUP('Données projet'!$B$17,Paramètres!$A$1:$I$89,5,0)</f>
        <v>172.75885714285715</v>
      </c>
      <c r="GB68" s="14">
        <f t="shared" si="49"/>
        <v>43.707335703690283</v>
      </c>
      <c r="GC68" s="22">
        <f t="shared" ref="GC68:GC131" si="79">(GA68+GB68)*0.475*44/12</f>
        <v>377.01195254107012</v>
      </c>
      <c r="GD68" s="60">
        <f t="shared" ref="GD68:GD131" si="80">GC68+(FU68+FV68)*44/12</f>
        <v>670.34528587440343</v>
      </c>
      <c r="GE68" s="60">
        <f ca="1">AVERAGE(OFFSET($GD$3,0,0,'Données projet'!$E$17+1,1))-AVERAGE(OFFSET($H$3,0,0,'Données projet'!$E$17+1,1))</f>
        <v>317.54276561627643</v>
      </c>
      <c r="GF68" s="60">
        <f t="shared" si="50"/>
        <v>238.92443174298893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>
        <f>GU68*VLOOKUP('Données projet'!$B$18,Paramètres!$A$1:$I$89,3,0)*VLOOKUP('Données projet'!$B$18,Paramètres!$A$1:$I$89,5,0)</f>
        <v>0</v>
      </c>
      <c r="GW68" s="14" t="e">
        <f t="shared" si="51"/>
        <v>#NUM!</v>
      </c>
      <c r="GX68" s="22" t="e">
        <f t="shared" ref="GX68:GX131" si="82">(GV68+GW68)*0.475*44/12</f>
        <v>#NUM!</v>
      </c>
      <c r="GY68" s="60" t="e">
        <f t="shared" ref="GY68:GY131" si="83">GX68+(GP68+GQ68)*44/12</f>
        <v>#NUM!</v>
      </c>
      <c r="GZ68" s="60">
        <f ca="1">AVERAGE(OFFSET($GY$3,0,0,'Données projet'!$E$18+1,1))-AVERAGE(OFFSET($H$3,0,0,'Données projet'!$E$18+1,1))</f>
        <v>79.868679770907136</v>
      </c>
      <c r="HA68" s="60">
        <f t="shared" si="52"/>
        <v>370.47471103028312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31.066123552186305</v>
      </c>
      <c r="HH68" s="23">
        <f>EXP(-LN(2)/25)*HH67+(1-EXP(-LN(2)/25))/(LN(2)/25)*Calculateur!HC68*Calculateur!HE68*VLOOKUP('Données projet'!$B$18,Paramètres!$A$1:$I$89,3,0)*0.475*44/12</f>
        <v>5.7243407643559836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36.790464316542291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0">
        <f t="shared" si="55"/>
        <v>293.33333333333439</v>
      </c>
      <c r="S69" s="60">
        <f ca="1">AVERAGE(OFFSET($R$3,0,0,'Données projet'!$E$9+1,1))-AVERAGE(OFFSET($H$3,0,0,'Données projet'!$E$9+1,1))</f>
        <v>206.5885410269899</v>
      </c>
      <c r="T69" s="60">
        <f t="shared" ref="T69:T132" si="88">$T$3</f>
        <v>347.41156847586302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3.3992364478763198E-14</v>
      </c>
      <c r="AK69" s="14">
        <f t="shared" ref="AK69:AK132" si="89">EXP(-1.0587+0.8836*LN(AJ69)+0.284)</f>
        <v>5.790027782444094E-13</v>
      </c>
      <c r="AL69" s="22">
        <f t="shared" si="58"/>
        <v>1.0676332069095257E-12</v>
      </c>
      <c r="AM69" s="60">
        <f t="shared" si="59"/>
        <v>293.33333333333439</v>
      </c>
      <c r="AN69" s="60">
        <f ca="1">AVERAGE(OFFSET($AM$3,0,0,'Données projet'!$E$10+1,1))-AVERAGE(OFFSET($H$3,0,0,'Données projet'!$E$10+1,1))</f>
        <v>206.5885410269899</v>
      </c>
      <c r="AO69" s="60">
        <f t="shared" ref="AO69:AO132" si="90">$AO$3</f>
        <v>347.41156847586302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53.62241263572119</v>
      </c>
      <c r="AV69" s="23">
        <f>EXP(-LN(2)/25)*AV68+(1-EXP(-LN(2)/25))/(LN(2)/25)*Calculateur!AQ69*Calculateur!AS69*VLOOKUP('Données projet'!$B$10,Paramètres!$A$1:$I$89,3,0)*0.475*44/12</f>
        <v>1.232149084408958</v>
      </c>
      <c r="AW69" s="23">
        <f>EXP(-LN(2)/2)*AW68+(1-EXP(-LN(2)/2))/(LN(2)/2)*AQ69*AT69*VLOOKUP('Données projet'!$B$10,Paramètres!$A$1:$I$89,3,0)*0.475*44/12</f>
        <v>4.2019601390420516E-3</v>
      </c>
      <c r="AX69" s="23">
        <f t="shared" si="60"/>
        <v>54.858763680269192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214.80000000000004</v>
      </c>
      <c r="BE69" s="14">
        <f>BD69*VLOOKUP('Données projet'!$B$11,Paramètres!$A$1:$I$89,3,0)*VLOOKUP('Données projet'!$B$11,Paramètres!$A$1:$I$89,5,0)</f>
        <v>204.40368000000004</v>
      </c>
      <c r="BF69" s="14">
        <f t="shared" ref="BF69:BF132" si="91">EXP(-1.0587+0.8836*LN(BE69)+0.284)</f>
        <v>50.710733146553544</v>
      </c>
      <c r="BG69" s="22">
        <f t="shared" si="61"/>
        <v>444.3242695635808</v>
      </c>
      <c r="BH69" s="60">
        <f t="shared" si="62"/>
        <v>737.65760289691411</v>
      </c>
      <c r="BI69" s="60">
        <f ca="1">AVERAGE(OFFSET($BH$3,0,0,'Données projet'!$E$11+1,1))-AVERAGE(OFFSET($H$3,0,0,'Données projet'!$E$11+1,1))</f>
        <v>389.12604446638119</v>
      </c>
      <c r="BJ69" s="60">
        <f t="shared" ref="BJ69:BJ132" si="92">$BJ$3</f>
        <v>243.23852967152732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214.80000000000004</v>
      </c>
      <c r="BZ69" s="14">
        <f>BY69*VLOOKUP('Données projet'!$B$12,Paramètres!$A$1:$I$89,3,0)*VLOOKUP('Données projet'!$B$12,Paramètres!$A$1:$I$89,5,0)</f>
        <v>194.35104000000004</v>
      </c>
      <c r="CA69" s="14">
        <f t="shared" ref="CA69:CA132" si="93">EXP(-1.0587+0.8836*LN(BZ69)+0.284)</f>
        <v>48.500634729810159</v>
      </c>
      <c r="CB69" s="22">
        <f t="shared" si="64"/>
        <v>422.96666682108616</v>
      </c>
      <c r="CC69" s="60">
        <f t="shared" si="65"/>
        <v>716.30000015441942</v>
      </c>
      <c r="CD69" s="60">
        <f ca="1">AVERAGE(OFFSET($CC$3,0,0,'Données projet'!$E$12+1,1))-AVERAGE(OFFSET($H$3,0,0,'Données projet'!$E$12+1,1))</f>
        <v>371.95849973474657</v>
      </c>
      <c r="CE69" s="60">
        <f t="shared" ref="CE69:CE132" si="94">$CE$3</f>
        <v>233.32640143610547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7.2994555569865475E-5</v>
      </c>
      <c r="CN69" s="24">
        <f t="shared" si="66"/>
        <v>7.2994555569865475E-5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214.80000000000004</v>
      </c>
      <c r="CU69" s="18">
        <f>CT69*VLOOKUP('Données projet'!$B$13,Paramètres!$A$1:$I$89,3,0)*VLOOKUP('Données projet'!$B$13,Paramètres!$A$1:$I$89,5,0)</f>
        <v>207.75456000000003</v>
      </c>
      <c r="CV69" s="14">
        <f t="shared" ref="CV69:CV132" si="95">EXP(-1.0587+0.8836*LN(CU69)+0.284)</f>
        <v>51.44459398478218</v>
      </c>
      <c r="CW69" s="22">
        <f t="shared" si="67"/>
        <v>451.43852652349568</v>
      </c>
      <c r="CX69" s="60">
        <f t="shared" si="68"/>
        <v>744.771859856829</v>
      </c>
      <c r="CY69" s="60">
        <f ca="1">AVERAGE(OFFSET($CX$3,0,0,'Données projet'!$E$13+1,1))-AVERAGE(OFFSET($H$3,0,0,'Données projet'!$E$13+1,1))</f>
        <v>394.8445842828649</v>
      </c>
      <c r="CZ69" s="60">
        <f t="shared" ref="CZ69:CZ132" si="96">$CZ$3</f>
        <v>246.54010105494143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7.8028662850545901E-5</v>
      </c>
      <c r="DI69" s="24">
        <f t="shared" si="69"/>
        <v>7.8028662850545901E-5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3.4</v>
      </c>
      <c r="DO69" s="13">
        <f>IF('Données projet'!$A$166&gt;35,DO68+DN69-DW68,IF(A69&lt;'Données projet'!$A$166,$DL$205^A69,IF(A69='Données projet'!$A$166,'Données projet'!$B$166,DO68+DN69-DW68)))</f>
        <v>169.40000000000003</v>
      </c>
      <c r="DP69" s="18">
        <f>DO69*VLOOKUP('Données projet'!$B$14,Paramètres!$A$1:$I$89,3,0)*VLOOKUP('Données projet'!$B$14,Paramètres!$A$1:$I$89,5,0)</f>
        <v>147.98784000000006</v>
      </c>
      <c r="DQ69" s="14">
        <f t="shared" ref="DQ69:DQ132" si="97">EXP(-1.0587+0.8836*LN(DP69)+0.284)</f>
        <v>38.120956246204841</v>
      </c>
      <c r="DR69" s="22">
        <f t="shared" si="70"/>
        <v>324.13948679547354</v>
      </c>
      <c r="DS69" s="60">
        <f t="shared" si="71"/>
        <v>617.47282012880692</v>
      </c>
      <c r="DT69" s="60">
        <f ca="1">AVERAGE(OFFSET($DS$3,0,0,'Données projet'!$E$14+1,1))-AVERAGE(OFFSET($H$3,0,0,'Données projet'!$E$14+1,1))</f>
        <v>266.98113257513319</v>
      </c>
      <c r="DU69" s="60">
        <f t="shared" ref="DU69:DU132" si="98">$DU$3</f>
        <v>275.73257102713393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4.103560419997522</v>
      </c>
      <c r="EC69" s="23">
        <f>EXP(-LN(2)/2)*EC68+(1-EXP(-LN(2)/2))/(LN(2)/2)*DW69*DZ69*VLOOKUP('Données projet'!$B$14,Paramètres!$A$1:$I$89,3,0)*0.475*44/12</f>
        <v>3.9926904241673682E-5</v>
      </c>
      <c r="ED69" s="24">
        <f t="shared" si="72"/>
        <v>4.1036003469017635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6.8</v>
      </c>
      <c r="EJ69" s="13">
        <f>IF('Données projet'!$A$192&gt;35,EJ68+EI69-ER68,IF(A69&lt;'Données projet'!$A$192,$EG$205^A69,IF(A69='Données projet'!$A$192,'Données projet'!$B$192,EJ68+EI69-ER68)))</f>
        <v>214.80000000000004</v>
      </c>
      <c r="EK69" s="18">
        <f>EJ69*VLOOKUP('Données projet'!$B$15,Paramètres!$A$1:$I$89,3,0)*VLOOKUP('Données projet'!$B$15,Paramètres!$A$1:$I$89,5,0)</f>
        <v>244.61424000000005</v>
      </c>
      <c r="EL69" s="14">
        <f t="shared" ref="EL69:EL132" si="99">EXP(-1.0587+0.8836*LN(EK69)+0.284)</f>
        <v>59.431203693842654</v>
      </c>
      <c r="EM69" s="22">
        <f t="shared" si="73"/>
        <v>529.54581443344262</v>
      </c>
      <c r="EN69" s="60">
        <f t="shared" si="74"/>
        <v>822.87914776677599</v>
      </c>
      <c r="EO69" s="60">
        <f ca="1">AVERAGE(OFFSET($EN$3,0,0,'Données projet'!$E$15+1,1))-AVERAGE(OFFSET($H$3,0,0,'Données projet'!$E$15+1,1))</f>
        <v>457.62828850677369</v>
      </c>
      <c r="EP69" s="60">
        <f t="shared" ref="EP69:EP132" si="100">$EP$3</f>
        <v>282.78263556175563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6.8</v>
      </c>
      <c r="FE69" s="13">
        <f>IF('Données projet'!$A$218&gt;35,FE68+FD69-FM68,IF(A69&lt;'Données projet'!$A$218,$FB$205^A69,IF(A69='Données projet'!$A$218,'Données projet'!$B$218,FE68+FD69-FM68)))</f>
        <v>214.80000000000004</v>
      </c>
      <c r="FF69" s="18">
        <f>FE69*VLOOKUP('Données projet'!$B$16,Paramètres!$A$1:$I$89,3,0)*VLOOKUP('Données projet'!$B$16,Paramètres!$A$1:$I$89,5,0)</f>
        <v>234.56160000000003</v>
      </c>
      <c r="FG69" s="14">
        <f t="shared" ref="FG69:FG132" si="101">EXP(-1.0587+0.8836*LN(FF69)+0.284)</f>
        <v>57.267875919179374</v>
      </c>
      <c r="FH69" s="22">
        <f t="shared" si="76"/>
        <v>508.26967055923751</v>
      </c>
      <c r="FI69" s="60">
        <f t="shared" si="77"/>
        <v>801.60300389257077</v>
      </c>
      <c r="FJ69" s="60">
        <f ca="1">AVERAGE(OFFSET($FI$3,0,0,'Données projet'!$E$16+1,1))-AVERAGE(OFFSET($H$3,0,0,'Données projet'!$E$16+1,1))</f>
        <v>440.52623925652182</v>
      </c>
      <c r="FK69" s="60">
        <f t="shared" ref="FK69:FK132" si="102">$FK$3</f>
        <v>272.91122662088918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16.142857142857142</v>
      </c>
      <c r="FZ69" s="13">
        <f>IF('Données projet'!$A$244&gt;35,FZ68+FY69-GH68,IF(A69&lt;'Données projet'!$A$244,$FW$205^A69,IF(A69='Données projet'!$A$244,'Données projet'!$B$244,FZ68+FY69-GH68)))</f>
        <v>385.28571428571433</v>
      </c>
      <c r="GA69" s="18">
        <f>FZ69*VLOOKUP('Données projet'!$B$17,Paramètres!$A$1:$I$89,3,0)*VLOOKUP('Données projet'!$B$17,Paramètres!$A$1:$I$89,5,0)</f>
        <v>180.3137142857143</v>
      </c>
      <c r="GB69" s="14">
        <f t="shared" ref="GB69:GB132" si="103">EXP(-1.0587+0.8836*LN(GA69)+0.284)</f>
        <v>45.391974740208404</v>
      </c>
      <c r="GC69" s="22">
        <f t="shared" si="79"/>
        <v>393.10407505348206</v>
      </c>
      <c r="GD69" s="60">
        <f t="shared" si="80"/>
        <v>686.43740838681538</v>
      </c>
      <c r="GE69" s="60">
        <f ca="1">AVERAGE(OFFSET($GD$3,0,0,'Données projet'!$E$17+1,1))-AVERAGE(OFFSET($H$3,0,0,'Données projet'!$E$17+1,1))</f>
        <v>317.54276561627643</v>
      </c>
      <c r="GF69" s="60">
        <f t="shared" ref="GF69:GF132" si="104">$GF$3</f>
        <v>238.92443174298893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>
        <f>GU69*VLOOKUP('Données projet'!$B$18,Paramètres!$A$1:$I$89,3,0)*VLOOKUP('Données projet'!$B$18,Paramètres!$A$1:$I$89,5,0)</f>
        <v>0</v>
      </c>
      <c r="GW69" s="14" t="e">
        <f t="shared" ref="GW69:GW132" si="105">EXP(-1.0587+0.8836*LN(GV69)+0.284)</f>
        <v>#NUM!</v>
      </c>
      <c r="GX69" s="22" t="e">
        <f t="shared" si="82"/>
        <v>#NUM!</v>
      </c>
      <c r="GY69" s="60" t="e">
        <f t="shared" si="83"/>
        <v>#NUM!</v>
      </c>
      <c r="GZ69" s="60">
        <f ca="1">AVERAGE(OFFSET($GY$3,0,0,'Données projet'!$E$18+1,1))-AVERAGE(OFFSET($H$3,0,0,'Données projet'!$E$18+1,1))</f>
        <v>79.868679770907136</v>
      </c>
      <c r="HA69" s="60">
        <f t="shared" ref="HA69:HA132" si="106">$HA$3</f>
        <v>370.47471103028312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30.456935817792292</v>
      </c>
      <c r="HH69" s="23">
        <f>EXP(-LN(2)/25)*HH68+(1-EXP(-LN(2)/25))/(LN(2)/25)*Calculateur!HC69*Calculateur!HE69*VLOOKUP('Données projet'!$B$18,Paramètres!$A$1:$I$89,3,0)*0.475*44/12</f>
        <v>5.5678083651246713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36.024744182916962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0">
        <f t="shared" si="55"/>
        <v>293.33333333333439</v>
      </c>
      <c r="S70" s="60">
        <f ca="1">AVERAGE(OFFSET($R$3,0,0,'Données projet'!$E$9+1,1))-AVERAGE(OFFSET($H$3,0,0,'Données projet'!$E$9+1,1))</f>
        <v>206.5885410269899</v>
      </c>
      <c r="T70" s="60">
        <f t="shared" si="88"/>
        <v>347.41156847586302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3.3992364478763198E-14</v>
      </c>
      <c r="AK70" s="14">
        <f t="shared" si="89"/>
        <v>5.790027782444094E-13</v>
      </c>
      <c r="AL70" s="22">
        <f t="shared" si="58"/>
        <v>1.0676332069095257E-12</v>
      </c>
      <c r="AM70" s="60">
        <f t="shared" si="59"/>
        <v>293.33333333333439</v>
      </c>
      <c r="AN70" s="60">
        <f ca="1">AVERAGE(OFFSET($AM$3,0,0,'Données projet'!$E$10+1,1))-AVERAGE(OFFSET($H$3,0,0,'Données projet'!$E$10+1,1))</f>
        <v>206.5885410269899</v>
      </c>
      <c r="AO70" s="60">
        <f t="shared" si="90"/>
        <v>347.41156847586302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52.570909830376912</v>
      </c>
      <c r="AV70" s="23">
        <f>EXP(-LN(2)/25)*AV69+(1-EXP(-LN(2)/25))/(LN(2)/25)*Calculateur!AQ70*Calculateur!AS70*VLOOKUP('Données projet'!$B$10,Paramètres!$A$1:$I$89,3,0)*0.475*44/12</f>
        <v>1.1984559028998909</v>
      </c>
      <c r="AW70" s="23">
        <f>EXP(-LN(2)/2)*AW69+(1-EXP(-LN(2)/2))/(LN(2)/2)*AQ70*AT70*VLOOKUP('Données projet'!$B$10,Paramètres!$A$1:$I$89,3,0)*0.475*44/12</f>
        <v>2.9712345085922028E-3</v>
      </c>
      <c r="AX70" s="23">
        <f t="shared" si="60"/>
        <v>53.772336967785392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221.60000000000005</v>
      </c>
      <c r="BE70" s="14">
        <f>BD70*VLOOKUP('Données projet'!$B$11,Paramètres!$A$1:$I$89,3,0)*VLOOKUP('Données projet'!$B$11,Paramètres!$A$1:$I$89,5,0)</f>
        <v>210.87456000000003</v>
      </c>
      <c r="BF70" s="14">
        <f t="shared" si="91"/>
        <v>52.12665281185464</v>
      </c>
      <c r="BG70" s="22">
        <f t="shared" si="61"/>
        <v>458.06044564731354</v>
      </c>
      <c r="BH70" s="60">
        <f t="shared" si="62"/>
        <v>751.39377898064686</v>
      </c>
      <c r="BI70" s="60">
        <f ca="1">AVERAGE(OFFSET($BH$3,0,0,'Données projet'!$E$11+1,1))-AVERAGE(OFFSET($H$3,0,0,'Données projet'!$E$11+1,1))</f>
        <v>389.12604446638119</v>
      </c>
      <c r="BJ70" s="60">
        <f t="shared" si="92"/>
        <v>243.23852967152732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221.60000000000005</v>
      </c>
      <c r="BZ70" s="14">
        <f>BY70*VLOOKUP('Données projet'!$B$12,Paramètres!$A$1:$I$89,3,0)*VLOOKUP('Données projet'!$B$12,Paramètres!$A$1:$I$89,5,0)</f>
        <v>200.50368000000003</v>
      </c>
      <c r="CA70" s="14">
        <f t="shared" si="93"/>
        <v>49.854845135229887</v>
      </c>
      <c r="CB70" s="22">
        <f t="shared" si="64"/>
        <v>436.04109794385869</v>
      </c>
      <c r="CC70" s="60">
        <f t="shared" si="65"/>
        <v>729.374431277192</v>
      </c>
      <c r="CD70" s="60">
        <f ca="1">AVERAGE(OFFSET($CC$3,0,0,'Données projet'!$E$12+1,1))-AVERAGE(OFFSET($H$3,0,0,'Données projet'!$E$12+1,1))</f>
        <v>371.95849973474657</v>
      </c>
      <c r="CE70" s="60">
        <f t="shared" si="94"/>
        <v>233.32640143610547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5.1614945233150151E-5</v>
      </c>
      <c r="CN70" s="24">
        <f t="shared" si="66"/>
        <v>5.1614945233150151E-5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221.60000000000005</v>
      </c>
      <c r="CU70" s="18">
        <f>CT70*VLOOKUP('Données projet'!$B$13,Paramètres!$A$1:$I$89,3,0)*VLOOKUP('Données projet'!$B$13,Paramètres!$A$1:$I$89,5,0)</f>
        <v>214.33152000000004</v>
      </c>
      <c r="CV70" s="14">
        <f t="shared" si="95"/>
        <v>52.881004144461244</v>
      </c>
      <c r="CW70" s="22">
        <f t="shared" si="67"/>
        <v>465.39514621826999</v>
      </c>
      <c r="CX70" s="60">
        <f t="shared" si="68"/>
        <v>758.7284795516033</v>
      </c>
      <c r="CY70" s="60">
        <f ca="1">AVERAGE(OFFSET($CX$3,0,0,'Données projet'!$E$13+1,1))-AVERAGE(OFFSET($H$3,0,0,'Données projet'!$E$13+1,1))</f>
        <v>394.8445842828649</v>
      </c>
      <c r="CZ70" s="60">
        <f t="shared" si="96"/>
        <v>246.54010105494143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5.5174596628539851E-5</v>
      </c>
      <c r="DI70" s="24">
        <f t="shared" si="69"/>
        <v>5.5174596628539851E-5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3.4</v>
      </c>
      <c r="DO70" s="13">
        <f>IF('Données projet'!$A$166&gt;35,DO69+DN70-DW69,IF(A70&lt;'Données projet'!$A$166,$DL$205^A70,IF(A70='Données projet'!$A$166,'Données projet'!$B$166,DO69+DN70-DW69)))</f>
        <v>172.80000000000004</v>
      </c>
      <c r="DP70" s="18">
        <f>DO70*VLOOKUP('Données projet'!$B$14,Paramètres!$A$1:$I$89,3,0)*VLOOKUP('Données projet'!$B$14,Paramètres!$A$1:$I$89,5,0)</f>
        <v>150.95808000000005</v>
      </c>
      <c r="DQ70" s="14">
        <f t="shared" si="97"/>
        <v>38.796231993724774</v>
      </c>
      <c r="DR70" s="22">
        <f t="shared" si="70"/>
        <v>330.48876005573737</v>
      </c>
      <c r="DS70" s="60">
        <f t="shared" si="71"/>
        <v>623.82209338907069</v>
      </c>
      <c r="DT70" s="60">
        <f ca="1">AVERAGE(OFFSET($DS$3,0,0,'Données projet'!$E$14+1,1))-AVERAGE(OFFSET($H$3,0,0,'Données projet'!$E$14+1,1))</f>
        <v>266.98113257513319</v>
      </c>
      <c r="DU70" s="60">
        <f t="shared" si="98"/>
        <v>275.73257102713393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3.991348344515826</v>
      </c>
      <c r="EC70" s="23">
        <f>EXP(-LN(2)/2)*EC69+(1-EXP(-LN(2)/2))/(LN(2)/2)*DW70*DZ70*VLOOKUP('Données projet'!$B$14,Paramètres!$A$1:$I$89,3,0)*0.475*44/12</f>
        <v>2.8232584741073389E-5</v>
      </c>
      <c r="ED70" s="24">
        <f t="shared" si="72"/>
        <v>3.9913765771005671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6.8</v>
      </c>
      <c r="EJ70" s="13">
        <f>IF('Données projet'!$A$192&gt;35,EJ69+EI70-ER69,IF(A70&lt;'Données projet'!$A$192,$EG$205^A70,IF(A70='Données projet'!$A$192,'Données projet'!$B$192,EJ69+EI70-ER69)))</f>
        <v>221.60000000000005</v>
      </c>
      <c r="EK70" s="18">
        <f>EJ70*VLOOKUP('Données projet'!$B$15,Paramètres!$A$1:$I$89,3,0)*VLOOKUP('Données projet'!$B$15,Paramètres!$A$1:$I$89,5,0)</f>
        <v>252.35808000000006</v>
      </c>
      <c r="EL70" s="14">
        <f t="shared" si="99"/>
        <v>61.09061196544927</v>
      </c>
      <c r="EM70" s="22">
        <f t="shared" si="73"/>
        <v>545.92313850649077</v>
      </c>
      <c r="EN70" s="60">
        <f t="shared" si="74"/>
        <v>839.25647183982414</v>
      </c>
      <c r="EO70" s="60">
        <f ca="1">AVERAGE(OFFSET($EN$3,0,0,'Données projet'!$E$15+1,1))-AVERAGE(OFFSET($H$3,0,0,'Données projet'!$E$15+1,1))</f>
        <v>457.62828850677369</v>
      </c>
      <c r="EP70" s="60">
        <f t="shared" si="100"/>
        <v>282.78263556175563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6.8</v>
      </c>
      <c r="FE70" s="13">
        <f>IF('Données projet'!$A$218&gt;35,FE69+FD70-FM69,IF(A70&lt;'Données projet'!$A$218,$FB$205^A70,IF(A70='Données projet'!$A$218,'Données projet'!$B$218,FE69+FD70-FM69)))</f>
        <v>221.60000000000005</v>
      </c>
      <c r="FF70" s="18">
        <f>FE70*VLOOKUP('Données projet'!$B$16,Paramètres!$A$1:$I$89,3,0)*VLOOKUP('Données projet'!$B$16,Paramètres!$A$1:$I$89,5,0)</f>
        <v>241.98720000000006</v>
      </c>
      <c r="FG70" s="14">
        <f t="shared" si="101"/>
        <v>58.866880837322675</v>
      </c>
      <c r="FH70" s="22">
        <f t="shared" si="76"/>
        <v>523.98752412500369</v>
      </c>
      <c r="FI70" s="60">
        <f t="shared" si="77"/>
        <v>817.32085745833706</v>
      </c>
      <c r="FJ70" s="60">
        <f ca="1">AVERAGE(OFFSET($FI$3,0,0,'Données projet'!$E$16+1,1))-AVERAGE(OFFSET($H$3,0,0,'Données projet'!$E$16+1,1))</f>
        <v>440.52623925652182</v>
      </c>
      <c r="FK70" s="60">
        <f t="shared" si="102"/>
        <v>272.91122662088918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16.142857142857142</v>
      </c>
      <c r="FZ70" s="13">
        <f>IF('Données projet'!$A$244&gt;35,FZ69+FY70-GH69,IF(A70&lt;'Données projet'!$A$244,$FW$205^A70,IF(A70='Données projet'!$A$244,'Données projet'!$B$244,FZ69+FY70-GH69)))</f>
        <v>401.4285714285715</v>
      </c>
      <c r="GA70" s="18">
        <f>FZ70*VLOOKUP('Données projet'!$B$17,Paramètres!$A$1:$I$89,3,0)*VLOOKUP('Données projet'!$B$17,Paramètres!$A$1:$I$89,5,0)</f>
        <v>187.86857142857147</v>
      </c>
      <c r="GB70" s="14">
        <f t="shared" si="103"/>
        <v>47.068415303981318</v>
      </c>
      <c r="GC70" s="22">
        <f t="shared" si="79"/>
        <v>409.18191855919605</v>
      </c>
      <c r="GD70" s="60">
        <f t="shared" si="80"/>
        <v>702.51525189252936</v>
      </c>
      <c r="GE70" s="60">
        <f ca="1">AVERAGE(OFFSET($GD$3,0,0,'Données projet'!$E$17+1,1))-AVERAGE(OFFSET($H$3,0,0,'Données projet'!$E$17+1,1))</f>
        <v>317.54276561627643</v>
      </c>
      <c r="GF70" s="60">
        <f t="shared" si="104"/>
        <v>238.92443174298893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>
        <f>GU70*VLOOKUP('Données projet'!$B$18,Paramètres!$A$1:$I$89,3,0)*VLOOKUP('Données projet'!$B$18,Paramètres!$A$1:$I$89,5,0)</f>
        <v>0</v>
      </c>
      <c r="GW70" s="14" t="e">
        <f t="shared" si="105"/>
        <v>#NUM!</v>
      </c>
      <c r="GX70" s="22" t="e">
        <f t="shared" si="82"/>
        <v>#NUM!</v>
      </c>
      <c r="GY70" s="60" t="e">
        <f t="shared" si="83"/>
        <v>#NUM!</v>
      </c>
      <c r="GZ70" s="60">
        <f ca="1">AVERAGE(OFFSET($GY$3,0,0,'Données projet'!$E$18+1,1))-AVERAGE(OFFSET($H$3,0,0,'Données projet'!$E$18+1,1))</f>
        <v>79.868679770907136</v>
      </c>
      <c r="HA70" s="60">
        <f t="shared" si="106"/>
        <v>370.47471103028312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29.859693883301919</v>
      </c>
      <c r="HH70" s="23">
        <f>EXP(-LN(2)/25)*HH69+(1-EXP(-LN(2)/25))/(LN(2)/25)*Calculateur!HC70*Calculateur!HE70*VLOOKUP('Données projet'!$B$18,Paramètres!$A$1:$I$89,3,0)*0.475*44/12</f>
        <v>5.4155563525820209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35.275250235883938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0">
        <f t="shared" si="55"/>
        <v>293.33333333333439</v>
      </c>
      <c r="S71" s="60">
        <f ca="1">AVERAGE(OFFSET($R$3,0,0,'Données projet'!$E$9+1,1))-AVERAGE(OFFSET($H$3,0,0,'Données projet'!$E$9+1,1))</f>
        <v>206.5885410269899</v>
      </c>
      <c r="T71" s="60">
        <f t="shared" si="88"/>
        <v>347.41156847586302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3.3992364478763198E-14</v>
      </c>
      <c r="AK71" s="14">
        <f t="shared" si="89"/>
        <v>5.790027782444094E-13</v>
      </c>
      <c r="AL71" s="22">
        <f t="shared" si="58"/>
        <v>1.0676332069095257E-12</v>
      </c>
      <c r="AM71" s="60">
        <f t="shared" si="59"/>
        <v>293.33333333333439</v>
      </c>
      <c r="AN71" s="60">
        <f ca="1">AVERAGE(OFFSET($AM$3,0,0,'Données projet'!$E$10+1,1))-AVERAGE(OFFSET($H$3,0,0,'Données projet'!$E$10+1,1))</f>
        <v>206.5885410269899</v>
      </c>
      <c r="AO71" s="60">
        <f t="shared" si="90"/>
        <v>347.41156847586302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51.540026353692056</v>
      </c>
      <c r="AV71" s="23">
        <f>EXP(-LN(2)/25)*AV70+(1-EXP(-LN(2)/25))/(LN(2)/25)*Calculateur!AQ71*Calculateur!AS71*VLOOKUP('Données projet'!$B$10,Paramètres!$A$1:$I$89,3,0)*0.475*44/12</f>
        <v>1.1656840632110366</v>
      </c>
      <c r="AW71" s="23">
        <f>EXP(-LN(2)/2)*AW70+(1-EXP(-LN(2)/2))/(LN(2)/2)*AQ71*AT71*VLOOKUP('Données projet'!$B$10,Paramètres!$A$1:$I$89,3,0)*0.475*44/12</f>
        <v>2.1009800695210258E-3</v>
      </c>
      <c r="AX71" s="23">
        <f t="shared" si="60"/>
        <v>52.707811396972616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228.40000000000006</v>
      </c>
      <c r="BE71" s="14">
        <f>BD71*VLOOKUP('Données projet'!$B$11,Paramètres!$A$1:$I$89,3,0)*VLOOKUP('Données projet'!$B$11,Paramètres!$A$1:$I$89,5,0)</f>
        <v>217.34544000000008</v>
      </c>
      <c r="BF71" s="14">
        <f t="shared" si="91"/>
        <v>53.537523221233521</v>
      </c>
      <c r="BG71" s="22">
        <f t="shared" si="61"/>
        <v>471.78782761031516</v>
      </c>
      <c r="BH71" s="60">
        <f t="shared" si="62"/>
        <v>765.12116094364842</v>
      </c>
      <c r="BI71" s="60">
        <f ca="1">AVERAGE(OFFSET($BH$3,0,0,'Données projet'!$E$11+1,1))-AVERAGE(OFFSET($H$3,0,0,'Données projet'!$E$11+1,1))</f>
        <v>389.12604446638119</v>
      </c>
      <c r="BJ71" s="60">
        <f t="shared" si="92"/>
        <v>243.23852967152732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228.40000000000006</v>
      </c>
      <c r="BZ71" s="14">
        <f>BY71*VLOOKUP('Données projet'!$B$12,Paramètres!$A$1:$I$89,3,0)*VLOOKUP('Données projet'!$B$12,Paramètres!$A$1:$I$89,5,0)</f>
        <v>206.65632000000005</v>
      </c>
      <c r="CA71" s="14">
        <f t="shared" si="93"/>
        <v>51.20422634371338</v>
      </c>
      <c r="CB71" s="22">
        <f t="shared" si="64"/>
        <v>449.10711821530089</v>
      </c>
      <c r="CC71" s="60">
        <f t="shared" si="65"/>
        <v>742.4404515486342</v>
      </c>
      <c r="CD71" s="60">
        <f ca="1">AVERAGE(OFFSET($CC$3,0,0,'Données projet'!$E$12+1,1))-AVERAGE(OFFSET($H$3,0,0,'Données projet'!$E$12+1,1))</f>
        <v>371.95849973474657</v>
      </c>
      <c r="CE71" s="60">
        <f t="shared" si="94"/>
        <v>233.32640143610547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3.6497277784932738E-5</v>
      </c>
      <c r="CN71" s="24">
        <f t="shared" si="66"/>
        <v>3.6497277784932738E-5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228.40000000000006</v>
      </c>
      <c r="CU71" s="18">
        <f>CT71*VLOOKUP('Données projet'!$B$13,Paramètres!$A$1:$I$89,3,0)*VLOOKUP('Données projet'!$B$13,Paramètres!$A$1:$I$89,5,0)</f>
        <v>220.90848000000005</v>
      </c>
      <c r="CV71" s="14">
        <f t="shared" si="95"/>
        <v>54.312291977864867</v>
      </c>
      <c r="CW71" s="22">
        <f t="shared" si="67"/>
        <v>479.34284452811465</v>
      </c>
      <c r="CX71" s="60">
        <f t="shared" si="68"/>
        <v>772.67617786144797</v>
      </c>
      <c r="CY71" s="60">
        <f ca="1">AVERAGE(OFFSET($CX$3,0,0,'Données projet'!$E$13+1,1))-AVERAGE(OFFSET($H$3,0,0,'Données projet'!$E$13+1,1))</f>
        <v>394.8445842828649</v>
      </c>
      <c r="CZ71" s="60">
        <f t="shared" si="96"/>
        <v>246.54010105494143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3.9014331425272951E-5</v>
      </c>
      <c r="DI71" s="24">
        <f t="shared" si="69"/>
        <v>3.9014331425272951E-5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3.4</v>
      </c>
      <c r="DO71" s="13">
        <f>IF('Données projet'!$A$166&gt;35,DO70+DN71-DW70,IF(A71&lt;'Données projet'!$A$166,$DL$205^A71,IF(A71='Données projet'!$A$166,'Données projet'!$B$166,DO70+DN71-DW70)))</f>
        <v>176.20000000000005</v>
      </c>
      <c r="DP71" s="18">
        <f>DO71*VLOOKUP('Données projet'!$B$14,Paramètres!$A$1:$I$89,3,0)*VLOOKUP('Données projet'!$B$14,Paramètres!$A$1:$I$89,5,0)</f>
        <v>153.92832000000007</v>
      </c>
      <c r="DQ71" s="14">
        <f t="shared" si="97"/>
        <v>39.46996283651783</v>
      </c>
      <c r="DR71" s="22">
        <f t="shared" si="70"/>
        <v>336.83534260693528</v>
      </c>
      <c r="DS71" s="60">
        <f t="shared" si="71"/>
        <v>630.1686759402686</v>
      </c>
      <c r="DT71" s="60">
        <f ca="1">AVERAGE(OFFSET($DS$3,0,0,'Données projet'!$E$14+1,1))-AVERAGE(OFFSET($H$3,0,0,'Données projet'!$E$14+1,1))</f>
        <v>266.98113257513319</v>
      </c>
      <c r="DU71" s="60">
        <f t="shared" si="98"/>
        <v>275.73257102713393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3.8822047141391538</v>
      </c>
      <c r="EC71" s="23">
        <f>EXP(-LN(2)/2)*EC70+(1-EXP(-LN(2)/2))/(LN(2)/2)*DW71*DZ71*VLOOKUP('Données projet'!$B$14,Paramètres!$A$1:$I$89,3,0)*0.475*44/12</f>
        <v>1.9963452120836841E-5</v>
      </c>
      <c r="ED71" s="24">
        <f t="shared" si="72"/>
        <v>3.8822246775912745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6.8</v>
      </c>
      <c r="EJ71" s="13">
        <f>IF('Données projet'!$A$192&gt;35,EJ70+EI71-ER70,IF(A71&lt;'Données projet'!$A$192,$EG$205^A71,IF(A71='Données projet'!$A$192,'Données projet'!$B$192,EJ70+EI71-ER70)))</f>
        <v>228.40000000000006</v>
      </c>
      <c r="EK71" s="18">
        <f>EJ71*VLOOKUP('Données projet'!$B$15,Paramètres!$A$1:$I$89,3,0)*VLOOKUP('Données projet'!$B$15,Paramètres!$A$1:$I$89,5,0)</f>
        <v>260.10192000000006</v>
      </c>
      <c r="EL71" s="14">
        <f t="shared" si="99"/>
        <v>62.74410268590654</v>
      </c>
      <c r="EM71" s="22">
        <f t="shared" si="73"/>
        <v>562.29015617795403</v>
      </c>
      <c r="EN71" s="60">
        <f t="shared" si="74"/>
        <v>855.62348951128729</v>
      </c>
      <c r="EO71" s="60">
        <f ca="1">AVERAGE(OFFSET($EN$3,0,0,'Données projet'!$E$15+1,1))-AVERAGE(OFFSET($H$3,0,0,'Données projet'!$E$15+1,1))</f>
        <v>457.62828850677369</v>
      </c>
      <c r="EP71" s="60">
        <f t="shared" si="100"/>
        <v>282.78263556175563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6.8</v>
      </c>
      <c r="FE71" s="13">
        <f>IF('Données projet'!$A$218&gt;35,FE70+FD71-FM70,IF(A71&lt;'Données projet'!$A$218,$FB$205^A71,IF(A71='Données projet'!$A$218,'Données projet'!$B$218,FE70+FD71-FM70)))</f>
        <v>228.40000000000006</v>
      </c>
      <c r="FF71" s="18">
        <f>FE71*VLOOKUP('Données projet'!$B$16,Paramètres!$A$1:$I$89,3,0)*VLOOKUP('Données projet'!$B$16,Paramètres!$A$1:$I$89,5,0)</f>
        <v>249.41280000000003</v>
      </c>
      <c r="FG71" s="14">
        <f t="shared" si="101"/>
        <v>60.460183606360637</v>
      </c>
      <c r="FH71" s="22">
        <f t="shared" si="76"/>
        <v>539.69544644774476</v>
      </c>
      <c r="FI71" s="60">
        <f t="shared" si="77"/>
        <v>833.02877978107813</v>
      </c>
      <c r="FJ71" s="60">
        <f ca="1">AVERAGE(OFFSET($FI$3,0,0,'Données projet'!$E$16+1,1))-AVERAGE(OFFSET($H$3,0,0,'Données projet'!$E$16+1,1))</f>
        <v>440.52623925652182</v>
      </c>
      <c r="FK71" s="60">
        <f t="shared" si="102"/>
        <v>272.91122662088918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16.142857142857142</v>
      </c>
      <c r="FZ71" s="13">
        <f>IF('Données projet'!$A$244&gt;35,FZ70+FY71-GH70,IF(A71&lt;'Données projet'!$A$244,$FW$205^A71,IF(A71='Données projet'!$A$244,'Données projet'!$B$244,FZ70+FY71-GH70)))</f>
        <v>417.57142857142867</v>
      </c>
      <c r="GA71" s="18">
        <f>FZ71*VLOOKUP('Données projet'!$B$17,Paramètres!$A$1:$I$89,3,0)*VLOOKUP('Données projet'!$B$17,Paramètres!$A$1:$I$89,5,0)</f>
        <v>195.42342857142864</v>
      </c>
      <c r="GB71" s="14">
        <f t="shared" si="103"/>
        <v>48.737024802067147</v>
      </c>
      <c r="GC71" s="22">
        <f t="shared" si="79"/>
        <v>425.24612295883844</v>
      </c>
      <c r="GD71" s="60">
        <f t="shared" si="80"/>
        <v>718.5794562921717</v>
      </c>
      <c r="GE71" s="60">
        <f ca="1">AVERAGE(OFFSET($GD$3,0,0,'Données projet'!$E$17+1,1))-AVERAGE(OFFSET($H$3,0,0,'Données projet'!$E$17+1,1))</f>
        <v>317.54276561627643</v>
      </c>
      <c r="GF71" s="60">
        <f t="shared" si="104"/>
        <v>238.92443174298893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>
        <f>GU71*VLOOKUP('Données projet'!$B$18,Paramètres!$A$1:$I$89,3,0)*VLOOKUP('Données projet'!$B$18,Paramètres!$A$1:$I$89,5,0)</f>
        <v>0</v>
      </c>
      <c r="GW71" s="14" t="e">
        <f t="shared" si="105"/>
        <v>#NUM!</v>
      </c>
      <c r="GX71" s="22" t="e">
        <f t="shared" si="82"/>
        <v>#NUM!</v>
      </c>
      <c r="GY71" s="60" t="e">
        <f t="shared" si="83"/>
        <v>#NUM!</v>
      </c>
      <c r="GZ71" s="60">
        <f ca="1">AVERAGE(OFFSET($GY$3,0,0,'Données projet'!$E$18+1,1))-AVERAGE(OFFSET($H$3,0,0,'Données projet'!$E$18+1,1))</f>
        <v>79.868679770907136</v>
      </c>
      <c r="HA71" s="60">
        <f t="shared" si="106"/>
        <v>370.47471103028312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29.274163498865292</v>
      </c>
      <c r="HH71" s="23">
        <f>EXP(-LN(2)/25)*HH70+(1-EXP(-LN(2)/25))/(LN(2)/25)*Calculateur!HC71*Calculateur!HE71*VLOOKUP('Données projet'!$B$18,Paramètres!$A$1:$I$89,3,0)*0.475*44/12</f>
        <v>5.2674676793289343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34.541631178194223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0">
        <f t="shared" si="55"/>
        <v>293.33333333333439</v>
      </c>
      <c r="S72" s="60">
        <f ca="1">AVERAGE(OFFSET($R$3,0,0,'Données projet'!$E$9+1,1))-AVERAGE(OFFSET($H$3,0,0,'Données projet'!$E$9+1,1))</f>
        <v>206.5885410269899</v>
      </c>
      <c r="T72" s="60">
        <f t="shared" si="88"/>
        <v>347.41156847586302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3.3992364478763198E-14</v>
      </c>
      <c r="AK72" s="14">
        <f t="shared" si="89"/>
        <v>5.790027782444094E-13</v>
      </c>
      <c r="AL72" s="22">
        <f t="shared" si="58"/>
        <v>1.0676332069095257E-12</v>
      </c>
      <c r="AM72" s="60">
        <f t="shared" si="59"/>
        <v>293.33333333333439</v>
      </c>
      <c r="AN72" s="60">
        <f ca="1">AVERAGE(OFFSET($AM$3,0,0,'Données projet'!$E$10+1,1))-AVERAGE(OFFSET($H$3,0,0,'Données projet'!$E$10+1,1))</f>
        <v>206.5885410269899</v>
      </c>
      <c r="AO72" s="60">
        <f t="shared" si="90"/>
        <v>347.41156847586302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50.529357873208156</v>
      </c>
      <c r="AV72" s="23">
        <f>EXP(-LN(2)/25)*AV71+(1-EXP(-LN(2)/25))/(LN(2)/25)*Calculateur!AQ72*Calculateur!AS72*VLOOKUP('Données projet'!$B$10,Paramètres!$A$1:$I$89,3,0)*0.475*44/12</f>
        <v>1.1338083712018701</v>
      </c>
      <c r="AW72" s="23">
        <f>EXP(-LN(2)/2)*AW71+(1-EXP(-LN(2)/2))/(LN(2)/2)*AQ72*AT72*VLOOKUP('Données projet'!$B$10,Paramètres!$A$1:$I$89,3,0)*0.475*44/12</f>
        <v>1.4856172542961014E-3</v>
      </c>
      <c r="AX72" s="23">
        <f t="shared" si="60"/>
        <v>51.664651861664325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235.20000000000007</v>
      </c>
      <c r="BE72" s="14">
        <f>BD72*VLOOKUP('Données projet'!$B$11,Paramètres!$A$1:$I$89,3,0)*VLOOKUP('Données projet'!$B$11,Paramètres!$A$1:$I$89,5,0)</f>
        <v>223.81632000000008</v>
      </c>
      <c r="BF72" s="14">
        <f t="shared" si="91"/>
        <v>54.94351196072666</v>
      </c>
      <c r="BG72" s="22">
        <f t="shared" si="61"/>
        <v>485.50670733159899</v>
      </c>
      <c r="BH72" s="60">
        <f t="shared" si="62"/>
        <v>778.8400406649323</v>
      </c>
      <c r="BI72" s="60">
        <f ca="1">AVERAGE(OFFSET($BH$3,0,0,'Données projet'!$E$11+1,1))-AVERAGE(OFFSET($H$3,0,0,'Données projet'!$E$11+1,1))</f>
        <v>389.12604446638119</v>
      </c>
      <c r="BJ72" s="60">
        <f t="shared" si="92"/>
        <v>243.23852967152732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235.20000000000007</v>
      </c>
      <c r="BZ72" s="14">
        <f>BY72*VLOOKUP('Données projet'!$B$12,Paramètres!$A$1:$I$89,3,0)*VLOOKUP('Données projet'!$B$12,Paramètres!$A$1:$I$89,5,0)</f>
        <v>212.80896000000004</v>
      </c>
      <c r="CA72" s="14">
        <f t="shared" si="93"/>
        <v>52.54893863748589</v>
      </c>
      <c r="CB72" s="22">
        <f t="shared" si="64"/>
        <v>462.16500679362139</v>
      </c>
      <c r="CC72" s="60">
        <f t="shared" si="65"/>
        <v>755.49834012695464</v>
      </c>
      <c r="CD72" s="60">
        <f ca="1">AVERAGE(OFFSET($CC$3,0,0,'Données projet'!$E$12+1,1))-AVERAGE(OFFSET($H$3,0,0,'Données projet'!$E$12+1,1))</f>
        <v>371.95849973474657</v>
      </c>
      <c r="CE72" s="60">
        <f t="shared" si="94"/>
        <v>233.32640143610547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2.5807472616575076E-5</v>
      </c>
      <c r="CN72" s="24">
        <f t="shared" si="66"/>
        <v>2.5807472616575076E-5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235.20000000000007</v>
      </c>
      <c r="CU72" s="18">
        <f>CT72*VLOOKUP('Données projet'!$B$13,Paramètres!$A$1:$I$89,3,0)*VLOOKUP('Données projet'!$B$13,Paramètres!$A$1:$I$89,5,0)</f>
        <v>227.48544000000007</v>
      </c>
      <c r="CV72" s="14">
        <f t="shared" si="95"/>
        <v>55.738627496252377</v>
      </c>
      <c r="CW72" s="22">
        <f t="shared" si="67"/>
        <v>493.281917555973</v>
      </c>
      <c r="CX72" s="60">
        <f t="shared" si="68"/>
        <v>786.61525088930625</v>
      </c>
      <c r="CY72" s="60">
        <f ca="1">AVERAGE(OFFSET($CX$3,0,0,'Données projet'!$E$13+1,1))-AVERAGE(OFFSET($H$3,0,0,'Données projet'!$E$13+1,1))</f>
        <v>394.8445842828649</v>
      </c>
      <c r="CZ72" s="60">
        <f t="shared" si="96"/>
        <v>246.54010105494143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2.7587298314269925E-5</v>
      </c>
      <c r="DI72" s="24">
        <f t="shared" si="69"/>
        <v>2.7587298314269925E-5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3.4</v>
      </c>
      <c r="DO72" s="13">
        <f>IF('Données projet'!$A$166&gt;35,DO71+DN72-DW71,IF(A72&lt;'Données projet'!$A$166,$DL$205^A72,IF(A72='Données projet'!$A$166,'Données projet'!$B$166,DO71+DN72-DW71)))</f>
        <v>179.60000000000005</v>
      </c>
      <c r="DP72" s="18">
        <f>DO72*VLOOKUP('Données projet'!$B$14,Paramètres!$A$1:$I$89,3,0)*VLOOKUP('Données projet'!$B$14,Paramètres!$A$1:$I$89,5,0)</f>
        <v>156.89856000000006</v>
      </c>
      <c r="DQ72" s="14">
        <f t="shared" si="97"/>
        <v>40.142182022259064</v>
      </c>
      <c r="DR72" s="22">
        <f t="shared" si="70"/>
        <v>343.1792923554346</v>
      </c>
      <c r="DS72" s="60">
        <f t="shared" si="71"/>
        <v>636.51262568876791</v>
      </c>
      <c r="DT72" s="60">
        <f ca="1">AVERAGE(OFFSET($DS$3,0,0,'Données projet'!$E$14+1,1))-AVERAGE(OFFSET($H$3,0,0,'Données projet'!$E$14+1,1))</f>
        <v>266.98113257513319</v>
      </c>
      <c r="DU72" s="60">
        <f t="shared" si="98"/>
        <v>275.73257102713393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3.7760456220747458</v>
      </c>
      <c r="EC72" s="23">
        <f>EXP(-LN(2)/2)*EC71+(1-EXP(-LN(2)/2))/(LN(2)/2)*DW72*DZ72*VLOOKUP('Données projet'!$B$14,Paramètres!$A$1:$I$89,3,0)*0.475*44/12</f>
        <v>1.4116292370536694E-5</v>
      </c>
      <c r="ED72" s="24">
        <f t="shared" si="72"/>
        <v>3.7760597383671164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6.8</v>
      </c>
      <c r="EJ72" s="13">
        <f>IF('Données projet'!$A$192&gt;35,EJ71+EI72-ER71,IF(A72&lt;'Données projet'!$A$192,$EG$205^A72,IF(A72='Données projet'!$A$192,'Données projet'!$B$192,EJ71+EI72-ER71)))</f>
        <v>235.20000000000007</v>
      </c>
      <c r="EK72" s="18">
        <f>EJ72*VLOOKUP('Données projet'!$B$15,Paramètres!$A$1:$I$89,3,0)*VLOOKUP('Données projet'!$B$15,Paramètres!$A$1:$I$89,5,0)</f>
        <v>267.8457600000001</v>
      </c>
      <c r="EL72" s="14">
        <f t="shared" si="99"/>
        <v>64.391872260181529</v>
      </c>
      <c r="EM72" s="22">
        <f t="shared" si="73"/>
        <v>578.64720951981633</v>
      </c>
      <c r="EN72" s="60">
        <f t="shared" si="74"/>
        <v>871.9805428531497</v>
      </c>
      <c r="EO72" s="60">
        <f ca="1">AVERAGE(OFFSET($EN$3,0,0,'Données projet'!$E$15+1,1))-AVERAGE(OFFSET($H$3,0,0,'Données projet'!$E$15+1,1))</f>
        <v>457.62828850677369</v>
      </c>
      <c r="EP72" s="60">
        <f t="shared" si="100"/>
        <v>282.78263556175563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6.8</v>
      </c>
      <c r="FE72" s="13">
        <f>IF('Données projet'!$A$218&gt;35,FE71+FD72-FM71,IF(A72&lt;'Données projet'!$A$218,$FB$205^A72,IF(A72='Données projet'!$A$218,'Données projet'!$B$218,FE71+FD72-FM71)))</f>
        <v>235.20000000000007</v>
      </c>
      <c r="FF72" s="18">
        <f>FE72*VLOOKUP('Données projet'!$B$16,Paramètres!$A$1:$I$89,3,0)*VLOOKUP('Données projet'!$B$16,Paramètres!$A$1:$I$89,5,0)</f>
        <v>256.83840000000009</v>
      </c>
      <c r="FG72" s="14">
        <f t="shared" si="101"/>
        <v>62.047973482014044</v>
      </c>
      <c r="FH72" s="22">
        <f t="shared" si="76"/>
        <v>555.39376714784134</v>
      </c>
      <c r="FI72" s="60">
        <f t="shared" si="77"/>
        <v>848.7271004811746</v>
      </c>
      <c r="FJ72" s="60">
        <f ca="1">AVERAGE(OFFSET($FI$3,0,0,'Données projet'!$E$16+1,1))-AVERAGE(OFFSET($H$3,0,0,'Données projet'!$E$16+1,1))</f>
        <v>440.52623925652182</v>
      </c>
      <c r="FK72" s="60">
        <f t="shared" si="102"/>
        <v>272.91122662088918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16.142857142857142</v>
      </c>
      <c r="FZ72" s="13">
        <f>IF('Données projet'!$A$244&gt;35,FZ71+FY72-GH71,IF(A72&lt;'Données projet'!$A$244,$FW$205^A72,IF(A72='Données projet'!$A$244,'Données projet'!$B$244,FZ71+FY72-GH71)))</f>
        <v>433.71428571428584</v>
      </c>
      <c r="GA72" s="18">
        <f>FZ72*VLOOKUP('Données projet'!$B$17,Paramètres!$A$1:$I$89,3,0)*VLOOKUP('Données projet'!$B$17,Paramètres!$A$1:$I$89,5,0)</f>
        <v>202.97828571428576</v>
      </c>
      <c r="GB72" s="14">
        <f t="shared" si="103"/>
        <v>50.398140625785402</v>
      </c>
      <c r="GC72" s="22">
        <f t="shared" si="79"/>
        <v>441.29727587562394</v>
      </c>
      <c r="GD72" s="60">
        <f t="shared" si="80"/>
        <v>734.63060920895725</v>
      </c>
      <c r="GE72" s="60">
        <f ca="1">AVERAGE(OFFSET($GD$3,0,0,'Données projet'!$E$17+1,1))-AVERAGE(OFFSET($H$3,0,0,'Données projet'!$E$17+1,1))</f>
        <v>317.54276561627643</v>
      </c>
      <c r="GF72" s="60">
        <f t="shared" si="104"/>
        <v>238.92443174298893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>
        <f>GU72*VLOOKUP('Données projet'!$B$18,Paramètres!$A$1:$I$89,3,0)*VLOOKUP('Données projet'!$B$18,Paramètres!$A$1:$I$89,5,0)</f>
        <v>0</v>
      </c>
      <c r="GW72" s="14" t="e">
        <f t="shared" si="105"/>
        <v>#NUM!</v>
      </c>
      <c r="GX72" s="22" t="e">
        <f t="shared" si="82"/>
        <v>#NUM!</v>
      </c>
      <c r="GY72" s="60" t="e">
        <f t="shared" si="83"/>
        <v>#NUM!</v>
      </c>
      <c r="GZ72" s="60">
        <f ca="1">AVERAGE(OFFSET($GY$3,0,0,'Données projet'!$E$18+1,1))-AVERAGE(OFFSET($H$3,0,0,'Données projet'!$E$18+1,1))</f>
        <v>79.868679770907136</v>
      </c>
      <c r="HA72" s="60">
        <f t="shared" si="106"/>
        <v>370.47471103028312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28.700115008129195</v>
      </c>
      <c r="HH72" s="23">
        <f>EXP(-LN(2)/25)*HH71+(1-EXP(-LN(2)/25))/(LN(2)/25)*Calculateur!HC72*Calculateur!HE72*VLOOKUP('Données projet'!$B$18,Paramètres!$A$1:$I$89,3,0)*0.475*44/12</f>
        <v>5.1234284986335981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33.823543506762796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0">
        <f t="shared" si="55"/>
        <v>293.33333333333439</v>
      </c>
      <c r="S73" s="60">
        <f ca="1">AVERAGE(OFFSET($R$3,0,0,'Données projet'!$E$9+1,1))-AVERAGE(OFFSET($H$3,0,0,'Données projet'!$E$9+1,1))</f>
        <v>206.5885410269899</v>
      </c>
      <c r="T73" s="60">
        <f t="shared" si="88"/>
        <v>347.41156847586302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3.3992364478763198E-14</v>
      </c>
      <c r="AK73" s="14">
        <f t="shared" si="89"/>
        <v>5.790027782444094E-13</v>
      </c>
      <c r="AL73" s="22">
        <f t="shared" si="58"/>
        <v>1.0676332069095257E-12</v>
      </c>
      <c r="AM73" s="60">
        <f t="shared" si="59"/>
        <v>293.33333333333439</v>
      </c>
      <c r="AN73" s="60">
        <f ca="1">AVERAGE(OFFSET($AM$3,0,0,'Données projet'!$E$10+1,1))-AVERAGE(OFFSET($H$3,0,0,'Données projet'!$E$10+1,1))</f>
        <v>206.5885410269899</v>
      </c>
      <c r="AO73" s="60">
        <f t="shared" si="90"/>
        <v>347.41156847586302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49.538507985179635</v>
      </c>
      <c r="AV73" s="23">
        <f>EXP(-LN(2)/25)*AV72+(1-EXP(-LN(2)/25))/(LN(2)/25)*Calculateur!AQ73*Calculateur!AS73*VLOOKUP('Données projet'!$B$10,Paramètres!$A$1:$I$89,3,0)*0.475*44/12</f>
        <v>1.1028043216669641</v>
      </c>
      <c r="AW73" s="23">
        <f>EXP(-LN(2)/2)*AW72+(1-EXP(-LN(2)/2))/(LN(2)/2)*AQ73*AT73*VLOOKUP('Données projet'!$B$10,Paramètres!$A$1:$I$89,3,0)*0.475*44/12</f>
        <v>1.0504900347605129E-3</v>
      </c>
      <c r="AX73" s="23">
        <f t="shared" si="60"/>
        <v>50.642362796881358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242.00000000000009</v>
      </c>
      <c r="BE73" s="14">
        <f>BD73*VLOOKUP('Données projet'!$B$11,Paramètres!$A$1:$I$89,3,0)*VLOOKUP('Données projet'!$B$11,Paramètres!$A$1:$I$89,5,0)</f>
        <v>230.2872000000001</v>
      </c>
      <c r="BF73" s="14">
        <f t="shared" si="91"/>
        <v>56.344776374960006</v>
      </c>
      <c r="BG73" s="22">
        <f t="shared" si="61"/>
        <v>499.21735885305549</v>
      </c>
      <c r="BH73" s="60">
        <f t="shared" si="62"/>
        <v>792.5506921863888</v>
      </c>
      <c r="BI73" s="60">
        <f ca="1">AVERAGE(OFFSET($BH$3,0,0,'Données projet'!$E$11+1,1))-AVERAGE(OFFSET($H$3,0,0,'Données projet'!$E$11+1,1))</f>
        <v>389.12604446638119</v>
      </c>
      <c r="BJ73" s="60">
        <f t="shared" si="92"/>
        <v>243.23852967152732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242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242.00000000000009</v>
      </c>
      <c r="BZ73" s="14">
        <f>BY73*VLOOKUP('Données projet'!$B$12,Paramètres!$A$1:$I$89,3,0)*VLOOKUP('Données projet'!$B$12,Paramètres!$A$1:$I$89,5,0)</f>
        <v>218.96160000000006</v>
      </c>
      <c r="CA73" s="14">
        <f t="shared" si="93"/>
        <v>53.88913250370743</v>
      </c>
      <c r="CB73" s="22">
        <f t="shared" si="64"/>
        <v>475.21502577729046</v>
      </c>
      <c r="CC73" s="60">
        <f t="shared" si="65"/>
        <v>768.54835911062378</v>
      </c>
      <c r="CD73" s="60">
        <f ca="1">AVERAGE(OFFSET($CC$3,0,0,'Données projet'!$E$12+1,1))-AVERAGE(OFFSET($H$3,0,0,'Données projet'!$E$12+1,1))</f>
        <v>371.95849973474657</v>
      </c>
      <c r="CE73" s="60">
        <f t="shared" si="94"/>
        <v>233.32640143610547</v>
      </c>
      <c r="CF73" s="16">
        <f>IF(ISNA(VLOOKUP(A73,'Données projet'!$A$113:$I$133,3,0)),0,VLOOKUP(A73,'Données projet'!$A$113:$I$133,3,0))</f>
        <v>10</v>
      </c>
      <c r="CG73" s="16">
        <f>IF(ISNA(VLOOKUP(A73,'Données projet'!$A$113:$I$133,4,0)),0,VLOOKUP(A73,'Données projet'!$A$113:$I$133,4,0))</f>
        <v>21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1.8248638892466369E-5</v>
      </c>
      <c r="CN73" s="24">
        <f t="shared" si="66"/>
        <v>1.8248638892466369E-5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242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242.00000000000009</v>
      </c>
      <c r="CU73" s="18">
        <f>CT73*VLOOKUP('Données projet'!$B$13,Paramètres!$A$1:$I$89,3,0)*VLOOKUP('Données projet'!$B$13,Paramètres!$A$1:$I$89,5,0)</f>
        <v>234.06240000000008</v>
      </c>
      <c r="CV73" s="14">
        <f t="shared" si="95"/>
        <v>57.160170321263926</v>
      </c>
      <c r="CW73" s="22">
        <f t="shared" si="67"/>
        <v>507.21264330953483</v>
      </c>
      <c r="CX73" s="60">
        <f t="shared" si="68"/>
        <v>800.54597664286814</v>
      </c>
      <c r="CY73" s="60">
        <f ca="1">AVERAGE(OFFSET($CX$3,0,0,'Données projet'!$E$13+1,1))-AVERAGE(OFFSET($H$3,0,0,'Données projet'!$E$13+1,1))</f>
        <v>394.8445842828649</v>
      </c>
      <c r="CZ73" s="60">
        <f t="shared" si="96"/>
        <v>246.54010105494143</v>
      </c>
      <c r="DA73" s="16">
        <f>IF(ISNA(VLOOKUP(A73,'Données projet'!$A$139:$I$159,3,0)),0,VLOOKUP(A73,'Données projet'!$A$139:$I$159,3,0))</f>
        <v>10</v>
      </c>
      <c r="DB73" s="16">
        <f>IF(ISNA(VLOOKUP(A73,'Données projet'!$A$139:$I$159,4,0)),0,VLOOKUP(A73,'Données projet'!$A$139:$I$159,4,0))</f>
        <v>21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1.9507165712636475E-5</v>
      </c>
      <c r="DI73" s="24">
        <f t="shared" si="69"/>
        <v>1.9507165712636475E-5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183</v>
      </c>
      <c r="DM73" s="13">
        <f>VLOOKUP(A73,'Données projet'!$A$165:$I$185,9,0)</f>
        <v>3.4</v>
      </c>
      <c r="DN73" s="13">
        <f t="array" ref="DN73">INDEX(DM:DM,MIN(IF(ISNUMBER(DM73:DM269),ROW(DM73:DM269),"")))</f>
        <v>3.4</v>
      </c>
      <c r="DO73" s="13">
        <f>IF('Données projet'!$A$166&gt;35,DO72+DN73-DW72,IF(A73&lt;'Données projet'!$A$166,$DL$205^A73,IF(A73='Données projet'!$A$166,'Données projet'!$B$166,DO72+DN73-DW72)))</f>
        <v>183.00000000000006</v>
      </c>
      <c r="DP73" s="18">
        <f>DO73*VLOOKUP('Données projet'!$B$14,Paramètres!$A$1:$I$89,3,0)*VLOOKUP('Données projet'!$B$14,Paramètres!$A$1:$I$89,5,0)</f>
        <v>159.86880000000008</v>
      </c>
      <c r="DQ73" s="14">
        <f t="shared" si="97"/>
        <v>40.812921467768035</v>
      </c>
      <c r="DR73" s="22">
        <f t="shared" si="70"/>
        <v>349.52066488969609</v>
      </c>
      <c r="DS73" s="60">
        <f t="shared" si="71"/>
        <v>642.85399822302941</v>
      </c>
      <c r="DT73" s="60">
        <f ca="1">AVERAGE(OFFSET($DS$3,0,0,'Données projet'!$E$14+1,1))-AVERAGE(OFFSET($H$3,0,0,'Données projet'!$E$14+1,1))</f>
        <v>266.98113257513319</v>
      </c>
      <c r="DU73" s="60">
        <f t="shared" si="98"/>
        <v>275.73257102713393</v>
      </c>
      <c r="DV73" s="16">
        <f>IF(ISNA(VLOOKUP(A73,'Données projet'!$A$165:$I$185,3,0)),0,VLOOKUP(A73,'Données projet'!$A$165:$I$185,3,0))</f>
        <v>11</v>
      </c>
      <c r="DW73" s="16">
        <f>IF(ISNA(VLOOKUP(A73,'Données projet'!$A$165:$I$185,4,0)),0,VLOOKUP(A73,'Données projet'!$A$165:$I$185,4,0))</f>
        <v>12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3.672789455965503</v>
      </c>
      <c r="EC73" s="23">
        <f>EXP(-LN(2)/2)*EC72+(1-EXP(-LN(2)/2))/(LN(2)/2)*DW73*DZ73*VLOOKUP('Données projet'!$B$14,Paramètres!$A$1:$I$89,3,0)*0.475*44/12</f>
        <v>9.9817260604184205E-6</v>
      </c>
      <c r="ED73" s="24">
        <f t="shared" si="72"/>
        <v>3.6727994376915634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242</v>
      </c>
      <c r="EH73" s="13">
        <f>VLOOKUP(A73,'Données projet'!$A$191:$I$211,9,0)</f>
        <v>6.8</v>
      </c>
      <c r="EI73" s="13">
        <f t="array" ref="EI73">INDEX(EH:EH,MIN(IF(ISNUMBER(EH73:EH269),ROW(EH73:EH269),"")))</f>
        <v>6.8</v>
      </c>
      <c r="EJ73" s="13">
        <f>IF('Données projet'!$A$192&gt;35,EJ72+EI73-ER72,IF(A73&lt;'Données projet'!$A$192,$EG$205^A73,IF(A73='Données projet'!$A$192,'Données projet'!$B$192,EJ72+EI73-ER72)))</f>
        <v>242.00000000000009</v>
      </c>
      <c r="EK73" s="18">
        <f>EJ73*VLOOKUP('Données projet'!$B$15,Paramètres!$A$1:$I$89,3,0)*VLOOKUP('Données projet'!$B$15,Paramètres!$A$1:$I$89,5,0)</f>
        <v>275.58960000000008</v>
      </c>
      <c r="EL73" s="14">
        <f t="shared" si="99"/>
        <v>66.034105090666486</v>
      </c>
      <c r="EM73" s="22">
        <f t="shared" si="73"/>
        <v>594.99461969957758</v>
      </c>
      <c r="EN73" s="60">
        <f t="shared" si="74"/>
        <v>888.32795303291095</v>
      </c>
      <c r="EO73" s="60">
        <f ca="1">AVERAGE(OFFSET($EN$3,0,0,'Données projet'!$E$15+1,1))-AVERAGE(OFFSET($H$3,0,0,'Données projet'!$E$15+1,1))</f>
        <v>457.62828850677369</v>
      </c>
      <c r="EP73" s="60">
        <f t="shared" si="100"/>
        <v>282.78263556175563</v>
      </c>
      <c r="EQ73" s="16">
        <f>IF(ISNA(VLOOKUP(A73,'Données projet'!$A$191:$I$211,3,0)),0,VLOOKUP(A73,'Données projet'!$A$191:$I$211,3,0))</f>
        <v>10</v>
      </c>
      <c r="ER73" s="16">
        <f>IF(ISNA(VLOOKUP(A73,'Données projet'!$A$191:$I$211,4,0)),0,VLOOKUP(A73,'Données projet'!$A$191:$I$211,4,0))</f>
        <v>21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242</v>
      </c>
      <c r="FC73" s="13">
        <f>VLOOKUP(A73,'Données projet'!$A$217:$I$237,9,0)</f>
        <v>6.8</v>
      </c>
      <c r="FD73" s="13">
        <f t="array" ref="FD73">INDEX(FC:FC,MIN(IF(ISNUMBER(FC73:FC269),ROW(FC73:FC269),"")))</f>
        <v>6.8</v>
      </c>
      <c r="FE73" s="13">
        <f>IF('Données projet'!$A$218&gt;35,FE72+FD73-FM72,IF(A73&lt;'Données projet'!$A$218,$FB$205^A73,IF(A73='Données projet'!$A$218,'Données projet'!$B$218,FE72+FD73-FM72)))</f>
        <v>242.00000000000009</v>
      </c>
      <c r="FF73" s="18">
        <f>FE73*VLOOKUP('Données projet'!$B$16,Paramètres!$A$1:$I$89,3,0)*VLOOKUP('Données projet'!$B$16,Paramètres!$A$1:$I$89,5,0)</f>
        <v>264.26400000000012</v>
      </c>
      <c r="FG73" s="14">
        <f t="shared" si="101"/>
        <v>63.630428154328932</v>
      </c>
      <c r="FH73" s="22">
        <f t="shared" si="76"/>
        <v>571.08279570212301</v>
      </c>
      <c r="FI73" s="60">
        <f t="shared" si="77"/>
        <v>864.41612903545638</v>
      </c>
      <c r="FJ73" s="60">
        <f ca="1">AVERAGE(OFFSET($FI$3,0,0,'Données projet'!$E$16+1,1))-AVERAGE(OFFSET($H$3,0,0,'Données projet'!$E$16+1,1))</f>
        <v>440.52623925652182</v>
      </c>
      <c r="FK73" s="60">
        <f t="shared" si="102"/>
        <v>272.91122662088918</v>
      </c>
      <c r="FL73" s="16">
        <f>IF(ISNA(VLOOKUP(A73,'Données projet'!$A$217:$I$237,3,0)),0,VLOOKUP(A73,'Données projet'!$A$217:$I$237,3,0))</f>
        <v>10</v>
      </c>
      <c r="FM73" s="16">
        <f>IF(ISNA(VLOOKUP(A73,'Données projet'!$A$217:$I$237,4,0)),0,VLOOKUP(A73,'Données projet'!$A$217:$I$237,4,0))</f>
        <v>21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16.142857142857142</v>
      </c>
      <c r="FZ73" s="13">
        <f>IF('Données projet'!$A$244&gt;35,FZ72+FY73-GH72,IF(A73&lt;'Données projet'!$A$244,$FW$205^A73,IF(A73='Données projet'!$A$244,'Données projet'!$B$244,FZ72+FY73-GH72)))</f>
        <v>449.857142857143</v>
      </c>
      <c r="GA73" s="18">
        <f>FZ73*VLOOKUP('Données projet'!$B$17,Paramètres!$A$1:$I$89,3,0)*VLOOKUP('Données projet'!$B$17,Paramètres!$A$1:$I$89,5,0)</f>
        <v>210.53314285714293</v>
      </c>
      <c r="GB73" s="14">
        <f t="shared" si="103"/>
        <v>52.052073628089957</v>
      </c>
      <c r="GC73" s="22">
        <f t="shared" si="79"/>
        <v>457.33591871178055</v>
      </c>
      <c r="GD73" s="60">
        <f t="shared" si="80"/>
        <v>750.66925204511381</v>
      </c>
      <c r="GE73" s="60">
        <f ca="1">AVERAGE(OFFSET($GD$3,0,0,'Données projet'!$E$17+1,1))-AVERAGE(OFFSET($H$3,0,0,'Données projet'!$E$17+1,1))</f>
        <v>317.54276561627643</v>
      </c>
      <c r="GF73" s="60">
        <f t="shared" si="104"/>
        <v>238.92443174298893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>
        <f>GU73*VLOOKUP('Données projet'!$B$18,Paramètres!$A$1:$I$89,3,0)*VLOOKUP('Données projet'!$B$18,Paramètres!$A$1:$I$89,5,0)</f>
        <v>0</v>
      </c>
      <c r="GW73" s="14" t="e">
        <f t="shared" si="105"/>
        <v>#NUM!</v>
      </c>
      <c r="GX73" s="22" t="e">
        <f t="shared" si="82"/>
        <v>#NUM!</v>
      </c>
      <c r="GY73" s="60" t="e">
        <f t="shared" si="83"/>
        <v>#NUM!</v>
      </c>
      <c r="GZ73" s="60">
        <f ca="1">AVERAGE(OFFSET($GY$3,0,0,'Données projet'!$E$18+1,1))-AVERAGE(OFFSET($H$3,0,0,'Données projet'!$E$18+1,1))</f>
        <v>79.868679770907136</v>
      </c>
      <c r="HA73" s="60">
        <f t="shared" si="106"/>
        <v>370.47471103028312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28.137323258161427</v>
      </c>
      <c r="HH73" s="23">
        <f>EXP(-LN(2)/25)*HH72+(1-EXP(-LN(2)/25))/(LN(2)/25)*Calculateur!HC73*Calculateur!HE73*VLOOKUP('Données projet'!$B$18,Paramètres!$A$1:$I$89,3,0)*0.475*44/12</f>
        <v>4.9833280769090678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33.120651335070491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0">
        <f t="shared" si="55"/>
        <v>293.33333333333439</v>
      </c>
      <c r="S74" s="60">
        <f ca="1">AVERAGE(OFFSET($R$3,0,0,'Données projet'!$E$9+1,1))-AVERAGE(OFFSET($H$3,0,0,'Données projet'!$E$9+1,1))</f>
        <v>206.5885410269899</v>
      </c>
      <c r="T74" s="60">
        <f t="shared" si="88"/>
        <v>347.41156847586302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3.3992364478763198E-14</v>
      </c>
      <c r="AK74" s="14">
        <f t="shared" si="89"/>
        <v>5.790027782444094E-13</v>
      </c>
      <c r="AL74" s="22">
        <f t="shared" si="58"/>
        <v>1.0676332069095257E-12</v>
      </c>
      <c r="AM74" s="60">
        <f t="shared" si="59"/>
        <v>293.33333333333439</v>
      </c>
      <c r="AN74" s="60">
        <f ca="1">AVERAGE(OFFSET($AM$3,0,0,'Données projet'!$E$10+1,1))-AVERAGE(OFFSET($H$3,0,0,'Données projet'!$E$10+1,1))</f>
        <v>206.5885410269899</v>
      </c>
      <c r="AO74" s="60">
        <f t="shared" si="90"/>
        <v>347.41156847586302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48.567088059096598</v>
      </c>
      <c r="AV74" s="23">
        <f>EXP(-LN(2)/25)*AV73+(1-EXP(-LN(2)/25))/(LN(2)/25)*Calculateur!AQ74*Calculateur!AS74*VLOOKUP('Données projet'!$B$10,Paramètres!$A$1:$I$89,3,0)*0.475*44/12</f>
        <v>1.0726480794970221</v>
      </c>
      <c r="AW74" s="23">
        <f>EXP(-LN(2)/2)*AW73+(1-EXP(-LN(2)/2))/(LN(2)/2)*AQ74*AT74*VLOOKUP('Données projet'!$B$10,Paramètres!$A$1:$I$89,3,0)*0.475*44/12</f>
        <v>7.4280862714805069E-4</v>
      </c>
      <c r="AX74" s="23">
        <f t="shared" si="60"/>
        <v>49.640478947220764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6.4</v>
      </c>
      <c r="BD74" s="13">
        <f>IF('Données projet'!$A$88&gt;35,BD73+BC74-BL73,IF(A74&lt;'Données projet'!$A$88,$BA$205^A74,IF(A74='Données projet'!$A$88,'Données projet'!$B$88,BD73+BC74-BL73)))</f>
        <v>227.40000000000009</v>
      </c>
      <c r="BE74" s="14">
        <f>BD74*VLOOKUP('Données projet'!$B$11,Paramètres!$A$1:$I$89,3,0)*VLOOKUP('Données projet'!$B$11,Paramètres!$A$1:$I$89,5,0)</f>
        <v>216.3938400000001</v>
      </c>
      <c r="BF74" s="14">
        <f t="shared" si="91"/>
        <v>53.330352339128915</v>
      </c>
      <c r="BG74" s="22">
        <f t="shared" si="61"/>
        <v>469.76963499064965</v>
      </c>
      <c r="BH74" s="60">
        <f t="shared" si="62"/>
        <v>763.10296832398296</v>
      </c>
      <c r="BI74" s="60">
        <f ca="1">AVERAGE(OFFSET($BH$3,0,0,'Données projet'!$E$11+1,1))-AVERAGE(OFFSET($H$3,0,0,'Données projet'!$E$11+1,1))</f>
        <v>389.12604446638119</v>
      </c>
      <c r="BJ74" s="60">
        <f t="shared" si="92"/>
        <v>243.23852967152732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6.4</v>
      </c>
      <c r="BY74" s="13">
        <f>IF('Données projet'!$A$114&gt;35,BY73+BX74-CG73,IF(A74&lt;'Données projet'!$A$114,$BV$205^A74,IF(A74='Données projet'!$A$114,'Données projet'!$B$114,BY73+BX74-CG73)))</f>
        <v>227.40000000000009</v>
      </c>
      <c r="BZ74" s="14">
        <f>BY74*VLOOKUP('Données projet'!$B$12,Paramètres!$A$1:$I$89,3,0)*VLOOKUP('Données projet'!$B$12,Paramètres!$A$1:$I$89,5,0)</f>
        <v>205.75152000000008</v>
      </c>
      <c r="CA74" s="14">
        <f t="shared" si="93"/>
        <v>51.006084477955554</v>
      </c>
      <c r="CB74" s="22">
        <f t="shared" si="64"/>
        <v>447.18616113243934</v>
      </c>
      <c r="CC74" s="60">
        <f t="shared" si="65"/>
        <v>740.5194944657726</v>
      </c>
      <c r="CD74" s="60">
        <f ca="1">AVERAGE(OFFSET($CC$3,0,0,'Données projet'!$E$12+1,1))-AVERAGE(OFFSET($H$3,0,0,'Données projet'!$E$12+1,1))</f>
        <v>371.95849973474657</v>
      </c>
      <c r="CE74" s="60">
        <f t="shared" si="94"/>
        <v>233.32640143610547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1.2903736308287538E-5</v>
      </c>
      <c r="CN74" s="24">
        <f t="shared" si="66"/>
        <v>1.2903736308287538E-5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6.4</v>
      </c>
      <c r="CT74" s="13">
        <f>IF('Données projet'!$A$140&gt;35,CT73+CS74-DB73,IF(A74&lt;'Données projet'!$A$140,$CQ$205^A74,IF(A74='Données projet'!$A$140,'Données projet'!$B$140,CT73+CS74-DB73)))</f>
        <v>227.40000000000009</v>
      </c>
      <c r="CU74" s="18">
        <f>CT74*VLOOKUP('Données projet'!$B$13,Paramètres!$A$1:$I$89,3,0)*VLOOKUP('Données projet'!$B$13,Paramètres!$A$1:$I$89,5,0)</f>
        <v>219.94128000000009</v>
      </c>
      <c r="CV74" s="14">
        <f t="shared" si="95"/>
        <v>54.102123020446335</v>
      </c>
      <c r="CW74" s="22">
        <f t="shared" si="67"/>
        <v>477.29226026061082</v>
      </c>
      <c r="CX74" s="60">
        <f t="shared" si="68"/>
        <v>770.62559359394413</v>
      </c>
      <c r="CY74" s="60">
        <f ca="1">AVERAGE(OFFSET($CX$3,0,0,'Données projet'!$E$13+1,1))-AVERAGE(OFFSET($H$3,0,0,'Données projet'!$E$13+1,1))</f>
        <v>394.8445842828649</v>
      </c>
      <c r="CZ74" s="60">
        <f t="shared" si="96"/>
        <v>246.54010105494143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1.3793649157134963E-5</v>
      </c>
      <c r="DI74" s="24">
        <f t="shared" si="69"/>
        <v>1.3793649157134963E-5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</v>
      </c>
      <c r="DO74" s="13">
        <f>IF('Données projet'!$A$166&gt;35,DO73+DN74-DW73,IF(A74&lt;'Données projet'!$A$166,$DL$205^A74,IF(A74='Données projet'!$A$166,'Données projet'!$B$166,DO73+DN74-DW73)))</f>
        <v>174.00000000000006</v>
      </c>
      <c r="DP74" s="18">
        <f>DO74*VLOOKUP('Données projet'!$B$14,Paramètres!$A$1:$I$89,3,0)*VLOOKUP('Données projet'!$B$14,Paramètres!$A$1:$I$89,5,0)</f>
        <v>152.00640000000007</v>
      </c>
      <c r="DQ74" s="14">
        <f t="shared" si="97"/>
        <v>39.034194016561486</v>
      </c>
      <c r="DR74" s="22">
        <f t="shared" si="70"/>
        <v>332.72903457884468</v>
      </c>
      <c r="DS74" s="60">
        <f t="shared" si="71"/>
        <v>626.06236791217793</v>
      </c>
      <c r="DT74" s="60">
        <f ca="1">AVERAGE(OFFSET($DS$3,0,0,'Données projet'!$E$14+1,1))-AVERAGE(OFFSET($H$3,0,0,'Données projet'!$E$14+1,1))</f>
        <v>266.98113257513319</v>
      </c>
      <c r="DU74" s="60">
        <f t="shared" si="98"/>
        <v>275.73257102713393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3.5723568351485233</v>
      </c>
      <c r="EC74" s="23">
        <f>EXP(-LN(2)/2)*EC73+(1-EXP(-LN(2)/2))/(LN(2)/2)*DW74*DZ74*VLOOKUP('Données projet'!$B$14,Paramètres!$A$1:$I$89,3,0)*0.475*44/12</f>
        <v>7.0581461852683472E-6</v>
      </c>
      <c r="ED74" s="24">
        <f t="shared" si="72"/>
        <v>3.5723638932947086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6.4</v>
      </c>
      <c r="EJ74" s="13">
        <f>IF('Données projet'!$A$192&gt;35,EJ73+EI74-ER73,IF(A74&lt;'Données projet'!$A$192,$EG$205^A74,IF(A74='Données projet'!$A$192,'Données projet'!$B$192,EJ73+EI74-ER73)))</f>
        <v>227.40000000000009</v>
      </c>
      <c r="EK74" s="18">
        <f>EJ74*VLOOKUP('Données projet'!$B$15,Paramètres!$A$1:$I$89,3,0)*VLOOKUP('Données projet'!$B$15,Paramètres!$A$1:$I$89,5,0)</f>
        <v>258.96312000000012</v>
      </c>
      <c r="EL74" s="14">
        <f t="shared" si="99"/>
        <v>62.501305665831744</v>
      </c>
      <c r="EM74" s="22">
        <f t="shared" si="73"/>
        <v>559.88387470132386</v>
      </c>
      <c r="EN74" s="60">
        <f t="shared" si="74"/>
        <v>853.21720803465723</v>
      </c>
      <c r="EO74" s="60">
        <f ca="1">AVERAGE(OFFSET($EN$3,0,0,'Données projet'!$E$15+1,1))-AVERAGE(OFFSET($H$3,0,0,'Données projet'!$E$15+1,1))</f>
        <v>457.62828850677369</v>
      </c>
      <c r="EP74" s="60">
        <f t="shared" si="100"/>
        <v>282.78263556175563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6.4</v>
      </c>
      <c r="FE74" s="13">
        <f>IF('Données projet'!$A$218&gt;35,FE73+FD74-FM73,IF(A74&lt;'Données projet'!$A$218,$FB$205^A74,IF(A74='Données projet'!$A$218,'Données projet'!$B$218,FE73+FD74-FM73)))</f>
        <v>227.40000000000009</v>
      </c>
      <c r="FF74" s="18">
        <f>FE74*VLOOKUP('Données projet'!$B$16,Paramètres!$A$1:$I$89,3,0)*VLOOKUP('Données projet'!$B$16,Paramètres!$A$1:$I$89,5,0)</f>
        <v>248.32080000000011</v>
      </c>
      <c r="FG74" s="14">
        <f t="shared" si="101"/>
        <v>60.226224528385117</v>
      </c>
      <c r="FH74" s="22">
        <f t="shared" si="76"/>
        <v>537.38606772027094</v>
      </c>
      <c r="FI74" s="60">
        <f t="shared" si="77"/>
        <v>830.71940105360432</v>
      </c>
      <c r="FJ74" s="60">
        <f ca="1">AVERAGE(OFFSET($FI$3,0,0,'Données projet'!$E$16+1,1))-AVERAGE(OFFSET($H$3,0,0,'Données projet'!$E$16+1,1))</f>
        <v>440.52623925652182</v>
      </c>
      <c r="FK74" s="60">
        <f t="shared" si="102"/>
        <v>272.91122662088918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>
        <f>VLOOKUP(A74,'Données projet'!$A$243:$I$263,2,0)</f>
        <v>466</v>
      </c>
      <c r="FX74" s="13">
        <f>VLOOKUP(A74,'Données projet'!$A$243:$I$263,9,0)</f>
        <v>16.142857142857142</v>
      </c>
      <c r="FY74" s="13">
        <f t="array" ref="FY74">INDEX(FX:FX,MIN(IF(ISNUMBER(FX74:FX270),ROW(FX74:FX270),"")))</f>
        <v>16.142857142857142</v>
      </c>
      <c r="FZ74" s="13">
        <f>IF('Données projet'!$A$244&gt;35,FZ73+FY74-GH73,IF(A74&lt;'Données projet'!$A$244,$FW$205^A74,IF(A74='Données projet'!$A$244,'Données projet'!$B$244,FZ73+FY74-GH73)))</f>
        <v>466.00000000000017</v>
      </c>
      <c r="GA74" s="18">
        <f>FZ74*VLOOKUP('Données projet'!$B$17,Paramètres!$A$1:$I$89,3,0)*VLOOKUP('Données projet'!$B$17,Paramètres!$A$1:$I$89,5,0)</f>
        <v>218.08800000000008</v>
      </c>
      <c r="GB74" s="14">
        <f t="shared" si="103"/>
        <v>53.699111087780629</v>
      </c>
      <c r="GC74" s="22">
        <f t="shared" si="79"/>
        <v>473.36255181121805</v>
      </c>
      <c r="GD74" s="60">
        <f t="shared" si="80"/>
        <v>766.69588514455131</v>
      </c>
      <c r="GE74" s="60">
        <f ca="1">AVERAGE(OFFSET($GD$3,0,0,'Données projet'!$E$17+1,1))-AVERAGE(OFFSET($H$3,0,0,'Données projet'!$E$17+1,1))</f>
        <v>317.54276561627643</v>
      </c>
      <c r="GF74" s="60">
        <f t="shared" si="104"/>
        <v>238.92443174298893</v>
      </c>
      <c r="GG74" s="16">
        <f>IF(ISNA(VLOOKUP(A74,'Données projet'!$A$243:$I$263,3,0)),0,VLOOKUP(A74,'Données projet'!$A$243:$I$263,3,0))</f>
        <v>11</v>
      </c>
      <c r="GH74" s="16">
        <f>IF(ISNA(VLOOKUP(A74,'Données projet'!$A$243:$I$263,4,0)),0,VLOOKUP(A74,'Données projet'!$A$243:$I$263,4,0))</f>
        <v>91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>
        <f>GU74*VLOOKUP('Données projet'!$B$18,Paramètres!$A$1:$I$89,3,0)*VLOOKUP('Données projet'!$B$18,Paramètres!$A$1:$I$89,5,0)</f>
        <v>0</v>
      </c>
      <c r="GW74" s="14" t="e">
        <f t="shared" si="105"/>
        <v>#NUM!</v>
      </c>
      <c r="GX74" s="22" t="e">
        <f t="shared" si="82"/>
        <v>#NUM!</v>
      </c>
      <c r="GY74" s="60" t="e">
        <f t="shared" si="83"/>
        <v>#NUM!</v>
      </c>
      <c r="GZ74" s="60">
        <f ca="1">AVERAGE(OFFSET($GY$3,0,0,'Données projet'!$E$18+1,1))-AVERAGE(OFFSET($H$3,0,0,'Données projet'!$E$18+1,1))</f>
        <v>79.868679770907136</v>
      </c>
      <c r="HA74" s="60">
        <f t="shared" si="106"/>
        <v>370.47471103028312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27.585567511141456</v>
      </c>
      <c r="HH74" s="23">
        <f>EXP(-LN(2)/25)*HH73+(1-EXP(-LN(2)/25))/(LN(2)/25)*Calculateur!HC74*Calculateur!HE74*VLOOKUP('Données projet'!$B$18,Paramètres!$A$1:$I$89,3,0)*0.475*44/12</f>
        <v>4.8470587085841554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32.432626219725613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0">
        <f t="shared" si="55"/>
        <v>293.33333333333439</v>
      </c>
      <c r="S75" s="60">
        <f ca="1">AVERAGE(OFFSET($R$3,0,0,'Données projet'!$E$9+1,1))-AVERAGE(OFFSET($H$3,0,0,'Données projet'!$E$9+1,1))</f>
        <v>206.5885410269899</v>
      </c>
      <c r="T75" s="60">
        <f t="shared" si="88"/>
        <v>347.41156847586302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3.3992364478763198E-14</v>
      </c>
      <c r="AK75" s="14">
        <f t="shared" si="89"/>
        <v>5.790027782444094E-13</v>
      </c>
      <c r="AL75" s="22">
        <f t="shared" si="58"/>
        <v>1.0676332069095257E-12</v>
      </c>
      <c r="AM75" s="60">
        <f t="shared" si="59"/>
        <v>293.33333333333439</v>
      </c>
      <c r="AN75" s="60">
        <f ca="1">AVERAGE(OFFSET($AM$3,0,0,'Données projet'!$E$10+1,1))-AVERAGE(OFFSET($H$3,0,0,'Données projet'!$E$10+1,1))</f>
        <v>206.5885410269899</v>
      </c>
      <c r="AO75" s="60">
        <f t="shared" si="90"/>
        <v>347.41156847586302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47.614717085256402</v>
      </c>
      <c r="AV75" s="23">
        <f>EXP(-LN(2)/25)*AV74+(1-EXP(-LN(2)/25))/(LN(2)/25)*Calculateur!AQ75*Calculateur!AS75*VLOOKUP('Données projet'!$B$10,Paramètres!$A$1:$I$89,3,0)*0.475*44/12</f>
        <v>1.0433164613550652</v>
      </c>
      <c r="AW75" s="23">
        <f>EXP(-LN(2)/2)*AW74+(1-EXP(-LN(2)/2))/(LN(2)/2)*AQ75*AT75*VLOOKUP('Données projet'!$B$10,Paramètres!$A$1:$I$89,3,0)*0.475*44/12</f>
        <v>5.2524501738025644E-4</v>
      </c>
      <c r="AX75" s="23">
        <f t="shared" si="60"/>
        <v>48.658558791628842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6.4</v>
      </c>
      <c r="BD75" s="13">
        <f>IF('Données projet'!$A$88&gt;35,BD74+BC75-BL74,IF(A75&lt;'Données projet'!$A$88,$BA$205^A75,IF(A75='Données projet'!$A$88,'Données projet'!$B$88,BD74+BC75-BL74)))</f>
        <v>233.8000000000001</v>
      </c>
      <c r="BE75" s="14">
        <f>BD75*VLOOKUP('Données projet'!$B$11,Paramètres!$A$1:$I$89,3,0)*VLOOKUP('Données projet'!$B$11,Paramètres!$A$1:$I$89,5,0)</f>
        <v>222.48408000000009</v>
      </c>
      <c r="BF75" s="14">
        <f t="shared" si="91"/>
        <v>54.654434919149701</v>
      </c>
      <c r="BG75" s="22">
        <f t="shared" si="61"/>
        <v>482.6829134841858</v>
      </c>
      <c r="BH75" s="60">
        <f t="shared" si="62"/>
        <v>776.01624681751912</v>
      </c>
      <c r="BI75" s="60">
        <f ca="1">AVERAGE(OFFSET($BH$3,0,0,'Données projet'!$E$11+1,1))-AVERAGE(OFFSET($H$3,0,0,'Données projet'!$E$11+1,1))</f>
        <v>389.12604446638119</v>
      </c>
      <c r="BJ75" s="60">
        <f t="shared" si="92"/>
        <v>243.23852967152732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6.4</v>
      </c>
      <c r="BY75" s="13">
        <f>IF('Données projet'!$A$114&gt;35,BY74+BX75-CG74,IF(A75&lt;'Données projet'!$A$114,$BV$205^A75,IF(A75='Données projet'!$A$114,'Données projet'!$B$114,BY74+BX75-CG74)))</f>
        <v>233.8000000000001</v>
      </c>
      <c r="BZ75" s="14">
        <f>BY75*VLOOKUP('Données projet'!$B$12,Paramètres!$A$1:$I$89,3,0)*VLOOKUP('Données projet'!$B$12,Paramètres!$A$1:$I$89,5,0)</f>
        <v>211.54224000000008</v>
      </c>
      <c r="CA75" s="14">
        <f t="shared" si="93"/>
        <v>52.272460284041784</v>
      </c>
      <c r="CB75" s="22">
        <f t="shared" si="64"/>
        <v>459.47726966137287</v>
      </c>
      <c r="CC75" s="60">
        <f t="shared" si="65"/>
        <v>752.81060299470619</v>
      </c>
      <c r="CD75" s="60">
        <f ca="1">AVERAGE(OFFSET($CC$3,0,0,'Données projet'!$E$12+1,1))-AVERAGE(OFFSET($H$3,0,0,'Données projet'!$E$12+1,1))</f>
        <v>371.95849973474657</v>
      </c>
      <c r="CE75" s="60">
        <f t="shared" si="94"/>
        <v>233.32640143610547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9.1243194462331844E-6</v>
      </c>
      <c r="CN75" s="24">
        <f t="shared" si="66"/>
        <v>9.1243194462331844E-6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6.4</v>
      </c>
      <c r="CT75" s="13">
        <f>IF('Données projet'!$A$140&gt;35,CT74+CS75-DB74,IF(A75&lt;'Données projet'!$A$140,$CQ$205^A75,IF(A75='Données projet'!$A$140,'Données projet'!$B$140,CT74+CS75-DB74)))</f>
        <v>233.8000000000001</v>
      </c>
      <c r="CU75" s="18">
        <f>CT75*VLOOKUP('Données projet'!$B$13,Paramètres!$A$1:$I$89,3,0)*VLOOKUP('Données projet'!$B$13,Paramètres!$A$1:$I$89,5,0)</f>
        <v>226.13136000000009</v>
      </c>
      <c r="CV75" s="14">
        <f t="shared" si="95"/>
        <v>55.445367073626066</v>
      </c>
      <c r="CW75" s="22">
        <f t="shared" si="67"/>
        <v>490.41279965323224</v>
      </c>
      <c r="CX75" s="60">
        <f t="shared" si="68"/>
        <v>783.7461329865655</v>
      </c>
      <c r="CY75" s="60">
        <f ca="1">AVERAGE(OFFSET($CX$3,0,0,'Données projet'!$E$13+1,1))-AVERAGE(OFFSET($H$3,0,0,'Données projet'!$E$13+1,1))</f>
        <v>394.8445842828649</v>
      </c>
      <c r="CZ75" s="60">
        <f t="shared" si="96"/>
        <v>246.54010105494143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9.7535828563182376E-6</v>
      </c>
      <c r="DI75" s="24">
        <f t="shared" si="69"/>
        <v>9.7535828563182376E-6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</v>
      </c>
      <c r="DO75" s="13">
        <f>IF('Données projet'!$A$166&gt;35,DO74+DN75-DW74,IF(A75&lt;'Données projet'!$A$166,$DL$205^A75,IF(A75='Données projet'!$A$166,'Données projet'!$B$166,DO74+DN75-DW74)))</f>
        <v>177.00000000000006</v>
      </c>
      <c r="DP75" s="18">
        <f>DO75*VLOOKUP('Données projet'!$B$14,Paramètres!$A$1:$I$89,3,0)*VLOOKUP('Données projet'!$B$14,Paramètres!$A$1:$I$89,5,0)</f>
        <v>154.62720000000007</v>
      </c>
      <c r="DQ75" s="14">
        <f t="shared" si="97"/>
        <v>39.62826685000794</v>
      </c>
      <c r="DR75" s="22">
        <f t="shared" si="70"/>
        <v>338.32827143043062</v>
      </c>
      <c r="DS75" s="60">
        <f t="shared" si="71"/>
        <v>631.66160476376399</v>
      </c>
      <c r="DT75" s="60">
        <f ca="1">AVERAGE(OFFSET($DS$3,0,0,'Données projet'!$E$14+1,1))-AVERAGE(OFFSET($H$3,0,0,'Données projet'!$E$14+1,1))</f>
        <v>266.98113257513319</v>
      </c>
      <c r="DU75" s="60">
        <f t="shared" si="98"/>
        <v>275.73257102713393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3.4746705496293058</v>
      </c>
      <c r="EC75" s="23">
        <f>EXP(-LN(2)/2)*EC74+(1-EXP(-LN(2)/2))/(LN(2)/2)*DW75*DZ75*VLOOKUP('Données projet'!$B$14,Paramètres!$A$1:$I$89,3,0)*0.475*44/12</f>
        <v>4.9908630302092102E-6</v>
      </c>
      <c r="ED75" s="24">
        <f t="shared" si="72"/>
        <v>3.4746755404923362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6.4</v>
      </c>
      <c r="EJ75" s="13">
        <f>IF('Données projet'!$A$192&gt;35,EJ74+EI75-ER74,IF(A75&lt;'Données projet'!$A$192,$EG$205^A75,IF(A75='Données projet'!$A$192,'Données projet'!$B$192,EJ74+EI75-ER74)))</f>
        <v>233.8000000000001</v>
      </c>
      <c r="EK75" s="18">
        <f>EJ75*VLOOKUP('Données projet'!$B$15,Paramètres!$A$1:$I$89,3,0)*VLOOKUP('Données projet'!$B$15,Paramètres!$A$1:$I$89,5,0)</f>
        <v>266.25144000000012</v>
      </c>
      <c r="EL75" s="14">
        <f t="shared" si="99"/>
        <v>64.053084089016153</v>
      </c>
      <c r="EM75" s="22">
        <f t="shared" si="73"/>
        <v>575.28037945503661</v>
      </c>
      <c r="EN75" s="60">
        <f t="shared" si="74"/>
        <v>868.61371278836987</v>
      </c>
      <c r="EO75" s="60">
        <f ca="1">AVERAGE(OFFSET($EN$3,0,0,'Données projet'!$E$15+1,1))-AVERAGE(OFFSET($H$3,0,0,'Données projet'!$E$15+1,1))</f>
        <v>457.62828850677369</v>
      </c>
      <c r="EP75" s="60">
        <f t="shared" si="100"/>
        <v>282.78263556175563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6.4</v>
      </c>
      <c r="FE75" s="13">
        <f>IF('Données projet'!$A$218&gt;35,FE74+FD75-FM74,IF(A75&lt;'Données projet'!$A$218,$FB$205^A75,IF(A75='Données projet'!$A$218,'Données projet'!$B$218,FE74+FD75-FM74)))</f>
        <v>233.8000000000001</v>
      </c>
      <c r="FF75" s="18">
        <f>FE75*VLOOKUP('Données projet'!$B$16,Paramètres!$A$1:$I$89,3,0)*VLOOKUP('Données projet'!$B$16,Paramètres!$A$1:$I$89,5,0)</f>
        <v>255.3096000000001</v>
      </c>
      <c r="FG75" s="14">
        <f t="shared" si="101"/>
        <v>61.721517382468626</v>
      </c>
      <c r="FH75" s="22">
        <f t="shared" si="76"/>
        <v>552.16252944113296</v>
      </c>
      <c r="FI75" s="60">
        <f t="shared" si="77"/>
        <v>845.49586277446633</v>
      </c>
      <c r="FJ75" s="60">
        <f ca="1">AVERAGE(OFFSET($FI$3,0,0,'Données projet'!$E$16+1,1))-AVERAGE(OFFSET($H$3,0,0,'Données projet'!$E$16+1,1))</f>
        <v>440.52623925652182</v>
      </c>
      <c r="FK75" s="60">
        <f t="shared" si="102"/>
        <v>272.91122662088918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>
        <f>VLOOKUP(A75,'Données projet'!$A$243:$I$263,2,0)</f>
        <v>390</v>
      </c>
      <c r="FX75" s="13">
        <f>VLOOKUP(A75,'Données projet'!$A$243:$I$263,9,0)</f>
        <v>15</v>
      </c>
      <c r="FY75" s="13">
        <f t="array" ref="FY75">INDEX(FX:FX,MIN(IF(ISNUMBER(FX75:FX271),ROW(FX75:FX271),"")))</f>
        <v>15</v>
      </c>
      <c r="FZ75" s="13">
        <f>IF('Données projet'!$A$244&gt;35,FZ74+FY75-GH74,IF(A75&lt;'Données projet'!$A$244,$FW$205^A75,IF(A75='Données projet'!$A$244,'Données projet'!$B$244,FZ74+FY75-GH74)))</f>
        <v>390.00000000000017</v>
      </c>
      <c r="GA75" s="18">
        <f>FZ75*VLOOKUP('Données projet'!$B$17,Paramètres!$A$1:$I$89,3,0)*VLOOKUP('Données projet'!$B$17,Paramètres!$A$1:$I$89,5,0)</f>
        <v>182.5200000000001</v>
      </c>
      <c r="GB75" s="14">
        <f t="shared" si="103"/>
        <v>45.882385280285632</v>
      </c>
      <c r="GC75" s="22">
        <f t="shared" si="79"/>
        <v>397.80082102983096</v>
      </c>
      <c r="GD75" s="60">
        <f t="shared" si="80"/>
        <v>691.13415436316427</v>
      </c>
      <c r="GE75" s="60">
        <f ca="1">AVERAGE(OFFSET($GD$3,0,0,'Données projet'!$E$17+1,1))-AVERAGE(OFFSET($H$3,0,0,'Données projet'!$E$17+1,1))</f>
        <v>317.54276561627643</v>
      </c>
      <c r="GF75" s="60">
        <f t="shared" si="104"/>
        <v>238.92443174298893</v>
      </c>
      <c r="GG75" s="16">
        <f>IF(ISNA(VLOOKUP(A75,'Données projet'!$A$243:$I$263,3,0)),0,VLOOKUP(A75,'Données projet'!$A$243:$I$263,3,0))</f>
        <v>12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>
        <f>GU75*VLOOKUP('Données projet'!$B$18,Paramètres!$A$1:$I$89,3,0)*VLOOKUP('Données projet'!$B$18,Paramètres!$A$1:$I$89,5,0)</f>
        <v>0</v>
      </c>
      <c r="GW75" s="14" t="e">
        <f t="shared" si="105"/>
        <v>#NUM!</v>
      </c>
      <c r="GX75" s="22" t="e">
        <f t="shared" si="82"/>
        <v>#NUM!</v>
      </c>
      <c r="GY75" s="60" t="e">
        <f t="shared" si="83"/>
        <v>#NUM!</v>
      </c>
      <c r="GZ75" s="60">
        <f ca="1">AVERAGE(OFFSET($GY$3,0,0,'Données projet'!$E$18+1,1))-AVERAGE(OFFSET($H$3,0,0,'Données projet'!$E$18+1,1))</f>
        <v>79.868679770907136</v>
      </c>
      <c r="HA75" s="60">
        <f t="shared" si="106"/>
        <v>370.47471103028312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27.044631357782769</v>
      </c>
      <c r="HH75" s="23">
        <f>EXP(-LN(2)/25)*HH74+(1-EXP(-LN(2)/25))/(LN(2)/25)*Calculateur!HC75*Calculateur!HE75*VLOOKUP('Données projet'!$B$18,Paramètres!$A$1:$I$89,3,0)*0.475*44/12</f>
        <v>4.7145156333021827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31.759146991084954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0">
        <f t="shared" si="55"/>
        <v>293.33333333333439</v>
      </c>
      <c r="S76" s="60">
        <f ca="1">AVERAGE(OFFSET($R$3,0,0,'Données projet'!$E$9+1,1))-AVERAGE(OFFSET($H$3,0,0,'Données projet'!$E$9+1,1))</f>
        <v>206.5885410269899</v>
      </c>
      <c r="T76" s="60">
        <f t="shared" si="88"/>
        <v>347.41156847586302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3.3992364478763198E-14</v>
      </c>
      <c r="AK76" s="14">
        <f t="shared" si="89"/>
        <v>5.790027782444094E-13</v>
      </c>
      <c r="AL76" s="22">
        <f t="shared" si="58"/>
        <v>1.0676332069095257E-12</v>
      </c>
      <c r="AM76" s="60">
        <f t="shared" si="59"/>
        <v>293.33333333333439</v>
      </c>
      <c r="AN76" s="60">
        <f ca="1">AVERAGE(OFFSET($AM$3,0,0,'Données projet'!$E$10+1,1))-AVERAGE(OFFSET($H$3,0,0,'Données projet'!$E$10+1,1))</f>
        <v>206.5885410269899</v>
      </c>
      <c r="AO76" s="60">
        <f t="shared" si="90"/>
        <v>347.41156847586302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46.681021525324276</v>
      </c>
      <c r="AV76" s="23">
        <f>EXP(-LN(2)/25)*AV75+(1-EXP(-LN(2)/25))/(LN(2)/25)*Calculateur!AQ76*Calculateur!AS76*VLOOKUP('Données projet'!$B$10,Paramètres!$A$1:$I$89,3,0)*0.475*44/12</f>
        <v>1.0147869178536828</v>
      </c>
      <c r="AW76" s="23">
        <f>EXP(-LN(2)/2)*AW75+(1-EXP(-LN(2)/2))/(LN(2)/2)*AQ76*AT76*VLOOKUP('Données projet'!$B$10,Paramètres!$A$1:$I$89,3,0)*0.475*44/12</f>
        <v>3.7140431357402534E-4</v>
      </c>
      <c r="AX76" s="23">
        <f t="shared" si="60"/>
        <v>47.696179847491535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6.4</v>
      </c>
      <c r="BD76" s="13">
        <f>IF('Données projet'!$A$88&gt;35,BD75+BC76-BL75,IF(A76&lt;'Données projet'!$A$88,$BA$205^A76,IF(A76='Données projet'!$A$88,'Données projet'!$B$88,BD75+BC76-BL75)))</f>
        <v>240.2000000000001</v>
      </c>
      <c r="BE76" s="14">
        <f>BD76*VLOOKUP('Données projet'!$B$11,Paramètres!$A$1:$I$89,3,0)*VLOOKUP('Données projet'!$B$11,Paramètres!$A$1:$I$89,5,0)</f>
        <v>228.57432000000009</v>
      </c>
      <c r="BF76" s="14">
        <f t="shared" si="91"/>
        <v>55.974304715857535</v>
      </c>
      <c r="BG76" s="22">
        <f t="shared" si="61"/>
        <v>495.58885471345201</v>
      </c>
      <c r="BH76" s="60">
        <f t="shared" si="62"/>
        <v>788.92218804678532</v>
      </c>
      <c r="BI76" s="60">
        <f ca="1">AVERAGE(OFFSET($BH$3,0,0,'Données projet'!$E$11+1,1))-AVERAGE(OFFSET($H$3,0,0,'Données projet'!$E$11+1,1))</f>
        <v>389.12604446638119</v>
      </c>
      <c r="BJ76" s="60">
        <f t="shared" si="92"/>
        <v>243.23852967152732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6.4</v>
      </c>
      <c r="BY76" s="13">
        <f>IF('Données projet'!$A$114&gt;35,BY75+BX76-CG75,IF(A76&lt;'Données projet'!$A$114,$BV$205^A76,IF(A76='Données projet'!$A$114,'Données projet'!$B$114,BY75+BX76-CG75)))</f>
        <v>240.2000000000001</v>
      </c>
      <c r="BZ76" s="14">
        <f>BY76*VLOOKUP('Données projet'!$B$12,Paramètres!$A$1:$I$89,3,0)*VLOOKUP('Données projet'!$B$12,Paramètres!$A$1:$I$89,5,0)</f>
        <v>217.3329600000001</v>
      </c>
      <c r="CA76" s="14">
        <f t="shared" si="93"/>
        <v>53.53480691026855</v>
      </c>
      <c r="CB76" s="22">
        <f t="shared" si="64"/>
        <v>471.76136070205121</v>
      </c>
      <c r="CC76" s="60">
        <f t="shared" si="65"/>
        <v>765.09469403538446</v>
      </c>
      <c r="CD76" s="60">
        <f ca="1">AVERAGE(OFFSET($CC$3,0,0,'Données projet'!$E$12+1,1))-AVERAGE(OFFSET($H$3,0,0,'Données projet'!$E$12+1,1))</f>
        <v>371.95849973474657</v>
      </c>
      <c r="CE76" s="60">
        <f t="shared" si="94"/>
        <v>233.32640143610547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6.4518681541437689E-6</v>
      </c>
      <c r="CN76" s="24">
        <f t="shared" si="66"/>
        <v>6.4518681541437689E-6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6.4</v>
      </c>
      <c r="CT76" s="13">
        <f>IF('Données projet'!$A$140&gt;35,CT75+CS76-DB75,IF(A76&lt;'Données projet'!$A$140,$CQ$205^A76,IF(A76='Données projet'!$A$140,'Données projet'!$B$140,CT75+CS76-DB75)))</f>
        <v>240.2000000000001</v>
      </c>
      <c r="CU76" s="18">
        <f>CT76*VLOOKUP('Données projet'!$B$13,Paramètres!$A$1:$I$89,3,0)*VLOOKUP('Données projet'!$B$13,Paramètres!$A$1:$I$89,5,0)</f>
        <v>232.32144000000011</v>
      </c>
      <c r="CV76" s="14">
        <f t="shared" si="95"/>
        <v>56.784337378160622</v>
      </c>
      <c r="CW76" s="22">
        <f t="shared" si="67"/>
        <v>503.52589560029656</v>
      </c>
      <c r="CX76" s="60">
        <f t="shared" si="68"/>
        <v>796.85922893362988</v>
      </c>
      <c r="CY76" s="60">
        <f ca="1">AVERAGE(OFFSET($CX$3,0,0,'Données projet'!$E$13+1,1))-AVERAGE(OFFSET($H$3,0,0,'Données projet'!$E$13+1,1))</f>
        <v>394.8445842828649</v>
      </c>
      <c r="CZ76" s="60">
        <f t="shared" si="96"/>
        <v>246.54010105494143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6.8968245785674814E-6</v>
      </c>
      <c r="DI76" s="24">
        <f t="shared" si="69"/>
        <v>6.8968245785674814E-6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</v>
      </c>
      <c r="DO76" s="13">
        <f>IF('Données projet'!$A$166&gt;35,DO75+DN76-DW75,IF(A76&lt;'Données projet'!$A$166,$DL$205^A76,IF(A76='Données projet'!$A$166,'Données projet'!$B$166,DO75+DN76-DW75)))</f>
        <v>180.00000000000006</v>
      </c>
      <c r="DP76" s="18">
        <f>DO76*VLOOKUP('Données projet'!$B$14,Paramètres!$A$1:$I$89,3,0)*VLOOKUP('Données projet'!$B$14,Paramètres!$A$1:$I$89,5,0)</f>
        <v>157.24800000000008</v>
      </c>
      <c r="DQ76" s="14">
        <f t="shared" si="97"/>
        <v>40.221168744348645</v>
      </c>
      <c r="DR76" s="22">
        <f t="shared" si="70"/>
        <v>343.92546889640738</v>
      </c>
      <c r="DS76" s="60">
        <f t="shared" si="71"/>
        <v>637.2588022297407</v>
      </c>
      <c r="DT76" s="60">
        <f ca="1">AVERAGE(OFFSET($DS$3,0,0,'Données projet'!$E$14+1,1))-AVERAGE(OFFSET($H$3,0,0,'Données projet'!$E$14+1,1))</f>
        <v>266.98113257513319</v>
      </c>
      <c r="DU76" s="60">
        <f t="shared" si="98"/>
        <v>275.73257102713393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3.3796555007247098</v>
      </c>
      <c r="EC76" s="23">
        <f>EXP(-LN(2)/2)*EC75+(1-EXP(-LN(2)/2))/(LN(2)/2)*DW76*DZ76*VLOOKUP('Données projet'!$B$14,Paramètres!$A$1:$I$89,3,0)*0.475*44/12</f>
        <v>3.5290730926341736E-6</v>
      </c>
      <c r="ED76" s="24">
        <f t="shared" si="72"/>
        <v>3.3796590297978022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6.4</v>
      </c>
      <c r="EJ76" s="13">
        <f>IF('Données projet'!$A$192&gt;35,EJ75+EI76-ER75,IF(A76&lt;'Données projet'!$A$192,$EG$205^A76,IF(A76='Données projet'!$A$192,'Données projet'!$B$192,EJ75+EI76-ER75)))</f>
        <v>240.2000000000001</v>
      </c>
      <c r="EK76" s="18">
        <f>EJ76*VLOOKUP('Données projet'!$B$15,Paramètres!$A$1:$I$89,3,0)*VLOOKUP('Données projet'!$B$15,Paramètres!$A$1:$I$89,5,0)</f>
        <v>273.53976000000011</v>
      </c>
      <c r="EL76" s="14">
        <f t="shared" si="99"/>
        <v>65.599925277661526</v>
      </c>
      <c r="EM76" s="22">
        <f t="shared" si="73"/>
        <v>590.66828519192734</v>
      </c>
      <c r="EN76" s="60">
        <f t="shared" si="74"/>
        <v>884.00161852526071</v>
      </c>
      <c r="EO76" s="60">
        <f ca="1">AVERAGE(OFFSET($EN$3,0,0,'Données projet'!$E$15+1,1))-AVERAGE(OFFSET($H$3,0,0,'Données projet'!$E$15+1,1))</f>
        <v>457.62828850677369</v>
      </c>
      <c r="EP76" s="60">
        <f t="shared" si="100"/>
        <v>282.78263556175563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6.4</v>
      </c>
      <c r="FE76" s="13">
        <f>IF('Données projet'!$A$218&gt;35,FE75+FD76-FM75,IF(A76&lt;'Données projet'!$A$218,$FB$205^A76,IF(A76='Données projet'!$A$218,'Données projet'!$B$218,FE75+FD76-FM75)))</f>
        <v>240.2000000000001</v>
      </c>
      <c r="FF76" s="18">
        <f>FE76*VLOOKUP('Données projet'!$B$16,Paramètres!$A$1:$I$89,3,0)*VLOOKUP('Données projet'!$B$16,Paramètres!$A$1:$I$89,5,0)</f>
        <v>262.29840000000013</v>
      </c>
      <c r="FG76" s="14">
        <f t="shared" si="101"/>
        <v>63.212052720005417</v>
      </c>
      <c r="FH76" s="22">
        <f t="shared" si="76"/>
        <v>566.93070515400962</v>
      </c>
      <c r="FI76" s="60">
        <f t="shared" si="77"/>
        <v>860.26403848734299</v>
      </c>
      <c r="FJ76" s="60">
        <f ca="1">AVERAGE(OFFSET($FI$3,0,0,'Données projet'!$E$16+1,1))-AVERAGE(OFFSET($H$3,0,0,'Données projet'!$E$16+1,1))</f>
        <v>440.52623925652182</v>
      </c>
      <c r="FK76" s="60">
        <f t="shared" si="102"/>
        <v>272.91122662088918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15.142857142857142</v>
      </c>
      <c r="FZ76" s="13">
        <f>IF('Données projet'!$A$244&gt;35,FZ75+FY76-GH75,IF(A76&lt;'Données projet'!$A$244,$FW$205^A76,IF(A76='Données projet'!$A$244,'Données projet'!$B$244,FZ75+FY76-GH75)))</f>
        <v>405.14285714285734</v>
      </c>
      <c r="GA76" s="18">
        <f>FZ76*VLOOKUP('Données projet'!$B$17,Paramètres!$A$1:$I$89,3,0)*VLOOKUP('Données projet'!$B$17,Paramètres!$A$1:$I$89,5,0)</f>
        <v>189.60685714285725</v>
      </c>
      <c r="GB76" s="14">
        <f t="shared" si="103"/>
        <v>47.453024072159629</v>
      </c>
      <c r="GC76" s="22">
        <f t="shared" si="79"/>
        <v>412.87929311615432</v>
      </c>
      <c r="GD76" s="60">
        <f t="shared" si="80"/>
        <v>706.21262644948763</v>
      </c>
      <c r="GE76" s="60">
        <f ca="1">AVERAGE(OFFSET($GD$3,0,0,'Données projet'!$E$17+1,1))-AVERAGE(OFFSET($H$3,0,0,'Données projet'!$E$17+1,1))</f>
        <v>317.54276561627643</v>
      </c>
      <c r="GF76" s="60">
        <f t="shared" si="104"/>
        <v>238.92443174298893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>
        <f>GU76*VLOOKUP('Données projet'!$B$18,Paramètres!$A$1:$I$89,3,0)*VLOOKUP('Données projet'!$B$18,Paramètres!$A$1:$I$89,5,0)</f>
        <v>0</v>
      </c>
      <c r="GW76" s="14" t="e">
        <f t="shared" si="105"/>
        <v>#NUM!</v>
      </c>
      <c r="GX76" s="22" t="e">
        <f t="shared" si="82"/>
        <v>#NUM!</v>
      </c>
      <c r="GY76" s="60" t="e">
        <f t="shared" si="83"/>
        <v>#NUM!</v>
      </c>
      <c r="GZ76" s="60">
        <f ca="1">AVERAGE(OFFSET($GY$3,0,0,'Données projet'!$E$18+1,1))-AVERAGE(OFFSET($H$3,0,0,'Données projet'!$E$18+1,1))</f>
        <v>79.868679770907136</v>
      </c>
      <c r="HA76" s="60">
        <f t="shared" si="106"/>
        <v>370.47471103028312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26.514302632452974</v>
      </c>
      <c r="HH76" s="23">
        <f>EXP(-LN(2)/25)*HH75+(1-EXP(-LN(2)/25))/(LN(2)/25)*Calculateur!HC76*Calculateur!HE76*VLOOKUP('Données projet'!$B$18,Paramètres!$A$1:$I$89,3,0)*0.475*44/12</f>
        <v>4.5855969553839326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31.099899587836909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0">
        <f t="shared" si="55"/>
        <v>293.33333333333439</v>
      </c>
      <c r="S77" s="60">
        <f ca="1">AVERAGE(OFFSET($R$3,0,0,'Données projet'!$E$9+1,1))-AVERAGE(OFFSET($H$3,0,0,'Données projet'!$E$9+1,1))</f>
        <v>206.5885410269899</v>
      </c>
      <c r="T77" s="60">
        <f t="shared" si="88"/>
        <v>347.41156847586302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3.3992364478763198E-14</v>
      </c>
      <c r="AK77" s="14">
        <f t="shared" si="89"/>
        <v>5.790027782444094E-13</v>
      </c>
      <c r="AL77" s="22">
        <f t="shared" si="58"/>
        <v>1.0676332069095257E-12</v>
      </c>
      <c r="AM77" s="60">
        <f t="shared" si="59"/>
        <v>293.33333333333439</v>
      </c>
      <c r="AN77" s="60">
        <f ca="1">AVERAGE(OFFSET($AM$3,0,0,'Données projet'!$E$10+1,1))-AVERAGE(OFFSET($H$3,0,0,'Données projet'!$E$10+1,1))</f>
        <v>206.5885410269899</v>
      </c>
      <c r="AO77" s="60">
        <f t="shared" si="90"/>
        <v>347.41156847586302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45.765635165824364</v>
      </c>
      <c r="AV77" s="23">
        <f>EXP(-LN(2)/25)*AV76+(1-EXP(-LN(2)/25))/(LN(2)/25)*Calculateur!AQ77*Calculateur!AS77*VLOOKUP('Données projet'!$B$10,Paramètres!$A$1:$I$89,3,0)*0.475*44/12</f>
        <v>0.98703751621964919</v>
      </c>
      <c r="AW77" s="23">
        <f>EXP(-LN(2)/2)*AW76+(1-EXP(-LN(2)/2))/(LN(2)/2)*AQ77*AT77*VLOOKUP('Données projet'!$B$10,Paramètres!$A$1:$I$89,3,0)*0.475*44/12</f>
        <v>2.6262250869012822E-4</v>
      </c>
      <c r="AX77" s="23">
        <f t="shared" si="60"/>
        <v>46.752935304552707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6.4</v>
      </c>
      <c r="BD77" s="13">
        <f>IF('Données projet'!$A$88&gt;35,BD76+BC77-BL76,IF(A77&lt;'Données projet'!$A$88,$BA$205^A77,IF(A77='Données projet'!$A$88,'Données projet'!$B$88,BD76+BC77-BL76)))</f>
        <v>246.60000000000011</v>
      </c>
      <c r="BE77" s="14">
        <f>BD77*VLOOKUP('Données projet'!$B$11,Paramètres!$A$1:$I$89,3,0)*VLOOKUP('Données projet'!$B$11,Paramètres!$A$1:$I$89,5,0)</f>
        <v>234.66456000000011</v>
      </c>
      <c r="BF77" s="14">
        <f t="shared" si="91"/>
        <v>57.290086878049642</v>
      </c>
      <c r="BG77" s="22">
        <f t="shared" si="61"/>
        <v>508.48767664593657</v>
      </c>
      <c r="BH77" s="60">
        <f t="shared" si="62"/>
        <v>801.82100997926989</v>
      </c>
      <c r="BI77" s="60">
        <f ca="1">AVERAGE(OFFSET($BH$3,0,0,'Données projet'!$E$11+1,1))-AVERAGE(OFFSET($H$3,0,0,'Données projet'!$E$11+1,1))</f>
        <v>389.12604446638119</v>
      </c>
      <c r="BJ77" s="60">
        <f t="shared" si="92"/>
        <v>243.23852967152732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6.4</v>
      </c>
      <c r="BY77" s="13">
        <f>IF('Données projet'!$A$114&gt;35,BY76+BX77-CG76,IF(A77&lt;'Données projet'!$A$114,$BV$205^A77,IF(A77='Données projet'!$A$114,'Données projet'!$B$114,BY76+BX77-CG76)))</f>
        <v>246.60000000000011</v>
      </c>
      <c r="BZ77" s="14">
        <f>BY77*VLOOKUP('Données projet'!$B$12,Paramètres!$A$1:$I$89,3,0)*VLOOKUP('Données projet'!$B$12,Paramètres!$A$1:$I$89,5,0)</f>
        <v>223.12368000000009</v>
      </c>
      <c r="CA77" s="14">
        <f t="shared" si="93"/>
        <v>54.793244051140647</v>
      </c>
      <c r="CB77" s="22">
        <f t="shared" si="64"/>
        <v>484.03864272240349</v>
      </c>
      <c r="CC77" s="60">
        <f t="shared" si="65"/>
        <v>777.37197605573681</v>
      </c>
      <c r="CD77" s="60">
        <f ca="1">AVERAGE(OFFSET($CC$3,0,0,'Données projet'!$E$12+1,1))-AVERAGE(OFFSET($H$3,0,0,'Données projet'!$E$12+1,1))</f>
        <v>371.95849973474657</v>
      </c>
      <c r="CE77" s="60">
        <f t="shared" si="94"/>
        <v>233.32640143610547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4.5621597231165922E-6</v>
      </c>
      <c r="CN77" s="24">
        <f t="shared" si="66"/>
        <v>4.5621597231165922E-6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6.4</v>
      </c>
      <c r="CT77" s="13">
        <f>IF('Données projet'!$A$140&gt;35,CT76+CS77-DB76,IF(A77&lt;'Données projet'!$A$140,$CQ$205^A77,IF(A77='Données projet'!$A$140,'Données projet'!$B$140,CT76+CS77-DB76)))</f>
        <v>246.60000000000011</v>
      </c>
      <c r="CU77" s="18">
        <f>CT77*VLOOKUP('Données projet'!$B$13,Paramètres!$A$1:$I$89,3,0)*VLOOKUP('Données projet'!$B$13,Paramètres!$A$1:$I$89,5,0)</f>
        <v>238.5115200000001</v>
      </c>
      <c r="CV77" s="14">
        <f t="shared" si="95"/>
        <v>58.119160893939195</v>
      </c>
      <c r="CW77" s="22">
        <f t="shared" si="67"/>
        <v>516.63176922361095</v>
      </c>
      <c r="CX77" s="60">
        <f t="shared" si="68"/>
        <v>809.9651025569442</v>
      </c>
      <c r="CY77" s="60">
        <f ca="1">AVERAGE(OFFSET($CX$3,0,0,'Données projet'!$E$13+1,1))-AVERAGE(OFFSET($H$3,0,0,'Données projet'!$E$13+1,1))</f>
        <v>394.8445842828649</v>
      </c>
      <c r="CZ77" s="60">
        <f t="shared" si="96"/>
        <v>246.54010105494143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4.8767914281591188E-6</v>
      </c>
      <c r="DI77" s="24">
        <f t="shared" si="69"/>
        <v>4.8767914281591188E-6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</v>
      </c>
      <c r="DO77" s="13">
        <f>IF('Données projet'!$A$166&gt;35,DO76+DN77-DW76,IF(A77&lt;'Données projet'!$A$166,$DL$205^A77,IF(A77='Données projet'!$A$166,'Données projet'!$B$166,DO76+DN77-DW76)))</f>
        <v>183.00000000000006</v>
      </c>
      <c r="DP77" s="18">
        <f>DO77*VLOOKUP('Données projet'!$B$14,Paramètres!$A$1:$I$89,3,0)*VLOOKUP('Données projet'!$B$14,Paramètres!$A$1:$I$89,5,0)</f>
        <v>159.86880000000008</v>
      </c>
      <c r="DQ77" s="14">
        <f t="shared" si="97"/>
        <v>40.812921467768035</v>
      </c>
      <c r="DR77" s="22">
        <f t="shared" si="70"/>
        <v>349.52066488969609</v>
      </c>
      <c r="DS77" s="60">
        <f t="shared" si="71"/>
        <v>642.85399822302941</v>
      </c>
      <c r="DT77" s="60">
        <f ca="1">AVERAGE(OFFSET($DS$3,0,0,'Données projet'!$E$14+1,1))-AVERAGE(OFFSET($H$3,0,0,'Données projet'!$E$14+1,1))</f>
        <v>266.98113257513319</v>
      </c>
      <c r="DU77" s="60">
        <f t="shared" si="98"/>
        <v>275.73257102713393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3.2872386433290339</v>
      </c>
      <c r="EC77" s="23">
        <f>EXP(-LN(2)/2)*EC76+(1-EXP(-LN(2)/2))/(LN(2)/2)*DW77*DZ77*VLOOKUP('Données projet'!$B$14,Paramètres!$A$1:$I$89,3,0)*0.475*44/12</f>
        <v>2.4954315151046051E-6</v>
      </c>
      <c r="ED77" s="24">
        <f t="shared" si="72"/>
        <v>3.2872411387605491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6.4</v>
      </c>
      <c r="EJ77" s="13">
        <f>IF('Données projet'!$A$192&gt;35,EJ76+EI77-ER76,IF(A77&lt;'Données projet'!$A$192,$EG$205^A77,IF(A77='Données projet'!$A$192,'Données projet'!$B$192,EJ76+EI77-ER76)))</f>
        <v>246.60000000000011</v>
      </c>
      <c r="EK77" s="18">
        <f>EJ77*VLOOKUP('Données projet'!$B$15,Paramètres!$A$1:$I$89,3,0)*VLOOKUP('Données projet'!$B$15,Paramètres!$A$1:$I$89,5,0)</f>
        <v>280.82808000000017</v>
      </c>
      <c r="EL77" s="14">
        <f t="shared" si="99"/>
        <v>67.141975901776362</v>
      </c>
      <c r="EM77" s="22">
        <f t="shared" si="73"/>
        <v>606.04784736226065</v>
      </c>
      <c r="EN77" s="60">
        <f t="shared" si="74"/>
        <v>899.38118069559391</v>
      </c>
      <c r="EO77" s="60">
        <f ca="1">AVERAGE(OFFSET($EN$3,0,0,'Données projet'!$E$15+1,1))-AVERAGE(OFFSET($H$3,0,0,'Données projet'!$E$15+1,1))</f>
        <v>457.62828850677369</v>
      </c>
      <c r="EP77" s="60">
        <f t="shared" si="100"/>
        <v>282.78263556175563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6.4</v>
      </c>
      <c r="FE77" s="13">
        <f>IF('Données projet'!$A$218&gt;35,FE76+FD77-FM76,IF(A77&lt;'Données projet'!$A$218,$FB$205^A77,IF(A77='Données projet'!$A$218,'Données projet'!$B$218,FE76+FD77-FM76)))</f>
        <v>246.60000000000011</v>
      </c>
      <c r="FF77" s="18">
        <f>FE77*VLOOKUP('Données projet'!$B$16,Paramètres!$A$1:$I$89,3,0)*VLOOKUP('Données projet'!$B$16,Paramètres!$A$1:$I$89,5,0)</f>
        <v>269.2872000000001</v>
      </c>
      <c r="FG77" s="14">
        <f t="shared" si="101"/>
        <v>64.697971872136733</v>
      </c>
      <c r="FH77" s="22">
        <f t="shared" si="76"/>
        <v>581.69084101063834</v>
      </c>
      <c r="FI77" s="60">
        <f t="shared" si="77"/>
        <v>875.02417434397171</v>
      </c>
      <c r="FJ77" s="60">
        <f ca="1">AVERAGE(OFFSET($FI$3,0,0,'Données projet'!$E$16+1,1))-AVERAGE(OFFSET($H$3,0,0,'Données projet'!$E$16+1,1))</f>
        <v>440.52623925652182</v>
      </c>
      <c r="FK77" s="60">
        <f t="shared" si="102"/>
        <v>272.91122662088918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15.142857142857142</v>
      </c>
      <c r="FZ77" s="13">
        <f>IF('Données projet'!$A$244&gt;35,FZ76+FY77-GH76,IF(A77&lt;'Données projet'!$A$244,$FW$205^A77,IF(A77='Données projet'!$A$244,'Données projet'!$B$244,FZ76+FY77-GH76)))</f>
        <v>420.2857142857145</v>
      </c>
      <c r="GA77" s="18">
        <f>FZ77*VLOOKUP('Données projet'!$B$17,Paramètres!$A$1:$I$89,3,0)*VLOOKUP('Données projet'!$B$17,Paramètres!$A$1:$I$89,5,0)</f>
        <v>196.69371428571441</v>
      </c>
      <c r="GB77" s="14">
        <f t="shared" si="103"/>
        <v>49.016842754125221</v>
      </c>
      <c r="GC77" s="22">
        <f t="shared" si="79"/>
        <v>427.9458868443873</v>
      </c>
      <c r="GD77" s="60">
        <f t="shared" si="80"/>
        <v>721.27922017772062</v>
      </c>
      <c r="GE77" s="60">
        <f ca="1">AVERAGE(OFFSET($GD$3,0,0,'Données projet'!$E$17+1,1))-AVERAGE(OFFSET($H$3,0,0,'Données projet'!$E$17+1,1))</f>
        <v>317.54276561627643</v>
      </c>
      <c r="GF77" s="60">
        <f t="shared" si="104"/>
        <v>238.92443174298893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>
        <f>GU77*VLOOKUP('Données projet'!$B$18,Paramètres!$A$1:$I$89,3,0)*VLOOKUP('Données projet'!$B$18,Paramètres!$A$1:$I$89,5,0)</f>
        <v>0</v>
      </c>
      <c r="GW77" s="14" t="e">
        <f t="shared" si="105"/>
        <v>#NUM!</v>
      </c>
      <c r="GX77" s="22" t="e">
        <f t="shared" si="82"/>
        <v>#NUM!</v>
      </c>
      <c r="GY77" s="60" t="e">
        <f t="shared" si="83"/>
        <v>#NUM!</v>
      </c>
      <c r="GZ77" s="60">
        <f ca="1">AVERAGE(OFFSET($GY$3,0,0,'Données projet'!$E$18+1,1))-AVERAGE(OFFSET($H$3,0,0,'Données projet'!$E$18+1,1))</f>
        <v>79.868679770907136</v>
      </c>
      <c r="HA77" s="60">
        <f t="shared" si="106"/>
        <v>370.47471103028312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25.994373329958311</v>
      </c>
      <c r="HH77" s="23">
        <f>EXP(-LN(2)/25)*HH76+(1-EXP(-LN(2)/25))/(LN(2)/25)*Calculateur!HC77*Calculateur!HE77*VLOOKUP('Données projet'!$B$18,Paramètres!$A$1:$I$89,3,0)*0.475*44/12</f>
        <v>4.460203565492896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30.454576895451208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0">
        <f t="shared" si="55"/>
        <v>293.33333333333439</v>
      </c>
      <c r="S78" s="60">
        <f ca="1">AVERAGE(OFFSET($R$3,0,0,'Données projet'!$E$9+1,1))-AVERAGE(OFFSET($H$3,0,0,'Données projet'!$E$9+1,1))</f>
        <v>206.5885410269899</v>
      </c>
      <c r="T78" s="60">
        <f t="shared" si="88"/>
        <v>347.41156847586302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3.3992364478763198E-14</v>
      </c>
      <c r="AK78" s="14">
        <f t="shared" si="89"/>
        <v>5.790027782444094E-13</v>
      </c>
      <c r="AL78" s="22">
        <f t="shared" si="58"/>
        <v>1.0676332069095257E-12</v>
      </c>
      <c r="AM78" s="60">
        <f t="shared" si="59"/>
        <v>293.33333333333439</v>
      </c>
      <c r="AN78" s="60">
        <f ca="1">AVERAGE(OFFSET($AM$3,0,0,'Données projet'!$E$10+1,1))-AVERAGE(OFFSET($H$3,0,0,'Données projet'!$E$10+1,1))</f>
        <v>206.5885410269899</v>
      </c>
      <c r="AO78" s="60">
        <f t="shared" si="90"/>
        <v>347.41156847586302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44.868198974503692</v>
      </c>
      <c r="AV78" s="23">
        <f>EXP(-LN(2)/25)*AV77+(1-EXP(-LN(2)/25))/(LN(2)/25)*Calculateur!AQ78*Calculateur!AS78*VLOOKUP('Données projet'!$B$10,Paramètres!$A$1:$I$89,3,0)*0.475*44/12</f>
        <v>0.96004692343257581</v>
      </c>
      <c r="AW78" s="23">
        <f>EXP(-LN(2)/2)*AW77+(1-EXP(-LN(2)/2))/(LN(2)/2)*AQ78*AT78*VLOOKUP('Données projet'!$B$10,Paramètres!$A$1:$I$89,3,0)*0.475*44/12</f>
        <v>1.8570215678701267E-4</v>
      </c>
      <c r="AX78" s="23">
        <f t="shared" si="60"/>
        <v>45.828431600093054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253</v>
      </c>
      <c r="BB78" s="13">
        <f>VLOOKUP(A78,'Données projet'!$A$87:$I$107,9,0)</f>
        <v>6.4</v>
      </c>
      <c r="BC78" s="13">
        <f t="array" ref="BC78">INDEX(BB:BB,MIN(IF(ISNUMBER(BB78:BB274),ROW(BB78:BB274),"")))</f>
        <v>6.4</v>
      </c>
      <c r="BD78" s="13">
        <f>IF('Données projet'!$A$88&gt;35,BD77+BC78-BL77,IF(A78&lt;'Données projet'!$A$88,$BA$205^A78,IF(A78='Données projet'!$A$88,'Données projet'!$B$88,BD77+BC78-BL77)))</f>
        <v>253.00000000000011</v>
      </c>
      <c r="BE78" s="14">
        <f>BD78*VLOOKUP('Données projet'!$B$11,Paramètres!$A$1:$I$89,3,0)*VLOOKUP('Données projet'!$B$11,Paramètres!$A$1:$I$89,5,0)</f>
        <v>240.7548000000001</v>
      </c>
      <c r="BF78" s="14">
        <f t="shared" si="91"/>
        <v>58.601899688541096</v>
      </c>
      <c r="BG78" s="22">
        <f t="shared" si="61"/>
        <v>521.37958529087587</v>
      </c>
      <c r="BH78" s="60">
        <f t="shared" si="62"/>
        <v>814.71291862420912</v>
      </c>
      <c r="BI78" s="60">
        <f ca="1">AVERAGE(OFFSET($BH$3,0,0,'Données projet'!$E$11+1,1))-AVERAGE(OFFSET($H$3,0,0,'Données projet'!$E$11+1,1))</f>
        <v>389.12604446638119</v>
      </c>
      <c r="BJ78" s="60">
        <f t="shared" si="92"/>
        <v>243.23852967152732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253</v>
      </c>
      <c r="BW78" s="13">
        <f>VLOOKUP(A78,'Données projet'!$A$113:$I$133,9,0)</f>
        <v>6.4</v>
      </c>
      <c r="BX78" s="13">
        <f t="array" ref="BX78">INDEX(BW:BW,MIN(IF(ISNUMBER(BW78:BW274),ROW(BW78:BW274),"")))</f>
        <v>6.4</v>
      </c>
      <c r="BY78" s="13">
        <f>IF('Données projet'!$A$114&gt;35,BY77+BX78-CG77,IF(A78&lt;'Données projet'!$A$114,$BV$205^A78,IF(A78='Données projet'!$A$114,'Données projet'!$B$114,BY77+BX78-CG77)))</f>
        <v>253.00000000000011</v>
      </c>
      <c r="BZ78" s="14">
        <f>BY78*VLOOKUP('Données projet'!$B$12,Paramètres!$A$1:$I$89,3,0)*VLOOKUP('Données projet'!$B$12,Paramètres!$A$1:$I$89,5,0)</f>
        <v>228.91440000000011</v>
      </c>
      <c r="CA78" s="14">
        <f t="shared" si="93"/>
        <v>56.047884834417474</v>
      </c>
      <c r="CB78" s="22">
        <f t="shared" si="64"/>
        <v>496.30931275327725</v>
      </c>
      <c r="CC78" s="60">
        <f t="shared" si="65"/>
        <v>789.64264608661051</v>
      </c>
      <c r="CD78" s="60">
        <f ca="1">AVERAGE(OFFSET($CC$3,0,0,'Données projet'!$E$12+1,1))-AVERAGE(OFFSET($H$3,0,0,'Données projet'!$E$12+1,1))</f>
        <v>371.95849973474657</v>
      </c>
      <c r="CE78" s="60">
        <f t="shared" si="94"/>
        <v>233.32640143610547</v>
      </c>
      <c r="CF78" s="16">
        <f>IF(ISNA(VLOOKUP(A78,'Données projet'!$A$113:$I$133,3,0)),0,VLOOKUP(A78,'Données projet'!$A$113:$I$133,3,0))</f>
        <v>11</v>
      </c>
      <c r="CG78" s="16">
        <f>IF(ISNA(VLOOKUP(A78,'Données projet'!$A$113:$I$133,4,0)),0,VLOOKUP(A78,'Données projet'!$A$113:$I$133,4,0))</f>
        <v>21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3.2259340770718845E-6</v>
      </c>
      <c r="CN78" s="24">
        <f t="shared" si="66"/>
        <v>3.2259340770718845E-6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253</v>
      </c>
      <c r="CR78" s="13">
        <f>VLOOKUP(A78,'Données projet'!$A$139:$I$159,9,0)</f>
        <v>6.4</v>
      </c>
      <c r="CS78" s="13">
        <f t="array" ref="CS78">INDEX(CR:CR,MIN(IF(ISNUMBER(CR78:CR274),ROW(CR78:CR274),"")))</f>
        <v>6.4</v>
      </c>
      <c r="CT78" s="13">
        <f>IF('Données projet'!$A$140&gt;35,CT77+CS78-DB77,IF(A78&lt;'Données projet'!$A$140,$CQ$205^A78,IF(A78='Données projet'!$A$140,'Données projet'!$B$140,CT77+CS78-DB77)))</f>
        <v>253.00000000000011</v>
      </c>
      <c r="CU78" s="18">
        <f>CT78*VLOOKUP('Données projet'!$B$13,Paramètres!$A$1:$I$89,3,0)*VLOOKUP('Données projet'!$B$13,Paramètres!$A$1:$I$89,5,0)</f>
        <v>244.70160000000013</v>
      </c>
      <c r="CV78" s="14">
        <f t="shared" si="95"/>
        <v>59.449957615507699</v>
      </c>
      <c r="CW78" s="22">
        <f t="shared" si="67"/>
        <v>529.73062951367604</v>
      </c>
      <c r="CX78" s="60">
        <f t="shared" si="68"/>
        <v>823.06396284700941</v>
      </c>
      <c r="CY78" s="60">
        <f ca="1">AVERAGE(OFFSET($CX$3,0,0,'Données projet'!$E$13+1,1))-AVERAGE(OFFSET($H$3,0,0,'Données projet'!$E$13+1,1))</f>
        <v>394.8445842828649</v>
      </c>
      <c r="CZ78" s="60">
        <f t="shared" si="96"/>
        <v>246.54010105494143</v>
      </c>
      <c r="DA78" s="16">
        <f>IF(ISNA(VLOOKUP(A78,'Données projet'!$A$139:$I$159,3,0)),0,VLOOKUP(A78,'Données projet'!$A$139:$I$159,3,0))</f>
        <v>11</v>
      </c>
      <c r="DB78" s="16">
        <f>IF(ISNA(VLOOKUP(A78,'Données projet'!$A$139:$I$159,4,0)),0,VLOOKUP(A78,'Données projet'!$A$139:$I$159,4,0))</f>
        <v>21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3.4484122892837407E-6</v>
      </c>
      <c r="DI78" s="24">
        <f t="shared" si="69"/>
        <v>3.4484122892837407E-6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186</v>
      </c>
      <c r="DM78" s="13">
        <f>VLOOKUP(A78,'Données projet'!$A$165:$I$185,9,0)</f>
        <v>3</v>
      </c>
      <c r="DN78" s="13">
        <f t="array" ref="DN78">INDEX(DM:DM,MIN(IF(ISNUMBER(DM78:DM274),ROW(DM78:DM274),"")))</f>
        <v>3</v>
      </c>
      <c r="DO78" s="13">
        <f>IF('Données projet'!$A$166&gt;35,DO77+DN78-DW77,IF(A78&lt;'Données projet'!$A$166,$DL$205^A78,IF(A78='Données projet'!$A$166,'Données projet'!$B$166,DO77+DN78-DW77)))</f>
        <v>186.00000000000006</v>
      </c>
      <c r="DP78" s="18">
        <f>DO78*VLOOKUP('Données projet'!$B$14,Paramètres!$A$1:$I$89,3,0)*VLOOKUP('Données projet'!$B$14,Paramètres!$A$1:$I$89,5,0)</f>
        <v>162.48960000000005</v>
      </c>
      <c r="DQ78" s="14">
        <f t="shared" si="97"/>
        <v>41.403546033820696</v>
      </c>
      <c r="DR78" s="22">
        <f t="shared" si="70"/>
        <v>355.11389600890448</v>
      </c>
      <c r="DS78" s="60">
        <f t="shared" si="71"/>
        <v>648.44722934223773</v>
      </c>
      <c r="DT78" s="60">
        <f ca="1">AVERAGE(OFFSET($DS$3,0,0,'Données projet'!$E$14+1,1))-AVERAGE(OFFSET($H$3,0,0,'Données projet'!$E$14+1,1))</f>
        <v>266.98113257513319</v>
      </c>
      <c r="DU78" s="60">
        <f t="shared" si="98"/>
        <v>275.73257102713393</v>
      </c>
      <c r="DV78" s="16">
        <f>IF(ISNA(VLOOKUP(A78,'Données projet'!$A$165:$I$185,3,0)),0,VLOOKUP(A78,'Données projet'!$A$165:$I$185,3,0))</f>
        <v>12</v>
      </c>
      <c r="DW78" s="16">
        <f>IF(ISNA(VLOOKUP(A78,'Données projet'!$A$165:$I$185,4,0)),0,VLOOKUP(A78,'Données projet'!$A$165:$I$185,4,0))</f>
        <v>11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3.1973489297588342</v>
      </c>
      <c r="EC78" s="23">
        <f>EXP(-LN(2)/2)*EC77+(1-EXP(-LN(2)/2))/(LN(2)/2)*DW78*DZ78*VLOOKUP('Données projet'!$B$14,Paramètres!$A$1:$I$89,3,0)*0.475*44/12</f>
        <v>1.7645365463170868E-6</v>
      </c>
      <c r="ED78" s="24">
        <f t="shared" si="72"/>
        <v>3.1973506942953804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253</v>
      </c>
      <c r="EH78" s="13">
        <f>VLOOKUP(A78,'Données projet'!$A$191:$I$211,9,0)</f>
        <v>6.4</v>
      </c>
      <c r="EI78" s="13">
        <f t="array" ref="EI78">INDEX(EH:EH,MIN(IF(ISNUMBER(EH78:EH274),ROW(EH78:EH274),"")))</f>
        <v>6.4</v>
      </c>
      <c r="EJ78" s="13">
        <f>IF('Données projet'!$A$192&gt;35,EJ77+EI78-ER77,IF(A78&lt;'Données projet'!$A$192,$EG$205^A78,IF(A78='Données projet'!$A$192,'Données projet'!$B$192,EJ77+EI78-ER77)))</f>
        <v>253.00000000000011</v>
      </c>
      <c r="EK78" s="18">
        <f>EJ78*VLOOKUP('Données projet'!$B$15,Paramètres!$A$1:$I$89,3,0)*VLOOKUP('Données projet'!$B$15,Paramètres!$A$1:$I$89,5,0)</f>
        <v>288.11640000000011</v>
      </c>
      <c r="EL78" s="14">
        <f t="shared" si="99"/>
        <v>68.679374584678442</v>
      </c>
      <c r="EM78" s="22">
        <f t="shared" si="73"/>
        <v>621.41930740164844</v>
      </c>
      <c r="EN78" s="60">
        <f t="shared" si="74"/>
        <v>914.7526407349817</v>
      </c>
      <c r="EO78" s="60">
        <f ca="1">AVERAGE(OFFSET($EN$3,0,0,'Données projet'!$E$15+1,1))-AVERAGE(OFFSET($H$3,0,0,'Données projet'!$E$15+1,1))</f>
        <v>457.62828850677369</v>
      </c>
      <c r="EP78" s="60">
        <f t="shared" si="100"/>
        <v>282.78263556175563</v>
      </c>
      <c r="EQ78" s="16">
        <f>IF(ISNA(VLOOKUP(A78,'Données projet'!$A$191:$I$211,3,0)),0,VLOOKUP(A78,'Données projet'!$A$191:$I$211,3,0))</f>
        <v>11</v>
      </c>
      <c r="ER78" s="16">
        <f>IF(ISNA(VLOOKUP(A78,'Données projet'!$A$191:$I$211,4,0)),0,VLOOKUP(A78,'Données projet'!$A$191:$I$211,4,0))</f>
        <v>21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253</v>
      </c>
      <c r="FC78" s="13">
        <f>VLOOKUP(A78,'Données projet'!$A$217:$I$237,9,0)</f>
        <v>6.4</v>
      </c>
      <c r="FD78" s="13">
        <f t="array" ref="FD78">INDEX(FC:FC,MIN(IF(ISNUMBER(FC78:FC274),ROW(FC78:FC274),"")))</f>
        <v>6.4</v>
      </c>
      <c r="FE78" s="13">
        <f>IF('Données projet'!$A$218&gt;35,FE77+FD78-FM77,IF(A78&lt;'Données projet'!$A$218,$FB$205^A78,IF(A78='Données projet'!$A$218,'Données projet'!$B$218,FE77+FD78-FM77)))</f>
        <v>253.00000000000011</v>
      </c>
      <c r="FF78" s="18">
        <f>FE78*VLOOKUP('Données projet'!$B$16,Paramètres!$A$1:$I$89,3,0)*VLOOKUP('Données projet'!$B$16,Paramètres!$A$1:$I$89,5,0)</f>
        <v>276.27600000000012</v>
      </c>
      <c r="FG78" s="14">
        <f t="shared" si="101"/>
        <v>66.179408416217214</v>
      </c>
      <c r="FH78" s="22">
        <f t="shared" si="76"/>
        <v>596.44316965824521</v>
      </c>
      <c r="FI78" s="60">
        <f t="shared" si="77"/>
        <v>889.77650299157858</v>
      </c>
      <c r="FJ78" s="60">
        <f ca="1">AVERAGE(OFFSET($FI$3,0,0,'Données projet'!$E$16+1,1))-AVERAGE(OFFSET($H$3,0,0,'Données projet'!$E$16+1,1))</f>
        <v>440.52623925652182</v>
      </c>
      <c r="FK78" s="60">
        <f t="shared" si="102"/>
        <v>272.91122662088918</v>
      </c>
      <c r="FL78" s="16">
        <f>IF(ISNA(VLOOKUP(A78,'Données projet'!$A$217:$I$237,3,0)),0,VLOOKUP(A78,'Données projet'!$A$217:$I$237,3,0))</f>
        <v>11</v>
      </c>
      <c r="FM78" s="16">
        <f>IF(ISNA(VLOOKUP(A78,'Données projet'!$A$217:$I$237,4,0)),0,VLOOKUP(A78,'Données projet'!$A$217:$I$237,4,0))</f>
        <v>21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15.142857142857142</v>
      </c>
      <c r="FZ78" s="13">
        <f>IF('Données projet'!$A$244&gt;35,FZ77+FY78-GH77,IF(A78&lt;'Données projet'!$A$244,$FW$205^A78,IF(A78='Données projet'!$A$244,'Données projet'!$B$244,FZ77+FY78-GH77)))</f>
        <v>435.42857142857167</v>
      </c>
      <c r="GA78" s="18">
        <f>FZ78*VLOOKUP('Données projet'!$B$17,Paramètres!$A$1:$I$89,3,0)*VLOOKUP('Données projet'!$B$17,Paramètres!$A$1:$I$89,5,0)</f>
        <v>203.78057142857153</v>
      </c>
      <c r="GB78" s="14">
        <f t="shared" si="103"/>
        <v>50.574115202939069</v>
      </c>
      <c r="GC78" s="22">
        <f t="shared" si="79"/>
        <v>443.00107921654762</v>
      </c>
      <c r="GD78" s="60">
        <f t="shared" si="80"/>
        <v>736.33441254988088</v>
      </c>
      <c r="GE78" s="60">
        <f ca="1">AVERAGE(OFFSET($GD$3,0,0,'Données projet'!$E$17+1,1))-AVERAGE(OFFSET($H$3,0,0,'Données projet'!$E$17+1,1))</f>
        <v>317.54276561627643</v>
      </c>
      <c r="GF78" s="60">
        <f t="shared" si="104"/>
        <v>238.92443174298893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>
        <f>GU78*VLOOKUP('Données projet'!$B$18,Paramètres!$A$1:$I$89,3,0)*VLOOKUP('Données projet'!$B$18,Paramètres!$A$1:$I$89,5,0)</f>
        <v>0</v>
      </c>
      <c r="GW78" s="14" t="e">
        <f t="shared" si="105"/>
        <v>#NUM!</v>
      </c>
      <c r="GX78" s="22" t="e">
        <f t="shared" si="82"/>
        <v>#NUM!</v>
      </c>
      <c r="GY78" s="60" t="e">
        <f t="shared" si="83"/>
        <v>#NUM!</v>
      </c>
      <c r="GZ78" s="60">
        <f ca="1">AVERAGE(OFFSET($GY$3,0,0,'Données projet'!$E$18+1,1))-AVERAGE(OFFSET($H$3,0,0,'Données projet'!$E$18+1,1))</f>
        <v>79.868679770907136</v>
      </c>
      <c r="HA78" s="60">
        <f t="shared" si="106"/>
        <v>370.47471103028312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25.484639523960009</v>
      </c>
      <c r="HH78" s="23">
        <f>EXP(-LN(2)/25)*HH77+(1-EXP(-LN(2)/25))/(LN(2)/25)*Calculateur!HC78*Calculateur!HE78*VLOOKUP('Données projet'!$B$18,Paramètres!$A$1:$I$89,3,0)*0.475*44/12</f>
        <v>4.3382390644425808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29.822878588402588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0">
        <f t="shared" si="55"/>
        <v>293.33333333333439</v>
      </c>
      <c r="S79" s="60">
        <f ca="1">AVERAGE(OFFSET($R$3,0,0,'Données projet'!$E$9+1,1))-AVERAGE(OFFSET($H$3,0,0,'Données projet'!$E$9+1,1))</f>
        <v>206.5885410269899</v>
      </c>
      <c r="T79" s="60">
        <f t="shared" si="88"/>
        <v>347.41156847586302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3.3992364478763198E-14</v>
      </c>
      <c r="AK79" s="14">
        <f t="shared" si="89"/>
        <v>5.790027782444094E-13</v>
      </c>
      <c r="AL79" s="22">
        <f t="shared" si="58"/>
        <v>1.0676332069095257E-12</v>
      </c>
      <c r="AM79" s="60">
        <f t="shared" si="59"/>
        <v>293.33333333333439</v>
      </c>
      <c r="AN79" s="60">
        <f ca="1">AVERAGE(OFFSET($AM$3,0,0,'Données projet'!$E$10+1,1))-AVERAGE(OFFSET($H$3,0,0,'Données projet'!$E$10+1,1))</f>
        <v>206.5885410269899</v>
      </c>
      <c r="AO79" s="60">
        <f t="shared" si="90"/>
        <v>347.41156847586302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43.988360959512789</v>
      </c>
      <c r="AV79" s="23">
        <f>EXP(-LN(2)/25)*AV78+(1-EXP(-LN(2)/25))/(LN(2)/25)*Calculateur!AQ79*Calculateur!AS79*VLOOKUP('Données projet'!$B$10,Paramètres!$A$1:$I$89,3,0)*0.475*44/12</f>
        <v>0.93379438982463858</v>
      </c>
      <c r="AW79" s="23">
        <f>EXP(-LN(2)/2)*AW78+(1-EXP(-LN(2)/2))/(LN(2)/2)*AQ79*AT79*VLOOKUP('Données projet'!$B$10,Paramètres!$A$1:$I$89,3,0)*0.475*44/12</f>
        <v>1.3131125434506411E-4</v>
      </c>
      <c r="AX79" s="23">
        <f t="shared" si="60"/>
        <v>44.922286660591773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238.00000000000011</v>
      </c>
      <c r="BE79" s="14">
        <f>BD79*VLOOKUP('Données projet'!$B$11,Paramètres!$A$1:$I$89,3,0)*VLOOKUP('Données projet'!$B$11,Paramètres!$A$1:$I$89,5,0)</f>
        <v>226.4808000000001</v>
      </c>
      <c r="BF79" s="14">
        <f t="shared" si="91"/>
        <v>55.52106670316202</v>
      </c>
      <c r="BG79" s="22">
        <f t="shared" si="61"/>
        <v>491.15325117467404</v>
      </c>
      <c r="BH79" s="60">
        <f t="shared" si="62"/>
        <v>784.48658450800735</v>
      </c>
      <c r="BI79" s="60">
        <f ca="1">AVERAGE(OFFSET($BH$3,0,0,'Données projet'!$E$11+1,1))-AVERAGE(OFFSET($H$3,0,0,'Données projet'!$E$11+1,1))</f>
        <v>389.12604446638119</v>
      </c>
      <c r="BJ79" s="60">
        <f t="shared" si="92"/>
        <v>243.23852967152732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238.00000000000011</v>
      </c>
      <c r="BZ79" s="14">
        <f>BY79*VLOOKUP('Données projet'!$B$12,Paramètres!$A$1:$I$89,3,0)*VLOOKUP('Données projet'!$B$12,Paramètres!$A$1:$I$89,5,0)</f>
        <v>215.34240000000008</v>
      </c>
      <c r="CA79" s="14">
        <f t="shared" si="93"/>
        <v>53.101322124397257</v>
      </c>
      <c r="CB79" s="22">
        <f t="shared" si="64"/>
        <v>467.53948269999205</v>
      </c>
      <c r="CC79" s="60">
        <f t="shared" si="65"/>
        <v>760.87281603332531</v>
      </c>
      <c r="CD79" s="60">
        <f ca="1">AVERAGE(OFFSET($CC$3,0,0,'Données projet'!$E$12+1,1))-AVERAGE(OFFSET($H$3,0,0,'Données projet'!$E$12+1,1))</f>
        <v>371.95849973474657</v>
      </c>
      <c r="CE79" s="60">
        <f t="shared" si="94"/>
        <v>233.32640143610547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2.2810798615582961E-6</v>
      </c>
      <c r="CN79" s="24">
        <f t="shared" si="66"/>
        <v>2.2810798615582961E-6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238.00000000000011</v>
      </c>
      <c r="CU79" s="18">
        <f>CT79*VLOOKUP('Données projet'!$B$13,Paramètres!$A$1:$I$89,3,0)*VLOOKUP('Données projet'!$B$13,Paramètres!$A$1:$I$89,5,0)</f>
        <v>230.19360000000009</v>
      </c>
      <c r="CV79" s="14">
        <f t="shared" si="95"/>
        <v>56.324540327421772</v>
      </c>
      <c r="CW79" s="22">
        <f t="shared" si="67"/>
        <v>499.01909440359304</v>
      </c>
      <c r="CX79" s="60">
        <f t="shared" si="68"/>
        <v>792.3524277369263</v>
      </c>
      <c r="CY79" s="60">
        <f ca="1">AVERAGE(OFFSET($CX$3,0,0,'Données projet'!$E$13+1,1))-AVERAGE(OFFSET($H$3,0,0,'Données projet'!$E$13+1,1))</f>
        <v>394.8445842828649</v>
      </c>
      <c r="CZ79" s="60">
        <f t="shared" si="96"/>
        <v>246.54010105494143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2.4383957140795594E-6</v>
      </c>
      <c r="DI79" s="24">
        <f t="shared" si="69"/>
        <v>2.4383957140795594E-6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2.6</v>
      </c>
      <c r="DO79" s="13">
        <f>IF('Données projet'!$A$166&gt;35,DO78+DN79-DW78,IF(A79&lt;'Données projet'!$A$166,$DL$205^A79,IF(A79='Données projet'!$A$166,'Données projet'!$B$166,DO78+DN79-DW78)))</f>
        <v>177.60000000000005</v>
      </c>
      <c r="DP79" s="18">
        <f>DO79*VLOOKUP('Données projet'!$B$14,Paramètres!$A$1:$I$89,3,0)*VLOOKUP('Données projet'!$B$14,Paramètres!$A$1:$I$89,5,0)</f>
        <v>155.15136000000007</v>
      </c>
      <c r="DQ79" s="14">
        <f t="shared" si="97"/>
        <v>39.746940196236942</v>
      </c>
      <c r="DR79" s="22">
        <f t="shared" si="70"/>
        <v>339.44787284177949</v>
      </c>
      <c r="DS79" s="60">
        <f t="shared" si="71"/>
        <v>632.78120617511286</v>
      </c>
      <c r="DT79" s="60">
        <f ca="1">AVERAGE(OFFSET($DS$3,0,0,'Données projet'!$E$14+1,1))-AVERAGE(OFFSET($H$3,0,0,'Données projet'!$E$14+1,1))</f>
        <v>266.98113257513319</v>
      </c>
      <c r="DU79" s="60">
        <f t="shared" si="98"/>
        <v>275.73257102713393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3.1099172551333063</v>
      </c>
      <c r="EC79" s="23">
        <f>EXP(-LN(2)/2)*EC78+(1-EXP(-LN(2)/2))/(LN(2)/2)*DW79*DZ79*VLOOKUP('Données projet'!$B$14,Paramètres!$A$1:$I$89,3,0)*0.475*44/12</f>
        <v>1.2477157575523026E-6</v>
      </c>
      <c r="ED79" s="24">
        <f t="shared" si="72"/>
        <v>3.1099185028490637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6</v>
      </c>
      <c r="EJ79" s="13">
        <f>IF('Données projet'!$A$192&gt;35,EJ78+EI79-ER78,IF(A79&lt;'Données projet'!$A$192,$EG$205^A79,IF(A79='Données projet'!$A$192,'Données projet'!$B$192,EJ78+EI79-ER78)))</f>
        <v>238.00000000000011</v>
      </c>
      <c r="EK79" s="18">
        <f>EJ79*VLOOKUP('Données projet'!$B$15,Paramètres!$A$1:$I$89,3,0)*VLOOKUP('Données projet'!$B$15,Paramètres!$A$1:$I$89,5,0)</f>
        <v>271.03440000000012</v>
      </c>
      <c r="EL79" s="14">
        <f t="shared" si="99"/>
        <v>65.068746196174914</v>
      </c>
      <c r="EM79" s="22">
        <f t="shared" si="73"/>
        <v>585.37964629167152</v>
      </c>
      <c r="EN79" s="60">
        <f t="shared" si="74"/>
        <v>878.71297962500489</v>
      </c>
      <c r="EO79" s="60">
        <f ca="1">AVERAGE(OFFSET($EN$3,0,0,'Données projet'!$E$15+1,1))-AVERAGE(OFFSET($H$3,0,0,'Données projet'!$E$15+1,1))</f>
        <v>457.62828850677369</v>
      </c>
      <c r="EP79" s="60">
        <f t="shared" si="100"/>
        <v>282.78263556175563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6</v>
      </c>
      <c r="FE79" s="13">
        <f>IF('Données projet'!$A$218&gt;35,FE78+FD79-FM78,IF(A79&lt;'Données projet'!$A$218,$FB$205^A79,IF(A79='Données projet'!$A$218,'Données projet'!$B$218,FE78+FD79-FM78)))</f>
        <v>238.00000000000011</v>
      </c>
      <c r="FF79" s="18">
        <f>FE79*VLOOKUP('Données projet'!$B$16,Paramètres!$A$1:$I$89,3,0)*VLOOKUP('Données projet'!$B$16,Paramètres!$A$1:$I$89,5,0)</f>
        <v>259.89600000000013</v>
      </c>
      <c r="FG79" s="14">
        <f t="shared" si="101"/>
        <v>62.700208842736096</v>
      </c>
      <c r="FH79" s="22">
        <f t="shared" si="76"/>
        <v>561.85506373443229</v>
      </c>
      <c r="FI79" s="60">
        <f t="shared" si="77"/>
        <v>855.18839706776566</v>
      </c>
      <c r="FJ79" s="60">
        <f ca="1">AVERAGE(OFFSET($FI$3,0,0,'Données projet'!$E$16+1,1))-AVERAGE(OFFSET($H$3,0,0,'Données projet'!$E$16+1,1))</f>
        <v>440.52623925652182</v>
      </c>
      <c r="FK79" s="60">
        <f t="shared" si="102"/>
        <v>272.91122662088918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15.142857142857142</v>
      </c>
      <c r="FZ79" s="13">
        <f>IF('Données projet'!$A$244&gt;35,FZ78+FY79-GH78,IF(A79&lt;'Données projet'!$A$244,$FW$205^A79,IF(A79='Données projet'!$A$244,'Données projet'!$B$244,FZ78+FY79-GH78)))</f>
        <v>450.57142857142884</v>
      </c>
      <c r="GA79" s="18">
        <f>FZ79*VLOOKUP('Données projet'!$B$17,Paramètres!$A$1:$I$89,3,0)*VLOOKUP('Données projet'!$B$17,Paramètres!$A$1:$I$89,5,0)</f>
        <v>210.86742857142869</v>
      </c>
      <c r="GB79" s="14">
        <f t="shared" si="103"/>
        <v>52.125095165913116</v>
      </c>
      <c r="GC79" s="22">
        <f t="shared" si="79"/>
        <v>458.04531217587032</v>
      </c>
      <c r="GD79" s="60">
        <f t="shared" si="80"/>
        <v>751.37864550920358</v>
      </c>
      <c r="GE79" s="60">
        <f ca="1">AVERAGE(OFFSET($GD$3,0,0,'Données projet'!$E$17+1,1))-AVERAGE(OFFSET($H$3,0,0,'Données projet'!$E$17+1,1))</f>
        <v>317.54276561627643</v>
      </c>
      <c r="GF79" s="60">
        <f t="shared" si="104"/>
        <v>238.92443174298893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>
        <f>GU79*VLOOKUP('Données projet'!$B$18,Paramètres!$A$1:$I$89,3,0)*VLOOKUP('Données projet'!$B$18,Paramètres!$A$1:$I$89,5,0)</f>
        <v>0</v>
      </c>
      <c r="GW79" s="14" t="e">
        <f t="shared" si="105"/>
        <v>#NUM!</v>
      </c>
      <c r="GX79" s="22" t="e">
        <f t="shared" si="82"/>
        <v>#NUM!</v>
      </c>
      <c r="GY79" s="60" t="e">
        <f t="shared" si="83"/>
        <v>#NUM!</v>
      </c>
      <c r="GZ79" s="60">
        <f ca="1">AVERAGE(OFFSET($GY$3,0,0,'Données projet'!$E$18+1,1))-AVERAGE(OFFSET($H$3,0,0,'Données projet'!$E$18+1,1))</f>
        <v>79.868679770907136</v>
      </c>
      <c r="HA79" s="60">
        <f t="shared" si="106"/>
        <v>370.47471103028312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24.984901286990411</v>
      </c>
      <c r="HH79" s="23">
        <f>EXP(-LN(2)/25)*HH78+(1-EXP(-LN(2)/25))/(LN(2)/25)*Calculateur!HC79*Calculateur!HE79*VLOOKUP('Données projet'!$B$18,Paramètres!$A$1:$I$89,3,0)*0.475*44/12</f>
        <v>4.2196096890873216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29.204510976077731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0">
        <f t="shared" si="55"/>
        <v>293.33333333333439</v>
      </c>
      <c r="S80" s="60">
        <f ca="1">AVERAGE(OFFSET($R$3,0,0,'Données projet'!$E$9+1,1))-AVERAGE(OFFSET($H$3,0,0,'Données projet'!$E$9+1,1))</f>
        <v>206.5885410269899</v>
      </c>
      <c r="T80" s="60">
        <f t="shared" si="88"/>
        <v>347.41156847586302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3.3992364478763198E-14</v>
      </c>
      <c r="AK80" s="14">
        <f t="shared" si="89"/>
        <v>5.790027782444094E-13</v>
      </c>
      <c r="AL80" s="22">
        <f t="shared" si="58"/>
        <v>1.0676332069095257E-12</v>
      </c>
      <c r="AM80" s="60">
        <f t="shared" si="59"/>
        <v>293.33333333333439</v>
      </c>
      <c r="AN80" s="60">
        <f ca="1">AVERAGE(OFFSET($AM$3,0,0,'Données projet'!$E$10+1,1))-AVERAGE(OFFSET($H$3,0,0,'Données projet'!$E$10+1,1))</f>
        <v>206.5885410269899</v>
      </c>
      <c r="AO80" s="60">
        <f t="shared" si="90"/>
        <v>347.41156847586302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43.125776031347662</v>
      </c>
      <c r="AV80" s="23">
        <f>EXP(-LN(2)/25)*AV79+(1-EXP(-LN(2)/25))/(LN(2)/25)*Calculateur!AQ80*Calculateur!AS80*VLOOKUP('Données projet'!$B$10,Paramètres!$A$1:$I$89,3,0)*0.475*44/12</f>
        <v>0.90825973312877106</v>
      </c>
      <c r="AW80" s="23">
        <f>EXP(-LN(2)/2)*AW79+(1-EXP(-LN(2)/2))/(LN(2)/2)*AQ80*AT80*VLOOKUP('Données projet'!$B$10,Paramètres!$A$1:$I$89,3,0)*0.475*44/12</f>
        <v>9.2851078393506336E-5</v>
      </c>
      <c r="AX80" s="23">
        <f t="shared" si="60"/>
        <v>44.034128615554827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244.00000000000011</v>
      </c>
      <c r="BE80" s="14">
        <f>BD80*VLOOKUP('Données projet'!$B$11,Paramètres!$A$1:$I$89,3,0)*VLOOKUP('Données projet'!$B$11,Paramètres!$A$1:$I$89,5,0)</f>
        <v>232.1904000000001</v>
      </c>
      <c r="BF80" s="14">
        <f t="shared" si="91"/>
        <v>56.756035639094605</v>
      </c>
      <c r="BG80" s="22">
        <f t="shared" si="61"/>
        <v>503.24837540475659</v>
      </c>
      <c r="BH80" s="60">
        <f t="shared" si="62"/>
        <v>796.5817087380899</v>
      </c>
      <c r="BI80" s="60">
        <f ca="1">AVERAGE(OFFSET($BH$3,0,0,'Données projet'!$E$11+1,1))-AVERAGE(OFFSET($H$3,0,0,'Données projet'!$E$11+1,1))</f>
        <v>389.12604446638119</v>
      </c>
      <c r="BJ80" s="60">
        <f t="shared" si="92"/>
        <v>243.23852967152732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244.00000000000011</v>
      </c>
      <c r="BZ80" s="14">
        <f>BY80*VLOOKUP('Données projet'!$B$12,Paramètres!$A$1:$I$89,3,0)*VLOOKUP('Données projet'!$B$12,Paramètres!$A$1:$I$89,5,0)</f>
        <v>220.77120000000011</v>
      </c>
      <c r="CA80" s="14">
        <f t="shared" si="93"/>
        <v>54.28246807807983</v>
      </c>
      <c r="CB80" s="22">
        <f t="shared" si="64"/>
        <v>479.05180523598909</v>
      </c>
      <c r="CC80" s="60">
        <f t="shared" si="65"/>
        <v>772.38513856932241</v>
      </c>
      <c r="CD80" s="60">
        <f ca="1">AVERAGE(OFFSET($CC$3,0,0,'Données projet'!$E$12+1,1))-AVERAGE(OFFSET($H$3,0,0,'Données projet'!$E$12+1,1))</f>
        <v>371.95849973474657</v>
      </c>
      <c r="CE80" s="60">
        <f t="shared" si="94"/>
        <v>233.32640143610547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1.6129670385359422E-6</v>
      </c>
      <c r="CN80" s="24">
        <f t="shared" si="66"/>
        <v>1.6129670385359422E-6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244.00000000000011</v>
      </c>
      <c r="CU80" s="18">
        <f>CT80*VLOOKUP('Données projet'!$B$13,Paramètres!$A$1:$I$89,3,0)*VLOOKUP('Données projet'!$B$13,Paramètres!$A$1:$I$89,5,0)</f>
        <v>235.99680000000009</v>
      </c>
      <c r="CV80" s="14">
        <f t="shared" si="95"/>
        <v>57.577381127598372</v>
      </c>
      <c r="CW80" s="22">
        <f t="shared" si="67"/>
        <v>511.30836546390066</v>
      </c>
      <c r="CX80" s="60">
        <f t="shared" si="68"/>
        <v>804.64169879723397</v>
      </c>
      <c r="CY80" s="60">
        <f ca="1">AVERAGE(OFFSET($CX$3,0,0,'Données projet'!$E$13+1,1))-AVERAGE(OFFSET($H$3,0,0,'Données projet'!$E$13+1,1))</f>
        <v>394.8445842828649</v>
      </c>
      <c r="CZ80" s="60">
        <f t="shared" si="96"/>
        <v>246.54010105494143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1.7242061446418703E-6</v>
      </c>
      <c r="DI80" s="24">
        <f t="shared" si="69"/>
        <v>1.7242061446418703E-6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2.6</v>
      </c>
      <c r="DO80" s="13">
        <f>IF('Données projet'!$A$166&gt;35,DO79+DN80-DW79,IF(A80&lt;'Données projet'!$A$166,$DL$205^A80,IF(A80='Données projet'!$A$166,'Données projet'!$B$166,DO79+DN80-DW79)))</f>
        <v>180.20000000000005</v>
      </c>
      <c r="DP80" s="18">
        <f>DO80*VLOOKUP('Données projet'!$B$14,Paramètres!$A$1:$I$89,3,0)*VLOOKUP('Données projet'!$B$14,Paramètres!$A$1:$I$89,5,0)</f>
        <v>157.42272000000006</v>
      </c>
      <c r="DQ80" s="14">
        <f t="shared" si="97"/>
        <v>40.260654441499831</v>
      </c>
      <c r="DR80" s="22">
        <f t="shared" si="70"/>
        <v>344.29854381894557</v>
      </c>
      <c r="DS80" s="60">
        <f t="shared" si="71"/>
        <v>637.63187715227889</v>
      </c>
      <c r="DT80" s="60">
        <f ca="1">AVERAGE(OFFSET($DS$3,0,0,'Données projet'!$E$14+1,1))-AVERAGE(OFFSET($H$3,0,0,'Données projet'!$E$14+1,1))</f>
        <v>266.98113257513319</v>
      </c>
      <c r="DU80" s="60">
        <f t="shared" si="98"/>
        <v>275.73257102713393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3.0248764042482454</v>
      </c>
      <c r="EC80" s="23">
        <f>EXP(-LN(2)/2)*EC79+(1-EXP(-LN(2)/2))/(LN(2)/2)*DW80*DZ80*VLOOKUP('Données projet'!$B$14,Paramètres!$A$1:$I$89,3,0)*0.475*44/12</f>
        <v>8.822682731585434E-7</v>
      </c>
      <c r="ED80" s="24">
        <f t="shared" si="72"/>
        <v>3.0248772865165185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6</v>
      </c>
      <c r="EJ80" s="13">
        <f>IF('Données projet'!$A$192&gt;35,EJ79+EI80-ER79,IF(A80&lt;'Données projet'!$A$192,$EG$205^A80,IF(A80='Données projet'!$A$192,'Données projet'!$B$192,EJ79+EI80-ER79)))</f>
        <v>244.00000000000011</v>
      </c>
      <c r="EK80" s="18">
        <f>EJ80*VLOOKUP('Données projet'!$B$15,Paramètres!$A$1:$I$89,3,0)*VLOOKUP('Données projet'!$B$15,Paramètres!$A$1:$I$89,5,0)</f>
        <v>277.86720000000014</v>
      </c>
      <c r="EL80" s="14">
        <f t="shared" si="99"/>
        <v>66.516086548657384</v>
      </c>
      <c r="EM80" s="22">
        <f t="shared" si="73"/>
        <v>599.80089073891179</v>
      </c>
      <c r="EN80" s="60">
        <f t="shared" si="74"/>
        <v>893.13422407224516</v>
      </c>
      <c r="EO80" s="60">
        <f ca="1">AVERAGE(OFFSET($EN$3,0,0,'Données projet'!$E$15+1,1))-AVERAGE(OFFSET($H$3,0,0,'Données projet'!$E$15+1,1))</f>
        <v>457.62828850677369</v>
      </c>
      <c r="EP80" s="60">
        <f t="shared" si="100"/>
        <v>282.78263556175563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6</v>
      </c>
      <c r="FE80" s="13">
        <f>IF('Données projet'!$A$218&gt;35,FE79+FD80-FM79,IF(A80&lt;'Données projet'!$A$218,$FB$205^A80,IF(A80='Données projet'!$A$218,'Données projet'!$B$218,FE79+FD80-FM79)))</f>
        <v>244.00000000000011</v>
      </c>
      <c r="FF80" s="18">
        <f>FE80*VLOOKUP('Données projet'!$B$16,Paramètres!$A$1:$I$89,3,0)*VLOOKUP('Données projet'!$B$16,Paramètres!$A$1:$I$89,5,0)</f>
        <v>266.44800000000009</v>
      </c>
      <c r="FG80" s="14">
        <f t="shared" si="101"/>
        <v>64.094865228054687</v>
      </c>
      <c r="FH80" s="22">
        <f t="shared" si="76"/>
        <v>575.69549027219546</v>
      </c>
      <c r="FI80" s="60">
        <f t="shared" si="77"/>
        <v>869.02882360552871</v>
      </c>
      <c r="FJ80" s="60">
        <f ca="1">AVERAGE(OFFSET($FI$3,0,0,'Données projet'!$E$16+1,1))-AVERAGE(OFFSET($H$3,0,0,'Données projet'!$E$16+1,1))</f>
        <v>440.52623925652182</v>
      </c>
      <c r="FK80" s="60">
        <f t="shared" si="102"/>
        <v>272.91122662088918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15.142857142857142</v>
      </c>
      <c r="FZ80" s="13">
        <f>IF('Données projet'!$A$244&gt;35,FZ79+FY80-GH79,IF(A80&lt;'Données projet'!$A$244,$FW$205^A80,IF(A80='Données projet'!$A$244,'Données projet'!$B$244,FZ79+FY80-GH79)))</f>
        <v>465.71428571428601</v>
      </c>
      <c r="GA80" s="18">
        <f>FZ80*VLOOKUP('Données projet'!$B$17,Paramètres!$A$1:$I$89,3,0)*VLOOKUP('Données projet'!$B$17,Paramètres!$A$1:$I$89,5,0)</f>
        <v>217.95428571428585</v>
      </c>
      <c r="GB80" s="14">
        <f t="shared" si="103"/>
        <v>53.670018366701875</v>
      </c>
      <c r="GC80" s="22">
        <f t="shared" si="79"/>
        <v>473.07899627438695</v>
      </c>
      <c r="GD80" s="60">
        <f t="shared" si="80"/>
        <v>766.41232960772027</v>
      </c>
      <c r="GE80" s="60">
        <f ca="1">AVERAGE(OFFSET($GD$3,0,0,'Données projet'!$E$17+1,1))-AVERAGE(OFFSET($H$3,0,0,'Données projet'!$E$17+1,1))</f>
        <v>317.54276561627643</v>
      </c>
      <c r="GF80" s="60">
        <f t="shared" si="104"/>
        <v>238.92443174298893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>
        <f>GU80*VLOOKUP('Données projet'!$B$18,Paramètres!$A$1:$I$89,3,0)*VLOOKUP('Données projet'!$B$18,Paramètres!$A$1:$I$89,5,0)</f>
        <v>0</v>
      </c>
      <c r="GW80" s="14" t="e">
        <f t="shared" si="105"/>
        <v>#NUM!</v>
      </c>
      <c r="GX80" s="22" t="e">
        <f t="shared" si="82"/>
        <v>#NUM!</v>
      </c>
      <c r="GY80" s="60" t="e">
        <f t="shared" si="83"/>
        <v>#NUM!</v>
      </c>
      <c r="GZ80" s="60">
        <f ca="1">AVERAGE(OFFSET($GY$3,0,0,'Données projet'!$E$18+1,1))-AVERAGE(OFFSET($H$3,0,0,'Données projet'!$E$18+1,1))</f>
        <v>79.868679770907136</v>
      </c>
      <c r="HA80" s="60">
        <f t="shared" si="106"/>
        <v>370.47471103028312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24.494962612037561</v>
      </c>
      <c r="HH80" s="23">
        <f>EXP(-LN(2)/25)*HH79+(1-EXP(-LN(2)/25))/(LN(2)/25)*Calculateur!HC80*Calculateur!HE80*VLOOKUP('Données projet'!$B$18,Paramètres!$A$1:$I$89,3,0)*0.475*44/12</f>
        <v>4.1042242402395992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28.59918685227716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0">
        <f t="shared" si="55"/>
        <v>293.33333333333439</v>
      </c>
      <c r="S81" s="60">
        <f ca="1">AVERAGE(OFFSET($R$3,0,0,'Données projet'!$E$9+1,1))-AVERAGE(OFFSET($H$3,0,0,'Données projet'!$E$9+1,1))</f>
        <v>206.5885410269899</v>
      </c>
      <c r="T81" s="60">
        <f t="shared" si="88"/>
        <v>347.41156847586302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3.3992364478763198E-14</v>
      </c>
      <c r="AK81" s="14">
        <f t="shared" si="89"/>
        <v>5.790027782444094E-13</v>
      </c>
      <c r="AL81" s="22">
        <f t="shared" si="58"/>
        <v>1.0676332069095257E-12</v>
      </c>
      <c r="AM81" s="60">
        <f t="shared" si="59"/>
        <v>293.33333333333439</v>
      </c>
      <c r="AN81" s="60">
        <f ca="1">AVERAGE(OFFSET($AM$3,0,0,'Données projet'!$E$10+1,1))-AVERAGE(OFFSET($H$3,0,0,'Données projet'!$E$10+1,1))</f>
        <v>206.5885410269899</v>
      </c>
      <c r="AO81" s="60">
        <f t="shared" si="90"/>
        <v>347.41156847586302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42.280105867498996</v>
      </c>
      <c r="AV81" s="23">
        <f>EXP(-LN(2)/25)*AV80+(1-EXP(-LN(2)/25))/(LN(2)/25)*Calculateur!AQ81*Calculateur!AS81*VLOOKUP('Données projet'!$B$10,Paramètres!$A$1:$I$89,3,0)*0.475*44/12</f>
        <v>0.88342332296306136</v>
      </c>
      <c r="AW81" s="23">
        <f>EXP(-LN(2)/2)*AW80+(1-EXP(-LN(2)/2))/(LN(2)/2)*AQ81*AT81*VLOOKUP('Données projet'!$B$10,Paramètres!$A$1:$I$89,3,0)*0.475*44/12</f>
        <v>6.5655627172532056E-5</v>
      </c>
      <c r="AX81" s="23">
        <f t="shared" si="60"/>
        <v>43.163594846089232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250.00000000000011</v>
      </c>
      <c r="BE81" s="14">
        <f>BD81*VLOOKUP('Données projet'!$B$11,Paramètres!$A$1:$I$89,3,0)*VLOOKUP('Données projet'!$B$11,Paramètres!$A$1:$I$89,5,0)</f>
        <v>237.90000000000009</v>
      </c>
      <c r="BF81" s="14">
        <f t="shared" si="91"/>
        <v>57.987474407587477</v>
      </c>
      <c r="BG81" s="22">
        <f t="shared" si="61"/>
        <v>515.33735125988164</v>
      </c>
      <c r="BH81" s="60">
        <f t="shared" si="62"/>
        <v>808.6706845932149</v>
      </c>
      <c r="BI81" s="60">
        <f ca="1">AVERAGE(OFFSET($BH$3,0,0,'Données projet'!$E$11+1,1))-AVERAGE(OFFSET($H$3,0,0,'Données projet'!$E$11+1,1))</f>
        <v>389.12604446638119</v>
      </c>
      <c r="BJ81" s="60">
        <f t="shared" si="92"/>
        <v>243.23852967152732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250.00000000000011</v>
      </c>
      <c r="BZ81" s="14">
        <f>BY81*VLOOKUP('Données projet'!$B$12,Paramètres!$A$1:$I$89,3,0)*VLOOKUP('Données projet'!$B$12,Paramètres!$A$1:$I$89,5,0)</f>
        <v>226.2000000000001</v>
      </c>
      <c r="CA81" s="14">
        <f t="shared" si="93"/>
        <v>55.460237717698156</v>
      </c>
      <c r="CB81" s="22">
        <f t="shared" si="64"/>
        <v>490.55824735832448</v>
      </c>
      <c r="CC81" s="60">
        <f t="shared" si="65"/>
        <v>783.89158069165774</v>
      </c>
      <c r="CD81" s="60">
        <f ca="1">AVERAGE(OFFSET($CC$3,0,0,'Données projet'!$E$12+1,1))-AVERAGE(OFFSET($H$3,0,0,'Données projet'!$E$12+1,1))</f>
        <v>371.95849973474657</v>
      </c>
      <c r="CE81" s="60">
        <f t="shared" si="94"/>
        <v>233.32640143610547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1.1405399307791481E-6</v>
      </c>
      <c r="CN81" s="24">
        <f t="shared" si="66"/>
        <v>1.1405399307791481E-6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250.00000000000011</v>
      </c>
      <c r="CU81" s="18">
        <f>CT81*VLOOKUP('Données projet'!$B$13,Paramètres!$A$1:$I$89,3,0)*VLOOKUP('Données projet'!$B$13,Paramètres!$A$1:$I$89,5,0)</f>
        <v>241.8000000000001</v>
      </c>
      <c r="CV81" s="14">
        <f t="shared" si="95"/>
        <v>58.826640673484889</v>
      </c>
      <c r="CW81" s="22">
        <f t="shared" si="67"/>
        <v>523.59139917298626</v>
      </c>
      <c r="CX81" s="60">
        <f t="shared" si="68"/>
        <v>816.92473250631951</v>
      </c>
      <c r="CY81" s="60">
        <f ca="1">AVERAGE(OFFSET($CX$3,0,0,'Données projet'!$E$13+1,1))-AVERAGE(OFFSET($H$3,0,0,'Données projet'!$E$13+1,1))</f>
        <v>394.8445842828649</v>
      </c>
      <c r="CZ81" s="60">
        <f t="shared" si="96"/>
        <v>246.54010105494143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1.2191978570397797E-6</v>
      </c>
      <c r="DI81" s="24">
        <f t="shared" si="69"/>
        <v>1.2191978570397797E-6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2.6</v>
      </c>
      <c r="DO81" s="13">
        <f>IF('Données projet'!$A$166&gt;35,DO80+DN81-DW80,IF(A81&lt;'Données projet'!$A$166,$DL$205^A81,IF(A81='Données projet'!$A$166,'Données projet'!$B$166,DO80+DN81-DW80)))</f>
        <v>182.80000000000004</v>
      </c>
      <c r="DP81" s="18">
        <f>DO81*VLOOKUP('Données projet'!$B$14,Paramètres!$A$1:$I$89,3,0)*VLOOKUP('Données projet'!$B$14,Paramètres!$A$1:$I$89,5,0)</f>
        <v>159.69408000000007</v>
      </c>
      <c r="DQ81" s="14">
        <f t="shared" si="97"/>
        <v>40.773506612969186</v>
      </c>
      <c r="DR81" s="22">
        <f t="shared" si="70"/>
        <v>349.14771335092138</v>
      </c>
      <c r="DS81" s="60">
        <f t="shared" si="71"/>
        <v>642.48104668425469</v>
      </c>
      <c r="DT81" s="60">
        <f ca="1">AVERAGE(OFFSET($DS$3,0,0,'Données projet'!$E$14+1,1))-AVERAGE(OFFSET($H$3,0,0,'Données projet'!$E$14+1,1))</f>
        <v>266.98113257513319</v>
      </c>
      <c r="DU81" s="60">
        <f t="shared" si="98"/>
        <v>275.73257102713393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2.9421609999027405</v>
      </c>
      <c r="EC81" s="23">
        <f>EXP(-LN(2)/2)*EC80+(1-EXP(-LN(2)/2))/(LN(2)/2)*DW81*DZ81*VLOOKUP('Données projet'!$B$14,Paramètres!$A$1:$I$89,3,0)*0.475*44/12</f>
        <v>6.2385787877615128E-7</v>
      </c>
      <c r="ED81" s="24">
        <f t="shared" si="72"/>
        <v>2.9421616237606192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6</v>
      </c>
      <c r="EJ81" s="13">
        <f>IF('Données projet'!$A$192&gt;35,EJ80+EI81-ER80,IF(A81&lt;'Données projet'!$A$192,$EG$205^A81,IF(A81='Données projet'!$A$192,'Données projet'!$B$192,EJ80+EI81-ER80)))</f>
        <v>250.00000000000011</v>
      </c>
      <c r="EK81" s="18">
        <f>EJ81*VLOOKUP('Données projet'!$B$15,Paramètres!$A$1:$I$89,3,0)*VLOOKUP('Données projet'!$B$15,Paramètres!$A$1:$I$89,5,0)</f>
        <v>284.70000000000016</v>
      </c>
      <c r="EL81" s="14">
        <f t="shared" si="99"/>
        <v>67.95928966850353</v>
      </c>
      <c r="EM81" s="22">
        <f t="shared" si="73"/>
        <v>614.21492950597724</v>
      </c>
      <c r="EN81" s="60">
        <f t="shared" si="74"/>
        <v>907.54826283931061</v>
      </c>
      <c r="EO81" s="60">
        <f ca="1">AVERAGE(OFFSET($EN$3,0,0,'Données projet'!$E$15+1,1))-AVERAGE(OFFSET($H$3,0,0,'Données projet'!$E$15+1,1))</f>
        <v>457.62828850677369</v>
      </c>
      <c r="EP81" s="60">
        <f t="shared" si="100"/>
        <v>282.78263556175563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6</v>
      </c>
      <c r="FE81" s="13">
        <f>IF('Données projet'!$A$218&gt;35,FE80+FD81-FM80,IF(A81&lt;'Données projet'!$A$218,$FB$205^A81,IF(A81='Données projet'!$A$218,'Données projet'!$B$218,FE80+FD81-FM80)))</f>
        <v>250.00000000000011</v>
      </c>
      <c r="FF81" s="18">
        <f>FE81*VLOOKUP('Données projet'!$B$16,Paramètres!$A$1:$I$89,3,0)*VLOOKUP('Données projet'!$B$16,Paramètres!$A$1:$I$89,5,0)</f>
        <v>273.00000000000011</v>
      </c>
      <c r="FG81" s="14">
        <f t="shared" si="101"/>
        <v>65.485534978229794</v>
      </c>
      <c r="FH81" s="22">
        <f t="shared" si="76"/>
        <v>589.52897342041706</v>
      </c>
      <c r="FI81" s="60">
        <f t="shared" si="77"/>
        <v>882.86230675375032</v>
      </c>
      <c r="FJ81" s="60">
        <f ca="1">AVERAGE(OFFSET($FI$3,0,0,'Données projet'!$E$16+1,1))-AVERAGE(OFFSET($H$3,0,0,'Données projet'!$E$16+1,1))</f>
        <v>440.52623925652182</v>
      </c>
      <c r="FK81" s="60">
        <f t="shared" si="102"/>
        <v>272.91122662088918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15.142857142857142</v>
      </c>
      <c r="FZ81" s="13">
        <f>IF('Données projet'!$A$244&gt;35,FZ80+FY81-GH80,IF(A81&lt;'Données projet'!$A$244,$FW$205^A81,IF(A81='Données projet'!$A$244,'Données projet'!$B$244,FZ80+FY81-GH80)))</f>
        <v>480.85714285714317</v>
      </c>
      <c r="GA81" s="18">
        <f>FZ81*VLOOKUP('Données projet'!$B$17,Paramètres!$A$1:$I$89,3,0)*VLOOKUP('Données projet'!$B$17,Paramètres!$A$1:$I$89,5,0)</f>
        <v>225.041142857143</v>
      </c>
      <c r="GB81" s="14">
        <f t="shared" si="103"/>
        <v>55.209104329514197</v>
      </c>
      <c r="GC81" s="22">
        <f t="shared" si="79"/>
        <v>488.10251385009468</v>
      </c>
      <c r="GD81" s="60">
        <f t="shared" si="80"/>
        <v>781.435847183428</v>
      </c>
      <c r="GE81" s="60">
        <f ca="1">AVERAGE(OFFSET($GD$3,0,0,'Données projet'!$E$17+1,1))-AVERAGE(OFFSET($H$3,0,0,'Données projet'!$E$17+1,1))</f>
        <v>317.54276561627643</v>
      </c>
      <c r="GF81" s="60">
        <f t="shared" si="104"/>
        <v>238.92443174298893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>
        <f>GU81*VLOOKUP('Données projet'!$B$18,Paramètres!$A$1:$I$89,3,0)*VLOOKUP('Données projet'!$B$18,Paramètres!$A$1:$I$89,5,0)</f>
        <v>0</v>
      </c>
      <c r="GW81" s="14" t="e">
        <f t="shared" si="105"/>
        <v>#NUM!</v>
      </c>
      <c r="GX81" s="22" t="e">
        <f t="shared" si="82"/>
        <v>#NUM!</v>
      </c>
      <c r="GY81" s="60" t="e">
        <f t="shared" si="83"/>
        <v>#NUM!</v>
      </c>
      <c r="GZ81" s="60">
        <f ca="1">AVERAGE(OFFSET($GY$3,0,0,'Données projet'!$E$18+1,1))-AVERAGE(OFFSET($H$3,0,0,'Données projet'!$E$18+1,1))</f>
        <v>79.868679770907136</v>
      </c>
      <c r="HA81" s="60">
        <f t="shared" si="106"/>
        <v>370.47471103028312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24.014631335667453</v>
      </c>
      <c r="HH81" s="23">
        <f>EXP(-LN(2)/25)*HH80+(1-EXP(-LN(2)/25))/(LN(2)/25)*Calculateur!HC81*Calculateur!HE81*VLOOKUP('Données projet'!$B$18,Paramètres!$A$1:$I$89,3,0)*0.475*44/12</f>
        <v>3.9919940125584747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28.006625348225928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0">
        <f t="shared" si="55"/>
        <v>293.33333333333439</v>
      </c>
      <c r="S82" s="60">
        <f ca="1">AVERAGE(OFFSET($R$3,0,0,'Données projet'!$E$9+1,1))-AVERAGE(OFFSET($H$3,0,0,'Données projet'!$E$9+1,1))</f>
        <v>206.5885410269899</v>
      </c>
      <c r="T82" s="60">
        <f t="shared" si="88"/>
        <v>347.41156847586302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3.3992364478763198E-14</v>
      </c>
      <c r="AK82" s="14">
        <f t="shared" si="89"/>
        <v>5.790027782444094E-13</v>
      </c>
      <c r="AL82" s="22">
        <f t="shared" si="58"/>
        <v>1.0676332069095257E-12</v>
      </c>
      <c r="AM82" s="60">
        <f t="shared" si="59"/>
        <v>293.33333333333439</v>
      </c>
      <c r="AN82" s="60">
        <f ca="1">AVERAGE(OFFSET($AM$3,0,0,'Données projet'!$E$10+1,1))-AVERAGE(OFFSET($H$3,0,0,'Données projet'!$E$10+1,1))</f>
        <v>206.5885410269899</v>
      </c>
      <c r="AO82" s="60">
        <f t="shared" si="90"/>
        <v>347.41156847586302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41.451018779755536</v>
      </c>
      <c r="AV82" s="23">
        <f>EXP(-LN(2)/25)*AV81+(1-EXP(-LN(2)/25))/(LN(2)/25)*Calculateur!AQ82*Calculateur!AS82*VLOOKUP('Données projet'!$B$10,Paramètres!$A$1:$I$89,3,0)*0.475*44/12</f>
        <v>0.85926606573942299</v>
      </c>
      <c r="AW82" s="23">
        <f>EXP(-LN(2)/2)*AW81+(1-EXP(-LN(2)/2))/(LN(2)/2)*AQ82*AT82*VLOOKUP('Données projet'!$B$10,Paramètres!$A$1:$I$89,3,0)*0.475*44/12</f>
        <v>4.6425539196753168E-5</v>
      </c>
      <c r="AX82" s="23">
        <f t="shared" si="60"/>
        <v>42.310331271034158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256.00000000000011</v>
      </c>
      <c r="BE82" s="14">
        <f>BD82*VLOOKUP('Données projet'!$B$11,Paramètres!$A$1:$I$89,3,0)*VLOOKUP('Données projet'!$B$11,Paramètres!$A$1:$I$89,5,0)</f>
        <v>243.60960000000009</v>
      </c>
      <c r="BF82" s="14">
        <f t="shared" si="91"/>
        <v>59.21547748087886</v>
      </c>
      <c r="BG82" s="22">
        <f t="shared" si="61"/>
        <v>527.42034327919737</v>
      </c>
      <c r="BH82" s="60">
        <f t="shared" si="62"/>
        <v>820.75367661253063</v>
      </c>
      <c r="BI82" s="60">
        <f ca="1">AVERAGE(OFFSET($BH$3,0,0,'Données projet'!$E$11+1,1))-AVERAGE(OFFSET($H$3,0,0,'Données projet'!$E$11+1,1))</f>
        <v>389.12604446638119</v>
      </c>
      <c r="BJ82" s="60">
        <f t="shared" si="92"/>
        <v>243.23852967152732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256.00000000000011</v>
      </c>
      <c r="BZ82" s="14">
        <f>BY82*VLOOKUP('Données projet'!$B$12,Paramètres!$A$1:$I$89,3,0)*VLOOKUP('Données projet'!$B$12,Paramètres!$A$1:$I$89,5,0)</f>
        <v>231.62880000000007</v>
      </c>
      <c r="CA82" s="14">
        <f t="shared" si="93"/>
        <v>56.63472139815827</v>
      </c>
      <c r="CB82" s="22">
        <f t="shared" si="64"/>
        <v>502.05896643512574</v>
      </c>
      <c r="CC82" s="60">
        <f t="shared" si="65"/>
        <v>795.392299768459</v>
      </c>
      <c r="CD82" s="60">
        <f ca="1">AVERAGE(OFFSET($CC$3,0,0,'Données projet'!$E$12+1,1))-AVERAGE(OFFSET($H$3,0,0,'Données projet'!$E$12+1,1))</f>
        <v>371.95849973474657</v>
      </c>
      <c r="CE82" s="60">
        <f t="shared" si="94"/>
        <v>233.32640143610547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8.0648351926797111E-7</v>
      </c>
      <c r="CN82" s="24">
        <f t="shared" si="66"/>
        <v>8.0648351926797111E-7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256.00000000000011</v>
      </c>
      <c r="CU82" s="18">
        <f>CT82*VLOOKUP('Données projet'!$B$13,Paramètres!$A$1:$I$89,3,0)*VLOOKUP('Données projet'!$B$13,Paramètres!$A$1:$I$89,5,0)</f>
        <v>247.6032000000001</v>
      </c>
      <c r="CV82" s="14">
        <f t="shared" si="95"/>
        <v>60.072414804475414</v>
      </c>
      <c r="CW82" s="22">
        <f t="shared" si="67"/>
        <v>535.86836245112806</v>
      </c>
      <c r="CX82" s="60">
        <f t="shared" si="68"/>
        <v>829.20169578446144</v>
      </c>
      <c r="CY82" s="60">
        <f ca="1">AVERAGE(OFFSET($CX$3,0,0,'Données projet'!$E$13+1,1))-AVERAGE(OFFSET($H$3,0,0,'Données projet'!$E$13+1,1))</f>
        <v>394.8445842828649</v>
      </c>
      <c r="CZ82" s="60">
        <f t="shared" si="96"/>
        <v>246.54010105494143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8.6210307232093517E-7</v>
      </c>
      <c r="DI82" s="24">
        <f t="shared" si="69"/>
        <v>8.6210307232093517E-7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2.6</v>
      </c>
      <c r="DO82" s="13">
        <f>IF('Données projet'!$A$166&gt;35,DO81+DN82-DW81,IF(A82&lt;'Données projet'!$A$166,$DL$205^A82,IF(A82='Données projet'!$A$166,'Données projet'!$B$166,DO81+DN82-DW81)))</f>
        <v>185.40000000000003</v>
      </c>
      <c r="DP82" s="18">
        <f>DO82*VLOOKUP('Données projet'!$B$14,Paramètres!$A$1:$I$89,3,0)*VLOOKUP('Données projet'!$B$14,Paramètres!$A$1:$I$89,5,0)</f>
        <v>161.96544000000006</v>
      </c>
      <c r="DQ82" s="14">
        <f t="shared" si="97"/>
        <v>41.285510388923619</v>
      </c>
      <c r="DR82" s="22">
        <f t="shared" si="70"/>
        <v>353.99540526070876</v>
      </c>
      <c r="DS82" s="60">
        <f t="shared" si="71"/>
        <v>647.32873859404208</v>
      </c>
      <c r="DT82" s="60">
        <f ca="1">AVERAGE(OFFSET($DS$3,0,0,'Données projet'!$E$14+1,1))-AVERAGE(OFFSET($H$3,0,0,'Données projet'!$E$14+1,1))</f>
        <v>266.98113257513319</v>
      </c>
      <c r="DU82" s="60">
        <f t="shared" si="98"/>
        <v>275.73257102713393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2.8617074526388775</v>
      </c>
      <c r="EC82" s="23">
        <f>EXP(-LN(2)/2)*EC81+(1-EXP(-LN(2)/2))/(LN(2)/2)*DW82*DZ82*VLOOKUP('Données projet'!$B$14,Paramètres!$A$1:$I$89,3,0)*0.475*44/12</f>
        <v>4.411341365792717E-7</v>
      </c>
      <c r="ED82" s="24">
        <f t="shared" si="72"/>
        <v>2.8617078937730143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6</v>
      </c>
      <c r="EJ82" s="13">
        <f>IF('Données projet'!$A$192&gt;35,EJ81+EI82-ER81,IF(A82&lt;'Données projet'!$A$192,$EG$205^A82,IF(A82='Données projet'!$A$192,'Données projet'!$B$192,EJ81+EI82-ER81)))</f>
        <v>256.00000000000011</v>
      </c>
      <c r="EK82" s="18">
        <f>EJ82*VLOOKUP('Données projet'!$B$15,Paramètres!$A$1:$I$89,3,0)*VLOOKUP('Données projet'!$B$15,Paramètres!$A$1:$I$89,5,0)</f>
        <v>291.53280000000012</v>
      </c>
      <c r="EL82" s="14">
        <f t="shared" si="99"/>
        <v>69.398466273869005</v>
      </c>
      <c r="EM82" s="22">
        <f t="shared" si="73"/>
        <v>628.62195542698873</v>
      </c>
      <c r="EN82" s="60">
        <f t="shared" si="74"/>
        <v>921.95528876032199</v>
      </c>
      <c r="EO82" s="60">
        <f ca="1">AVERAGE(OFFSET($EN$3,0,0,'Données projet'!$E$15+1,1))-AVERAGE(OFFSET($H$3,0,0,'Données projet'!$E$15+1,1))</f>
        <v>457.62828850677369</v>
      </c>
      <c r="EP82" s="60">
        <f t="shared" si="100"/>
        <v>282.78263556175563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6</v>
      </c>
      <c r="FE82" s="13">
        <f>IF('Données projet'!$A$218&gt;35,FE81+FD82-FM81,IF(A82&lt;'Données projet'!$A$218,$FB$205^A82,IF(A82='Données projet'!$A$218,'Données projet'!$B$218,FE81+FD82-FM81)))</f>
        <v>256.00000000000011</v>
      </c>
      <c r="FF82" s="18">
        <f>FE82*VLOOKUP('Données projet'!$B$16,Paramètres!$A$1:$I$89,3,0)*VLOOKUP('Données projet'!$B$16,Paramètres!$A$1:$I$89,5,0)</f>
        <v>279.55200000000013</v>
      </c>
      <c r="FG82" s="14">
        <f t="shared" si="101"/>
        <v>66.872324781216591</v>
      </c>
      <c r="FH82" s="22">
        <f t="shared" si="76"/>
        <v>603.3556989939525</v>
      </c>
      <c r="FI82" s="60">
        <f t="shared" si="77"/>
        <v>896.68903232728576</v>
      </c>
      <c r="FJ82" s="60">
        <f ca="1">AVERAGE(OFFSET($FI$3,0,0,'Données projet'!$E$16+1,1))-AVERAGE(OFFSET($H$3,0,0,'Données projet'!$E$16+1,1))</f>
        <v>440.52623925652182</v>
      </c>
      <c r="FK82" s="60">
        <f t="shared" si="102"/>
        <v>272.91122662088918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>
        <f>VLOOKUP(A82,'Données projet'!$A$243:$I$263,2,0)</f>
        <v>496</v>
      </c>
      <c r="FX82" s="13">
        <f>VLOOKUP(A82,'Données projet'!$A$243:$I$263,9,0)</f>
        <v>15.142857142857142</v>
      </c>
      <c r="FY82" s="13">
        <f t="array" ref="FY82">INDEX(FX:FX,MIN(IF(ISNUMBER(FX82:FX278),ROW(FX82:FX278),"")))</f>
        <v>15.142857142857142</v>
      </c>
      <c r="FZ82" s="13">
        <f>IF('Données projet'!$A$244&gt;35,FZ81+FY82-GH81,IF(A82&lt;'Données projet'!$A$244,$FW$205^A82,IF(A82='Données projet'!$A$244,'Données projet'!$B$244,FZ81+FY82-GH81)))</f>
        <v>496.00000000000034</v>
      </c>
      <c r="GA82" s="18">
        <f>FZ82*VLOOKUP('Données projet'!$B$17,Paramètres!$A$1:$I$89,3,0)*VLOOKUP('Données projet'!$B$17,Paramètres!$A$1:$I$89,5,0)</f>
        <v>232.12800000000016</v>
      </c>
      <c r="GB82" s="14">
        <f t="shared" si="103"/>
        <v>56.742557967082448</v>
      </c>
      <c r="GC82" s="22">
        <f t="shared" si="79"/>
        <v>503.11622179266891</v>
      </c>
      <c r="GD82" s="60">
        <f t="shared" si="80"/>
        <v>796.44955512600222</v>
      </c>
      <c r="GE82" s="60">
        <f ca="1">AVERAGE(OFFSET($GD$3,0,0,'Données projet'!$E$17+1,1))-AVERAGE(OFFSET($H$3,0,0,'Données projet'!$E$17+1,1))</f>
        <v>317.54276561627643</v>
      </c>
      <c r="GF82" s="60">
        <f t="shared" si="104"/>
        <v>238.92443174298893</v>
      </c>
      <c r="GG82" s="16">
        <f>IF(ISNA(VLOOKUP(A82,'Données projet'!$A$243:$I$263,3,0)),0,VLOOKUP(A82,'Données projet'!$A$243:$I$263,3,0))</f>
        <v>13</v>
      </c>
      <c r="GH82" s="16">
        <f>IF(ISNA(VLOOKUP(A82,'Données projet'!$A$243:$I$263,4,0)),0,VLOOKUP(A82,'Données projet'!$A$243:$I$263,4,0))</f>
        <v>88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>
        <f>GU82*VLOOKUP('Données projet'!$B$18,Paramètres!$A$1:$I$89,3,0)*VLOOKUP('Données projet'!$B$18,Paramètres!$A$1:$I$89,5,0)</f>
        <v>0</v>
      </c>
      <c r="GW82" s="14" t="e">
        <f t="shared" si="105"/>
        <v>#NUM!</v>
      </c>
      <c r="GX82" s="22" t="e">
        <f t="shared" si="82"/>
        <v>#NUM!</v>
      </c>
      <c r="GY82" s="60" t="e">
        <f t="shared" si="83"/>
        <v>#NUM!</v>
      </c>
      <c r="GZ82" s="60">
        <f ca="1">AVERAGE(OFFSET($GY$3,0,0,'Données projet'!$E$18+1,1))-AVERAGE(OFFSET($H$3,0,0,'Données projet'!$E$18+1,1))</f>
        <v>79.868679770907136</v>
      </c>
      <c r="HA82" s="60">
        <f t="shared" si="106"/>
        <v>370.47471103028312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23.54371906265381</v>
      </c>
      <c r="HH82" s="23">
        <f>EXP(-LN(2)/25)*HH81+(1-EXP(-LN(2)/25))/(LN(2)/25)*Calculateur!HC82*Calculateur!HE82*VLOOKUP('Données projet'!$B$18,Paramètres!$A$1:$I$89,3,0)*0.475*44/12</f>
        <v>3.8828327263552218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27.426551789009032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0">
        <f t="shared" si="55"/>
        <v>293.33333333333439</v>
      </c>
      <c r="S83" s="60">
        <f ca="1">AVERAGE(OFFSET($R$3,0,0,'Données projet'!$E$9+1,1))-AVERAGE(OFFSET($H$3,0,0,'Données projet'!$E$9+1,1))</f>
        <v>206.5885410269899</v>
      </c>
      <c r="T83" s="60">
        <f t="shared" si="88"/>
        <v>347.41156847586302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3.3992364478763198E-14</v>
      </c>
      <c r="AK83" s="14">
        <f t="shared" si="89"/>
        <v>5.790027782444094E-13</v>
      </c>
      <c r="AL83" s="22">
        <f t="shared" si="58"/>
        <v>1.0676332069095257E-12</v>
      </c>
      <c r="AM83" s="60">
        <f t="shared" si="59"/>
        <v>293.33333333333439</v>
      </c>
      <c r="AN83" s="60">
        <f ca="1">AVERAGE(OFFSET($AM$3,0,0,'Données projet'!$E$10+1,1))-AVERAGE(OFFSET($H$3,0,0,'Données projet'!$E$10+1,1))</f>
        <v>206.5885410269899</v>
      </c>
      <c r="AO83" s="60">
        <f t="shared" si="90"/>
        <v>347.41156847586302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40.638189584109533</v>
      </c>
      <c r="AV83" s="23">
        <f>EXP(-LN(2)/25)*AV82+(1-EXP(-LN(2)/25))/(LN(2)/25)*Calculateur!AQ83*Calculateur!AS83*VLOOKUP('Données projet'!$B$10,Paramètres!$A$1:$I$89,3,0)*0.475*44/12</f>
        <v>0.83576938998493999</v>
      </c>
      <c r="AW83" s="23">
        <f>EXP(-LN(2)/2)*AW82+(1-EXP(-LN(2)/2))/(LN(2)/2)*AQ83*AT83*VLOOKUP('Données projet'!$B$10,Paramètres!$A$1:$I$89,3,0)*0.475*44/12</f>
        <v>3.2827813586266028E-5</v>
      </c>
      <c r="AX83" s="23">
        <f t="shared" si="60"/>
        <v>41.473991801908056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262.00000000000011</v>
      </c>
      <c r="BE83" s="14">
        <f>BD83*VLOOKUP('Données projet'!$B$11,Paramètres!$A$1:$I$89,3,0)*VLOOKUP('Données projet'!$B$11,Paramètres!$A$1:$I$89,5,0)</f>
        <v>249.31920000000014</v>
      </c>
      <c r="BF83" s="14">
        <f t="shared" si="91"/>
        <v>60.440134650185556</v>
      </c>
      <c r="BG83" s="22">
        <f t="shared" si="61"/>
        <v>539.49750784907337</v>
      </c>
      <c r="BH83" s="60">
        <f t="shared" si="62"/>
        <v>832.83084118240663</v>
      </c>
      <c r="BI83" s="60">
        <f ca="1">AVERAGE(OFFSET($BH$3,0,0,'Données projet'!$E$11+1,1))-AVERAGE(OFFSET($H$3,0,0,'Données projet'!$E$11+1,1))</f>
        <v>389.12604446638119</v>
      </c>
      <c r="BJ83" s="60">
        <f t="shared" si="92"/>
        <v>243.23852967152732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262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262.00000000000011</v>
      </c>
      <c r="BZ83" s="14">
        <f>BY83*VLOOKUP('Données projet'!$B$12,Paramètres!$A$1:$I$89,3,0)*VLOOKUP('Données projet'!$B$12,Paramètres!$A$1:$I$89,5,0)</f>
        <v>237.05760000000012</v>
      </c>
      <c r="CA83" s="14">
        <f t="shared" si="93"/>
        <v>57.806004997354698</v>
      </c>
      <c r="CB83" s="22">
        <f t="shared" si="64"/>
        <v>513.55411203705955</v>
      </c>
      <c r="CC83" s="60">
        <f t="shared" si="65"/>
        <v>806.88744537039292</v>
      </c>
      <c r="CD83" s="60">
        <f ca="1">AVERAGE(OFFSET($CC$3,0,0,'Données projet'!$E$12+1,1))-AVERAGE(OFFSET($H$3,0,0,'Données projet'!$E$12+1,1))</f>
        <v>371.95849973474657</v>
      </c>
      <c r="CE83" s="60">
        <f t="shared" si="94"/>
        <v>233.32640143610547</v>
      </c>
      <c r="CF83" s="16">
        <f>IF(ISNA(VLOOKUP(A83,'Données projet'!$A$113:$I$133,3,0)),0,VLOOKUP(A83,'Données projet'!$A$113:$I$133,3,0))</f>
        <v>12</v>
      </c>
      <c r="CG83" s="16">
        <f>IF(ISNA(VLOOKUP(A83,'Données projet'!$A$113:$I$133,4,0)),0,VLOOKUP(A83,'Données projet'!$A$113:$I$133,4,0))</f>
        <v>21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5.7026996538957403E-7</v>
      </c>
      <c r="CN83" s="24">
        <f t="shared" si="66"/>
        <v>5.7026996538957403E-7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262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262.00000000000011</v>
      </c>
      <c r="CU83" s="18">
        <f>CT83*VLOOKUP('Données projet'!$B$13,Paramètres!$A$1:$I$89,3,0)*VLOOKUP('Données projet'!$B$13,Paramètres!$A$1:$I$89,5,0)</f>
        <v>253.40640000000013</v>
      </c>
      <c r="CV83" s="14">
        <f t="shared" si="95"/>
        <v>61.314794611201144</v>
      </c>
      <c r="CW83" s="22">
        <f t="shared" si="67"/>
        <v>548.13941394784217</v>
      </c>
      <c r="CX83" s="60">
        <f t="shared" si="68"/>
        <v>841.47274728117554</v>
      </c>
      <c r="CY83" s="60">
        <f ca="1">AVERAGE(OFFSET($CX$3,0,0,'Données projet'!$E$13+1,1))-AVERAGE(OFFSET($H$3,0,0,'Données projet'!$E$13+1,1))</f>
        <v>394.8445842828649</v>
      </c>
      <c r="CZ83" s="60">
        <f t="shared" si="96"/>
        <v>246.54010105494143</v>
      </c>
      <c r="DA83" s="16">
        <f>IF(ISNA(VLOOKUP(A83,'Données projet'!$A$139:$I$159,3,0)),0,VLOOKUP(A83,'Données projet'!$A$139:$I$159,3,0))</f>
        <v>12</v>
      </c>
      <c r="DB83" s="16">
        <f>IF(ISNA(VLOOKUP(A83,'Données projet'!$A$139:$I$159,4,0)),0,VLOOKUP(A83,'Données projet'!$A$139:$I$159,4,0))</f>
        <v>21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6.0959892851988985E-7</v>
      </c>
      <c r="DI83" s="24">
        <f t="shared" si="69"/>
        <v>6.0959892851988985E-7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188</v>
      </c>
      <c r="DM83" s="13">
        <f>VLOOKUP(A83,'Données projet'!$A$165:$I$185,9,0)</f>
        <v>2.6</v>
      </c>
      <c r="DN83" s="13">
        <f t="array" ref="DN83">INDEX(DM:DM,MIN(IF(ISNUMBER(DM83:DM279),ROW(DM83:DM279),"")))</f>
        <v>2.6</v>
      </c>
      <c r="DO83" s="13">
        <f>IF('Données projet'!$A$166&gt;35,DO82+DN83-DW82,IF(A83&lt;'Données projet'!$A$166,$DL$205^A83,IF(A83='Données projet'!$A$166,'Données projet'!$B$166,DO82+DN83-DW82)))</f>
        <v>188.00000000000003</v>
      </c>
      <c r="DP83" s="18">
        <f>DO83*VLOOKUP('Données projet'!$B$14,Paramètres!$A$1:$I$89,3,0)*VLOOKUP('Données projet'!$B$14,Paramètres!$A$1:$I$89,5,0)</f>
        <v>164.23680000000004</v>
      </c>
      <c r="DQ83" s="14">
        <f t="shared" si="97"/>
        <v>41.796679041964353</v>
      </c>
      <c r="DR83" s="22">
        <f t="shared" si="70"/>
        <v>358.8416426647546</v>
      </c>
      <c r="DS83" s="60">
        <f t="shared" si="71"/>
        <v>652.17497599808792</v>
      </c>
      <c r="DT83" s="60">
        <f ca="1">AVERAGE(OFFSET($DS$3,0,0,'Données projet'!$E$14+1,1))-AVERAGE(OFFSET($H$3,0,0,'Données projet'!$E$14+1,1))</f>
        <v>266.98113257513319</v>
      </c>
      <c r="DU83" s="60">
        <f t="shared" si="98"/>
        <v>275.73257102713393</v>
      </c>
      <c r="DV83" s="16">
        <f>IF(ISNA(VLOOKUP(A83,'Données projet'!$A$165:$I$185,3,0)),0,VLOOKUP(A83,'Données projet'!$A$165:$I$185,3,0))</f>
        <v>13</v>
      </c>
      <c r="DW83" s="16">
        <f>IF(ISNA(VLOOKUP(A83,'Données projet'!$A$165:$I$185,4,0)),0,VLOOKUP(A83,'Données projet'!$A$165:$I$185,4,0))</f>
        <v>9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2.7834539118558128</v>
      </c>
      <c r="EC83" s="23">
        <f>EXP(-LN(2)/2)*EC82+(1-EXP(-LN(2)/2))/(LN(2)/2)*DW83*DZ83*VLOOKUP('Données projet'!$B$14,Paramètres!$A$1:$I$89,3,0)*0.475*44/12</f>
        <v>3.1192893938807564E-7</v>
      </c>
      <c r="ED83" s="24">
        <f t="shared" si="72"/>
        <v>2.7834542237847524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262</v>
      </c>
      <c r="EH83" s="13">
        <f>VLOOKUP(A83,'Données projet'!$A$191:$I$211,9,0)</f>
        <v>6</v>
      </c>
      <c r="EI83" s="13">
        <f t="array" ref="EI83">INDEX(EH:EH,MIN(IF(ISNUMBER(EH83:EH279),ROW(EH83:EH279),"")))</f>
        <v>6</v>
      </c>
      <c r="EJ83" s="13">
        <f>IF('Données projet'!$A$192&gt;35,EJ82+EI83-ER82,IF(A83&lt;'Données projet'!$A$192,$EG$205^A83,IF(A83='Données projet'!$A$192,'Données projet'!$B$192,EJ82+EI83-ER82)))</f>
        <v>262.00000000000011</v>
      </c>
      <c r="EK83" s="18">
        <f>EJ83*VLOOKUP('Données projet'!$B$15,Paramètres!$A$1:$I$89,3,0)*VLOOKUP('Données projet'!$B$15,Paramètres!$A$1:$I$89,5,0)</f>
        <v>298.36560000000014</v>
      </c>
      <c r="EL83" s="14">
        <f t="shared" si="99"/>
        <v>70.833721596915623</v>
      </c>
      <c r="EM83" s="22">
        <f t="shared" si="73"/>
        <v>643.02215178129484</v>
      </c>
      <c r="EN83" s="60">
        <f t="shared" si="74"/>
        <v>936.35548511462821</v>
      </c>
      <c r="EO83" s="60">
        <f ca="1">AVERAGE(OFFSET($EN$3,0,0,'Données projet'!$E$15+1,1))-AVERAGE(OFFSET($H$3,0,0,'Données projet'!$E$15+1,1))</f>
        <v>457.62828850677369</v>
      </c>
      <c r="EP83" s="60">
        <f t="shared" si="100"/>
        <v>282.78263556175563</v>
      </c>
      <c r="EQ83" s="16">
        <f>IF(ISNA(VLOOKUP(A83,'Données projet'!$A$191:$I$211,3,0)),0,VLOOKUP(A83,'Données projet'!$A$191:$I$211,3,0))</f>
        <v>12</v>
      </c>
      <c r="ER83" s="16">
        <f>IF(ISNA(VLOOKUP(A83,'Données projet'!$A$191:$I$211,4,0)),0,VLOOKUP(A83,'Données projet'!$A$191:$I$211,4,0))</f>
        <v>21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262</v>
      </c>
      <c r="FC83" s="13">
        <f>VLOOKUP(A83,'Données projet'!$A$217:$I$237,9,0)</f>
        <v>6</v>
      </c>
      <c r="FD83" s="13">
        <f t="array" ref="FD83">INDEX(FC:FC,MIN(IF(ISNUMBER(FC83:FC279),ROW(FC83:FC279),"")))</f>
        <v>6</v>
      </c>
      <c r="FE83" s="13">
        <f>IF('Données projet'!$A$218&gt;35,FE82+FD83-FM82,IF(A83&lt;'Données projet'!$A$218,$FB$205^A83,IF(A83='Données projet'!$A$218,'Données projet'!$B$218,FE82+FD83-FM82)))</f>
        <v>262.00000000000011</v>
      </c>
      <c r="FF83" s="18">
        <f>FE83*VLOOKUP('Données projet'!$B$16,Paramètres!$A$1:$I$89,3,0)*VLOOKUP('Données projet'!$B$16,Paramètres!$A$1:$I$89,5,0)</f>
        <v>286.1040000000001</v>
      </c>
      <c r="FG83" s="14">
        <f t="shared" si="101"/>
        <v>68.255336038669796</v>
      </c>
      <c r="FH83" s="22">
        <f t="shared" si="76"/>
        <v>617.17584360068338</v>
      </c>
      <c r="FI83" s="60">
        <f t="shared" si="77"/>
        <v>910.50917693401675</v>
      </c>
      <c r="FJ83" s="60">
        <f ca="1">AVERAGE(OFFSET($FI$3,0,0,'Données projet'!$E$16+1,1))-AVERAGE(OFFSET($H$3,0,0,'Données projet'!$E$16+1,1))</f>
        <v>440.52623925652182</v>
      </c>
      <c r="FK83" s="60">
        <f t="shared" si="102"/>
        <v>272.91122662088918</v>
      </c>
      <c r="FL83" s="16">
        <f>IF(ISNA(VLOOKUP(A83,'Données projet'!$A$217:$I$237,3,0)),0,VLOOKUP(A83,'Données projet'!$A$217:$I$237,3,0))</f>
        <v>12</v>
      </c>
      <c r="FM83" s="16">
        <f>IF(ISNA(VLOOKUP(A83,'Données projet'!$A$217:$I$237,4,0)),0,VLOOKUP(A83,'Données projet'!$A$217:$I$237,4,0))</f>
        <v>21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423</v>
      </c>
      <c r="FX83" s="13">
        <f>VLOOKUP(A83,'Données projet'!$A$243:$I$263,9,0)</f>
        <v>15</v>
      </c>
      <c r="FY83" s="13">
        <f t="array" ref="FY83">INDEX(FX:FX,MIN(IF(ISNUMBER(FX83:FX279),ROW(FX83:FX279),"")))</f>
        <v>15</v>
      </c>
      <c r="FZ83" s="13">
        <f>IF('Données projet'!$A$244&gt;35,FZ82+FY83-GH82,IF(A83&lt;'Données projet'!$A$244,$FW$205^A83,IF(A83='Données projet'!$A$244,'Données projet'!$B$244,FZ82+FY83-GH82)))</f>
        <v>423.00000000000034</v>
      </c>
      <c r="GA83" s="18">
        <f>FZ83*VLOOKUP('Données projet'!$B$17,Paramètres!$A$1:$I$89,3,0)*VLOOKUP('Données projet'!$B$17,Paramètres!$A$1:$I$89,5,0)</f>
        <v>197.96400000000017</v>
      </c>
      <c r="GB83" s="14">
        <f t="shared" si="103"/>
        <v>49.296450435147804</v>
      </c>
      <c r="GC83" s="22">
        <f t="shared" si="79"/>
        <v>430.64528450788265</v>
      </c>
      <c r="GD83" s="60">
        <f t="shared" si="80"/>
        <v>723.97861784121596</v>
      </c>
      <c r="GE83" s="60">
        <f ca="1">AVERAGE(OFFSET($GD$3,0,0,'Données projet'!$E$17+1,1))-AVERAGE(OFFSET($H$3,0,0,'Données projet'!$E$17+1,1))</f>
        <v>317.54276561627643</v>
      </c>
      <c r="GF83" s="60">
        <f t="shared" si="104"/>
        <v>238.92443174298893</v>
      </c>
      <c r="GG83" s="16">
        <f>IF(ISNA(VLOOKUP(A83,'Données projet'!$A$243:$I$263,3,0)),0,VLOOKUP(A83,'Données projet'!$A$243:$I$263,3,0))</f>
        <v>14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>
        <f>GU83*VLOOKUP('Données projet'!$B$18,Paramètres!$A$1:$I$89,3,0)*VLOOKUP('Données projet'!$B$18,Paramètres!$A$1:$I$89,5,0)</f>
        <v>0</v>
      </c>
      <c r="GW83" s="14" t="e">
        <f t="shared" si="105"/>
        <v>#NUM!</v>
      </c>
      <c r="GX83" s="22" t="e">
        <f t="shared" si="82"/>
        <v>#NUM!</v>
      </c>
      <c r="GY83" s="60" t="e">
        <f t="shared" si="83"/>
        <v>#NUM!</v>
      </c>
      <c r="GZ83" s="60">
        <f ca="1">AVERAGE(OFFSET($GY$3,0,0,'Données projet'!$E$18+1,1))-AVERAGE(OFFSET($H$3,0,0,'Données projet'!$E$18+1,1))</f>
        <v>79.868679770907136</v>
      </c>
      <c r="HA83" s="60">
        <f t="shared" si="106"/>
        <v>370.47471103028312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23.082041092085841</v>
      </c>
      <c r="HH83" s="23">
        <f>EXP(-LN(2)/25)*HH82+(1-EXP(-LN(2)/25))/(LN(2)/25)*Calculateur!HC83*Calculateur!HE83*VLOOKUP('Données projet'!$B$18,Paramètres!$A$1:$I$89,3,0)*0.475*44/12</f>
        <v>3.7766564612637397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26.858697553349582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0">
        <f t="shared" si="55"/>
        <v>293.33333333333439</v>
      </c>
      <c r="S84" s="60">
        <f ca="1">AVERAGE(OFFSET($R$3,0,0,'Données projet'!$E$9+1,1))-AVERAGE(OFFSET($H$3,0,0,'Données projet'!$E$9+1,1))</f>
        <v>206.5885410269899</v>
      </c>
      <c r="T84" s="60">
        <f t="shared" si="88"/>
        <v>347.41156847586302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3.3992364478763198E-14</v>
      </c>
      <c r="AK84" s="14">
        <f t="shared" si="89"/>
        <v>5.790027782444094E-13</v>
      </c>
      <c r="AL84" s="22">
        <f t="shared" si="58"/>
        <v>1.0676332069095257E-12</v>
      </c>
      <c r="AM84" s="60">
        <f t="shared" si="59"/>
        <v>293.33333333333439</v>
      </c>
      <c r="AN84" s="60">
        <f ca="1">AVERAGE(OFFSET($AM$3,0,0,'Données projet'!$E$10+1,1))-AVERAGE(OFFSET($H$3,0,0,'Données projet'!$E$10+1,1))</f>
        <v>206.5885410269899</v>
      </c>
      <c r="AO84" s="60">
        <f t="shared" si="90"/>
        <v>347.41156847586302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39.84129947321329</v>
      </c>
      <c r="AV84" s="23">
        <f>EXP(-LN(2)/25)*AV83+(1-EXP(-LN(2)/25))/(LN(2)/25)*Calculateur!AQ84*Calculateur!AS84*VLOOKUP('Données projet'!$B$10,Paramètres!$A$1:$I$89,3,0)*0.475*44/12</f>
        <v>0.81291523206459981</v>
      </c>
      <c r="AW84" s="23">
        <f>EXP(-LN(2)/2)*AW83+(1-EXP(-LN(2)/2))/(LN(2)/2)*AQ84*AT84*VLOOKUP('Données projet'!$B$10,Paramètres!$A$1:$I$89,3,0)*0.475*44/12</f>
        <v>2.3212769598376584E-5</v>
      </c>
      <c r="AX84" s="23">
        <f t="shared" si="60"/>
        <v>40.654237918047485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246.60000000000014</v>
      </c>
      <c r="BE84" s="14">
        <f>BD84*VLOOKUP('Données projet'!$B$11,Paramètres!$A$1:$I$89,3,0)*VLOOKUP('Données projet'!$B$11,Paramètres!$A$1:$I$89,5,0)</f>
        <v>234.66456000000011</v>
      </c>
      <c r="BF84" s="14">
        <f t="shared" si="91"/>
        <v>57.290086878049642</v>
      </c>
      <c r="BG84" s="22">
        <f t="shared" si="61"/>
        <v>508.48767664593657</v>
      </c>
      <c r="BH84" s="60">
        <f t="shared" si="62"/>
        <v>801.82100997926989</v>
      </c>
      <c r="BI84" s="60">
        <f ca="1">AVERAGE(OFFSET($BH$3,0,0,'Données projet'!$E$11+1,1))-AVERAGE(OFFSET($H$3,0,0,'Données projet'!$E$11+1,1))</f>
        <v>389.12604446638119</v>
      </c>
      <c r="BJ84" s="60">
        <f t="shared" si="92"/>
        <v>243.23852967152732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246.60000000000014</v>
      </c>
      <c r="BZ84" s="14">
        <f>BY84*VLOOKUP('Données projet'!$B$12,Paramètres!$A$1:$I$89,3,0)*VLOOKUP('Données projet'!$B$12,Paramètres!$A$1:$I$89,5,0)</f>
        <v>223.12368000000012</v>
      </c>
      <c r="CA84" s="14">
        <f t="shared" si="93"/>
        <v>54.793244051140647</v>
      </c>
      <c r="CB84" s="22">
        <f t="shared" si="64"/>
        <v>484.03864272240349</v>
      </c>
      <c r="CC84" s="60">
        <f t="shared" si="65"/>
        <v>777.37197605573681</v>
      </c>
      <c r="CD84" s="60">
        <f ca="1">AVERAGE(OFFSET($CC$3,0,0,'Données projet'!$E$12+1,1))-AVERAGE(OFFSET($H$3,0,0,'Données projet'!$E$12+1,1))</f>
        <v>371.95849973474657</v>
      </c>
      <c r="CE84" s="60">
        <f t="shared" si="94"/>
        <v>233.32640143610547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4.0324175963398556E-7</v>
      </c>
      <c r="CN84" s="24">
        <f t="shared" si="66"/>
        <v>4.0324175963398556E-7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246.60000000000014</v>
      </c>
      <c r="CU84" s="18">
        <f>CT84*VLOOKUP('Données projet'!$B$13,Paramètres!$A$1:$I$89,3,0)*VLOOKUP('Données projet'!$B$13,Paramètres!$A$1:$I$89,5,0)</f>
        <v>238.51152000000013</v>
      </c>
      <c r="CV84" s="14">
        <f t="shared" si="95"/>
        <v>58.119160893939195</v>
      </c>
      <c r="CW84" s="22">
        <f t="shared" si="67"/>
        <v>516.63176922361095</v>
      </c>
      <c r="CX84" s="60">
        <f t="shared" si="68"/>
        <v>809.9651025569442</v>
      </c>
      <c r="CY84" s="60">
        <f ca="1">AVERAGE(OFFSET($CX$3,0,0,'Données projet'!$E$13+1,1))-AVERAGE(OFFSET($H$3,0,0,'Données projet'!$E$13+1,1))</f>
        <v>394.8445842828649</v>
      </c>
      <c r="CZ84" s="60">
        <f t="shared" si="96"/>
        <v>246.54010105494143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4.3105153616046758E-7</v>
      </c>
      <c r="DI84" s="24">
        <f t="shared" si="69"/>
        <v>4.3105153616046758E-7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2.4</v>
      </c>
      <c r="DO84" s="13">
        <f>IF('Données projet'!$A$166&gt;35,DO83+DN84-DW83,IF(A84&lt;'Données projet'!$A$166,$DL$205^A84,IF(A84='Données projet'!$A$166,'Données projet'!$B$166,DO83+DN84-DW83)))</f>
        <v>181.40000000000003</v>
      </c>
      <c r="DP84" s="18">
        <f>DO84*VLOOKUP('Données projet'!$B$14,Paramètres!$A$1:$I$89,3,0)*VLOOKUP('Données projet'!$B$14,Paramètres!$A$1:$I$89,5,0)</f>
        <v>158.47104000000004</v>
      </c>
      <c r="DQ84" s="14">
        <f t="shared" si="97"/>
        <v>40.497461727609561</v>
      </c>
      <c r="DR84" s="22">
        <f t="shared" si="70"/>
        <v>346.53680717558672</v>
      </c>
      <c r="DS84" s="60">
        <f t="shared" si="71"/>
        <v>639.87014050892003</v>
      </c>
      <c r="DT84" s="60">
        <f ca="1">AVERAGE(OFFSET($DS$3,0,0,'Données projet'!$E$14+1,1))-AVERAGE(OFFSET($H$3,0,0,'Données projet'!$E$14+1,1))</f>
        <v>266.98113257513319</v>
      </c>
      <c r="DU84" s="60">
        <f t="shared" si="98"/>
        <v>275.73257102713393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2.7073402182606361</v>
      </c>
      <c r="EC84" s="23">
        <f>EXP(-LN(2)/2)*EC83+(1-EXP(-LN(2)/2))/(LN(2)/2)*DW84*DZ84*VLOOKUP('Données projet'!$B$14,Paramètres!$A$1:$I$89,3,0)*0.475*44/12</f>
        <v>2.2056706828963585E-7</v>
      </c>
      <c r="ED84" s="24">
        <f t="shared" si="72"/>
        <v>2.7073404388277043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5.6</v>
      </c>
      <c r="EJ84" s="13">
        <f>IF('Données projet'!$A$192&gt;35,EJ83+EI84-ER83,IF(A84&lt;'Données projet'!$A$192,$EG$205^A84,IF(A84='Données projet'!$A$192,'Données projet'!$B$192,EJ83+EI84-ER83)))</f>
        <v>246.60000000000014</v>
      </c>
      <c r="EK84" s="18">
        <f>EJ84*VLOOKUP('Données projet'!$B$15,Paramètres!$A$1:$I$89,3,0)*VLOOKUP('Données projet'!$B$15,Paramètres!$A$1:$I$89,5,0)</f>
        <v>280.82808000000017</v>
      </c>
      <c r="EL84" s="14">
        <f t="shared" si="99"/>
        <v>67.141975901776362</v>
      </c>
      <c r="EM84" s="22">
        <f t="shared" si="73"/>
        <v>606.04784736226065</v>
      </c>
      <c r="EN84" s="60">
        <f t="shared" si="74"/>
        <v>899.38118069559391</v>
      </c>
      <c r="EO84" s="60">
        <f ca="1">AVERAGE(OFFSET($EN$3,0,0,'Données projet'!$E$15+1,1))-AVERAGE(OFFSET($H$3,0,0,'Données projet'!$E$15+1,1))</f>
        <v>457.62828850677369</v>
      </c>
      <c r="EP84" s="60">
        <f t="shared" si="100"/>
        <v>282.78263556175563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5.6</v>
      </c>
      <c r="FE84" s="13">
        <f>IF('Données projet'!$A$218&gt;35,FE83+FD84-FM83,IF(A84&lt;'Données projet'!$A$218,$FB$205^A84,IF(A84='Données projet'!$A$218,'Données projet'!$B$218,FE83+FD84-FM83)))</f>
        <v>246.60000000000014</v>
      </c>
      <c r="FF84" s="18">
        <f>FE84*VLOOKUP('Données projet'!$B$16,Paramètres!$A$1:$I$89,3,0)*VLOOKUP('Données projet'!$B$16,Paramètres!$A$1:$I$89,5,0)</f>
        <v>269.28720000000015</v>
      </c>
      <c r="FG84" s="14">
        <f t="shared" si="101"/>
        <v>64.697971872136733</v>
      </c>
      <c r="FH84" s="22">
        <f t="shared" si="76"/>
        <v>581.69084101063834</v>
      </c>
      <c r="FI84" s="60">
        <f t="shared" si="77"/>
        <v>875.02417434397171</v>
      </c>
      <c r="FJ84" s="60">
        <f ca="1">AVERAGE(OFFSET($FI$3,0,0,'Données projet'!$E$16+1,1))-AVERAGE(OFFSET($H$3,0,0,'Données projet'!$E$16+1,1))</f>
        <v>440.52623925652182</v>
      </c>
      <c r="FK84" s="60">
        <f t="shared" si="102"/>
        <v>272.91122662088918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14.142857142857142</v>
      </c>
      <c r="FZ84" s="13">
        <f>IF('Données projet'!$A$244&gt;35,FZ83+FY84-GH83,IF(A84&lt;'Données projet'!$A$244,$FW$205^A84,IF(A84='Données projet'!$A$244,'Données projet'!$B$244,FZ83+FY84-GH83)))</f>
        <v>437.14285714285751</v>
      </c>
      <c r="GA84" s="18">
        <f>FZ84*VLOOKUP('Données projet'!$B$17,Paramètres!$A$1:$I$89,3,0)*VLOOKUP('Données projet'!$B$17,Paramètres!$A$1:$I$89,5,0)</f>
        <v>204.58285714285734</v>
      </c>
      <c r="GB84" s="14">
        <f t="shared" si="103"/>
        <v>50.750009154879976</v>
      </c>
      <c r="GC84" s="22">
        <f t="shared" si="79"/>
        <v>444.70474213522584</v>
      </c>
      <c r="GD84" s="60">
        <f t="shared" si="80"/>
        <v>738.0380754685591</v>
      </c>
      <c r="GE84" s="60">
        <f ca="1">AVERAGE(OFFSET($GD$3,0,0,'Données projet'!$E$17+1,1))-AVERAGE(OFFSET($H$3,0,0,'Données projet'!$E$17+1,1))</f>
        <v>317.54276561627643</v>
      </c>
      <c r="GF84" s="60">
        <f t="shared" si="104"/>
        <v>238.92443174298893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>
        <f>GU84*VLOOKUP('Données projet'!$B$18,Paramètres!$A$1:$I$89,3,0)*VLOOKUP('Données projet'!$B$18,Paramètres!$A$1:$I$89,5,0)</f>
        <v>0</v>
      </c>
      <c r="GW84" s="14" t="e">
        <f t="shared" si="105"/>
        <v>#NUM!</v>
      </c>
      <c r="GX84" s="22" t="e">
        <f t="shared" si="82"/>
        <v>#NUM!</v>
      </c>
      <c r="GY84" s="60" t="e">
        <f t="shared" si="83"/>
        <v>#NUM!</v>
      </c>
      <c r="GZ84" s="60">
        <f ca="1">AVERAGE(OFFSET($GY$3,0,0,'Données projet'!$E$18+1,1))-AVERAGE(OFFSET($H$3,0,0,'Données projet'!$E$18+1,1))</f>
        <v>79.868679770907136</v>
      </c>
      <c r="HA84" s="60">
        <f t="shared" si="106"/>
        <v>370.47471103028312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22.629416344924952</v>
      </c>
      <c r="HH84" s="23">
        <f>EXP(-LN(2)/25)*HH83+(1-EXP(-LN(2)/25))/(LN(2)/25)*Calculateur!HC84*Calculateur!HE84*VLOOKUP('Données projet'!$B$18,Paramètres!$A$1:$I$89,3,0)*0.475*44/12</f>
        <v>3.6733835917247513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26.302799936649702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0">
        <f t="shared" si="55"/>
        <v>293.33333333333439</v>
      </c>
      <c r="S85" s="60">
        <f ca="1">AVERAGE(OFFSET($R$3,0,0,'Données projet'!$E$9+1,1))-AVERAGE(OFFSET($H$3,0,0,'Données projet'!$E$9+1,1))</f>
        <v>206.5885410269899</v>
      </c>
      <c r="T85" s="60">
        <f t="shared" si="88"/>
        <v>347.41156847586302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3.3992364478763198E-14</v>
      </c>
      <c r="AK85" s="14">
        <f t="shared" si="89"/>
        <v>5.790027782444094E-13</v>
      </c>
      <c r="AL85" s="22">
        <f t="shared" si="58"/>
        <v>1.0676332069095257E-12</v>
      </c>
      <c r="AM85" s="60">
        <f t="shared" si="59"/>
        <v>293.33333333333439</v>
      </c>
      <c r="AN85" s="60">
        <f ca="1">AVERAGE(OFFSET($AM$3,0,0,'Données projet'!$E$10+1,1))-AVERAGE(OFFSET($H$3,0,0,'Données projet'!$E$10+1,1))</f>
        <v>206.5885410269899</v>
      </c>
      <c r="AO85" s="60">
        <f t="shared" si="90"/>
        <v>347.41156847586302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39.060035891336753</v>
      </c>
      <c r="AV85" s="23">
        <f>EXP(-LN(2)/25)*AV84+(1-EXP(-LN(2)/25))/(LN(2)/25)*Calculateur!AQ85*Calculateur!AS85*VLOOKUP('Données projet'!$B$10,Paramètres!$A$1:$I$89,3,0)*0.475*44/12</f>
        <v>0.79068602229443918</v>
      </c>
      <c r="AW85" s="23">
        <f>EXP(-LN(2)/2)*AW84+(1-EXP(-LN(2)/2))/(LN(2)/2)*AQ85*AT85*VLOOKUP('Données projet'!$B$10,Paramètres!$A$1:$I$89,3,0)*0.475*44/12</f>
        <v>1.6413906793133014E-5</v>
      </c>
      <c r="AX85" s="23">
        <f t="shared" si="60"/>
        <v>39.850738327537982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252.20000000000013</v>
      </c>
      <c r="BE85" s="14">
        <f>BD85*VLOOKUP('Données projet'!$B$11,Paramètres!$A$1:$I$89,3,0)*VLOOKUP('Données projet'!$B$11,Paramètres!$A$1:$I$89,5,0)</f>
        <v>239.9935200000001</v>
      </c>
      <c r="BF85" s="14">
        <f t="shared" si="91"/>
        <v>58.438136276457072</v>
      </c>
      <c r="BG85" s="22">
        <f t="shared" si="61"/>
        <v>519.76846801482952</v>
      </c>
      <c r="BH85" s="60">
        <f t="shared" si="62"/>
        <v>813.10180134816278</v>
      </c>
      <c r="BI85" s="60">
        <f ca="1">AVERAGE(OFFSET($BH$3,0,0,'Données projet'!$E$11+1,1))-AVERAGE(OFFSET($H$3,0,0,'Données projet'!$E$11+1,1))</f>
        <v>389.12604446638119</v>
      </c>
      <c r="BJ85" s="60">
        <f t="shared" si="92"/>
        <v>243.23852967152732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252.20000000000013</v>
      </c>
      <c r="BZ85" s="14">
        <f>BY85*VLOOKUP('Données projet'!$B$12,Paramètres!$A$1:$I$89,3,0)*VLOOKUP('Données projet'!$B$12,Paramètres!$A$1:$I$89,5,0)</f>
        <v>228.19056000000012</v>
      </c>
      <c r="CA85" s="14">
        <f t="shared" si="93"/>
        <v>55.891258634424609</v>
      </c>
      <c r="CB85" s="22">
        <f t="shared" si="64"/>
        <v>494.77583412162312</v>
      </c>
      <c r="CC85" s="60">
        <f t="shared" si="65"/>
        <v>788.10916745495638</v>
      </c>
      <c r="CD85" s="60">
        <f ca="1">AVERAGE(OFFSET($CC$3,0,0,'Données projet'!$E$12+1,1))-AVERAGE(OFFSET($H$3,0,0,'Données projet'!$E$12+1,1))</f>
        <v>371.95849973474657</v>
      </c>
      <c r="CE85" s="60">
        <f t="shared" si="94"/>
        <v>233.32640143610547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2.8513498269478701E-7</v>
      </c>
      <c r="CN85" s="24">
        <f t="shared" si="66"/>
        <v>2.8513498269478701E-7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252.20000000000013</v>
      </c>
      <c r="CU85" s="18">
        <f>CT85*VLOOKUP('Données projet'!$B$13,Paramètres!$A$1:$I$89,3,0)*VLOOKUP('Données projet'!$B$13,Paramètres!$A$1:$I$89,5,0)</f>
        <v>243.92784000000015</v>
      </c>
      <c r="CV85" s="14">
        <f t="shared" si="95"/>
        <v>59.283824299708904</v>
      </c>
      <c r="CW85" s="22">
        <f t="shared" si="67"/>
        <v>528.09364865532655</v>
      </c>
      <c r="CX85" s="60">
        <f t="shared" si="68"/>
        <v>821.42698198865992</v>
      </c>
      <c r="CY85" s="60">
        <f ca="1">AVERAGE(OFFSET($CX$3,0,0,'Données projet'!$E$13+1,1))-AVERAGE(OFFSET($H$3,0,0,'Données projet'!$E$13+1,1))</f>
        <v>394.8445842828649</v>
      </c>
      <c r="CZ85" s="60">
        <f t="shared" si="96"/>
        <v>246.54010105494143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3.0479946425994493E-7</v>
      </c>
      <c r="DI85" s="24">
        <f t="shared" si="69"/>
        <v>3.0479946425994493E-7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2.4</v>
      </c>
      <c r="DO85" s="13">
        <f>IF('Données projet'!$A$166&gt;35,DO84+DN85-DW84,IF(A85&lt;'Données projet'!$A$166,$DL$205^A85,IF(A85='Données projet'!$A$166,'Données projet'!$B$166,DO84+DN85-DW84)))</f>
        <v>183.80000000000004</v>
      </c>
      <c r="DP85" s="18">
        <f>DO85*VLOOKUP('Données projet'!$B$14,Paramètres!$A$1:$I$89,3,0)*VLOOKUP('Données projet'!$B$14,Paramètres!$A$1:$I$89,5,0)</f>
        <v>160.56768000000005</v>
      </c>
      <c r="DQ85" s="14">
        <f t="shared" si="97"/>
        <v>40.970530810309882</v>
      </c>
      <c r="DR85" s="22">
        <f t="shared" si="70"/>
        <v>351.0123838279564</v>
      </c>
      <c r="DS85" s="60">
        <f t="shared" si="71"/>
        <v>644.34571716128971</v>
      </c>
      <c r="DT85" s="60">
        <f ca="1">AVERAGE(OFFSET($DS$3,0,0,'Données projet'!$E$14+1,1))-AVERAGE(OFFSET($H$3,0,0,'Données projet'!$E$14+1,1))</f>
        <v>266.98113257513319</v>
      </c>
      <c r="DU85" s="60">
        <f t="shared" si="98"/>
        <v>275.73257102713393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2.6333078576194646</v>
      </c>
      <c r="EC85" s="23">
        <f>EXP(-LN(2)/2)*EC84+(1-EXP(-LN(2)/2))/(LN(2)/2)*DW85*DZ85*VLOOKUP('Données projet'!$B$14,Paramètres!$A$1:$I$89,3,0)*0.475*44/12</f>
        <v>1.5596446969403782E-7</v>
      </c>
      <c r="ED85" s="24">
        <f t="shared" si="72"/>
        <v>2.6333080135839344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5.6</v>
      </c>
      <c r="EJ85" s="13">
        <f>IF('Données projet'!$A$192&gt;35,EJ84+EI85-ER84,IF(A85&lt;'Données projet'!$A$192,$EG$205^A85,IF(A85='Données projet'!$A$192,'Données projet'!$B$192,EJ84+EI85-ER84)))</f>
        <v>252.20000000000013</v>
      </c>
      <c r="EK85" s="18">
        <f>EJ85*VLOOKUP('Données projet'!$B$15,Paramètres!$A$1:$I$89,3,0)*VLOOKUP('Données projet'!$B$15,Paramètres!$A$1:$I$89,5,0)</f>
        <v>287.20536000000016</v>
      </c>
      <c r="EL85" s="14">
        <f t="shared" si="99"/>
        <v>68.487449599625734</v>
      </c>
      <c r="EM85" s="22">
        <f t="shared" si="73"/>
        <v>619.49831005268175</v>
      </c>
      <c r="EN85" s="60">
        <f t="shared" si="74"/>
        <v>912.831643386015</v>
      </c>
      <c r="EO85" s="60">
        <f ca="1">AVERAGE(OFFSET($EN$3,0,0,'Données projet'!$E$15+1,1))-AVERAGE(OFFSET($H$3,0,0,'Données projet'!$E$15+1,1))</f>
        <v>457.62828850677369</v>
      </c>
      <c r="EP85" s="60">
        <f t="shared" si="100"/>
        <v>282.78263556175563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5.6</v>
      </c>
      <c r="FE85" s="13">
        <f>IF('Données projet'!$A$218&gt;35,FE84+FD85-FM84,IF(A85&lt;'Données projet'!$A$218,$FB$205^A85,IF(A85='Données projet'!$A$218,'Données projet'!$B$218,FE84+FD85-FM84)))</f>
        <v>252.20000000000013</v>
      </c>
      <c r="FF85" s="18">
        <f>FE85*VLOOKUP('Données projet'!$B$16,Paramètres!$A$1:$I$89,3,0)*VLOOKUP('Données projet'!$B$16,Paramètres!$A$1:$I$89,5,0)</f>
        <v>275.40240000000011</v>
      </c>
      <c r="FG85" s="14">
        <f t="shared" si="101"/>
        <v>65.994469603831561</v>
      </c>
      <c r="FH85" s="22">
        <f t="shared" si="76"/>
        <v>594.59954789334006</v>
      </c>
      <c r="FI85" s="60">
        <f t="shared" si="77"/>
        <v>887.93288122667332</v>
      </c>
      <c r="FJ85" s="60">
        <f ca="1">AVERAGE(OFFSET($FI$3,0,0,'Données projet'!$E$16+1,1))-AVERAGE(OFFSET($H$3,0,0,'Données projet'!$E$16+1,1))</f>
        <v>440.52623925652182</v>
      </c>
      <c r="FK85" s="60">
        <f t="shared" si="102"/>
        <v>272.91122662088918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14.142857142857142</v>
      </c>
      <c r="FZ85" s="13">
        <f>IF('Données projet'!$A$244&gt;35,FZ84+FY85-GH84,IF(A85&lt;'Données projet'!$A$244,$FW$205^A85,IF(A85='Données projet'!$A$244,'Données projet'!$B$244,FZ84+FY85-GH84)))</f>
        <v>451.28571428571468</v>
      </c>
      <c r="GA85" s="18">
        <f>FZ85*VLOOKUP('Données projet'!$B$17,Paramètres!$A$1:$I$89,3,0)*VLOOKUP('Données projet'!$B$17,Paramètres!$A$1:$I$89,5,0)</f>
        <v>211.20171428571447</v>
      </c>
      <c r="GB85" s="14">
        <f t="shared" si="103"/>
        <v>52.198103230485451</v>
      </c>
      <c r="GC85" s="22">
        <f t="shared" si="79"/>
        <v>458.75468217404813</v>
      </c>
      <c r="GD85" s="60">
        <f t="shared" si="80"/>
        <v>752.08801550738144</v>
      </c>
      <c r="GE85" s="60">
        <f ca="1">AVERAGE(OFFSET($GD$3,0,0,'Données projet'!$E$17+1,1))-AVERAGE(OFFSET($H$3,0,0,'Données projet'!$E$17+1,1))</f>
        <v>317.54276561627643</v>
      </c>
      <c r="GF85" s="60">
        <f t="shared" si="104"/>
        <v>238.92443174298893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>
        <f>GU85*VLOOKUP('Données projet'!$B$18,Paramètres!$A$1:$I$89,3,0)*VLOOKUP('Données projet'!$B$18,Paramètres!$A$1:$I$89,5,0)</f>
        <v>0</v>
      </c>
      <c r="GW85" s="14" t="e">
        <f t="shared" si="105"/>
        <v>#NUM!</v>
      </c>
      <c r="GX85" s="22" t="e">
        <f t="shared" si="82"/>
        <v>#NUM!</v>
      </c>
      <c r="GY85" s="60" t="e">
        <f t="shared" si="83"/>
        <v>#NUM!</v>
      </c>
      <c r="GZ85" s="60">
        <f ca="1">AVERAGE(OFFSET($GY$3,0,0,'Données projet'!$E$18+1,1))-AVERAGE(OFFSET($H$3,0,0,'Données projet'!$E$18+1,1))</f>
        <v>79.868679770907136</v>
      </c>
      <c r="HA85" s="60">
        <f t="shared" si="106"/>
        <v>370.47471103028312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22.185667292982053</v>
      </c>
      <c r="HH85" s="23">
        <f>EXP(-LN(2)/25)*HH84+(1-EXP(-LN(2)/25))/(LN(2)/25)*Calculateur!HC85*Calculateur!HE85*VLOOKUP('Données projet'!$B$18,Paramètres!$A$1:$I$89,3,0)*0.475*44/12</f>
        <v>3.5729347242341905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25.758602017216244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0">
        <f t="shared" si="55"/>
        <v>293.33333333333439</v>
      </c>
      <c r="S86" s="60">
        <f ca="1">AVERAGE(OFFSET($R$3,0,0,'Données projet'!$E$9+1,1))-AVERAGE(OFFSET($H$3,0,0,'Données projet'!$E$9+1,1))</f>
        <v>206.5885410269899</v>
      </c>
      <c r="T86" s="60">
        <f t="shared" si="88"/>
        <v>347.41156847586302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3.3992364478763198E-14</v>
      </c>
      <c r="AK86" s="14">
        <f t="shared" si="89"/>
        <v>5.790027782444094E-13</v>
      </c>
      <c r="AL86" s="22">
        <f t="shared" si="58"/>
        <v>1.0676332069095257E-12</v>
      </c>
      <c r="AM86" s="60">
        <f t="shared" si="59"/>
        <v>293.33333333333439</v>
      </c>
      <c r="AN86" s="60">
        <f ca="1">AVERAGE(OFFSET($AM$3,0,0,'Données projet'!$E$10+1,1))-AVERAGE(OFFSET($H$3,0,0,'Données projet'!$E$10+1,1))</f>
        <v>206.5885410269899</v>
      </c>
      <c r="AO86" s="60">
        <f t="shared" si="90"/>
        <v>347.41156847586302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38.294092411777079</v>
      </c>
      <c r="AV86" s="23">
        <f>EXP(-LN(2)/25)*AV85+(1-EXP(-LN(2)/25))/(LN(2)/25)*Calculateur!AQ86*Calculateur!AS86*VLOOKUP('Données projet'!$B$10,Paramètres!$A$1:$I$89,3,0)*0.475*44/12</f>
        <v>0.76906467143442692</v>
      </c>
      <c r="AW86" s="23">
        <f>EXP(-LN(2)/2)*AW85+(1-EXP(-LN(2)/2))/(LN(2)/2)*AQ86*AT86*VLOOKUP('Données projet'!$B$10,Paramètres!$A$1:$I$89,3,0)*0.475*44/12</f>
        <v>1.1606384799188292E-5</v>
      </c>
      <c r="AX86" s="23">
        <f t="shared" si="60"/>
        <v>39.06316868959631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257.80000000000013</v>
      </c>
      <c r="BE86" s="14">
        <f>BD86*VLOOKUP('Données projet'!$B$11,Paramètres!$A$1:$I$89,3,0)*VLOOKUP('Données projet'!$B$11,Paramètres!$A$1:$I$89,5,0)</f>
        <v>245.3224800000001</v>
      </c>
      <c r="BF86" s="14">
        <f t="shared" si="91"/>
        <v>59.58322198263604</v>
      </c>
      <c r="BG86" s="22">
        <f t="shared" si="61"/>
        <v>531.04409761975785</v>
      </c>
      <c r="BH86" s="60">
        <f t="shared" si="62"/>
        <v>824.37743095309111</v>
      </c>
      <c r="BI86" s="60">
        <f ca="1">AVERAGE(OFFSET($BH$3,0,0,'Données projet'!$E$11+1,1))-AVERAGE(OFFSET($H$3,0,0,'Données projet'!$E$11+1,1))</f>
        <v>389.12604446638119</v>
      </c>
      <c r="BJ86" s="60">
        <f t="shared" si="92"/>
        <v>243.23852967152732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257.80000000000013</v>
      </c>
      <c r="BZ86" s="14">
        <f>BY86*VLOOKUP('Données projet'!$B$12,Paramètres!$A$1:$I$89,3,0)*VLOOKUP('Données projet'!$B$12,Paramètres!$A$1:$I$89,5,0)</f>
        <v>233.25744000000009</v>
      </c>
      <c r="CA86" s="14">
        <f t="shared" si="93"/>
        <v>56.9864386904733</v>
      </c>
      <c r="CB86" s="22">
        <f t="shared" si="64"/>
        <v>505.50808871924113</v>
      </c>
      <c r="CC86" s="60">
        <f t="shared" si="65"/>
        <v>798.84142205257444</v>
      </c>
      <c r="CD86" s="60">
        <f ca="1">AVERAGE(OFFSET($CC$3,0,0,'Données projet'!$E$12+1,1))-AVERAGE(OFFSET($H$3,0,0,'Données projet'!$E$12+1,1))</f>
        <v>371.95849973474657</v>
      </c>
      <c r="CE86" s="60">
        <f t="shared" si="94"/>
        <v>233.32640143610547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2.0162087981699278E-7</v>
      </c>
      <c r="CN86" s="24">
        <f t="shared" si="66"/>
        <v>2.0162087981699278E-7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257.80000000000013</v>
      </c>
      <c r="CU86" s="18">
        <f>CT86*VLOOKUP('Données projet'!$B$13,Paramètres!$A$1:$I$89,3,0)*VLOOKUP('Données projet'!$B$13,Paramètres!$A$1:$I$89,5,0)</f>
        <v>249.34416000000013</v>
      </c>
      <c r="CV86" s="14">
        <f t="shared" si="95"/>
        <v>60.445481124150966</v>
      </c>
      <c r="CW86" s="22">
        <f t="shared" si="67"/>
        <v>539.5502916245631</v>
      </c>
      <c r="CX86" s="60">
        <f t="shared" si="68"/>
        <v>832.88362495789647</v>
      </c>
      <c r="CY86" s="60">
        <f ca="1">AVERAGE(OFFSET($CX$3,0,0,'Données projet'!$E$13+1,1))-AVERAGE(OFFSET($H$3,0,0,'Données projet'!$E$13+1,1))</f>
        <v>394.8445842828649</v>
      </c>
      <c r="CZ86" s="60">
        <f t="shared" si="96"/>
        <v>246.54010105494143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2.1552576808023379E-7</v>
      </c>
      <c r="DI86" s="24">
        <f t="shared" si="69"/>
        <v>2.1552576808023379E-7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2.4</v>
      </c>
      <c r="DO86" s="13">
        <f>IF('Données projet'!$A$166&gt;35,DO85+DN86-DW85,IF(A86&lt;'Données projet'!$A$166,$DL$205^A86,IF(A86='Données projet'!$A$166,'Données projet'!$B$166,DO85+DN86-DW85)))</f>
        <v>186.20000000000005</v>
      </c>
      <c r="DP86" s="18">
        <f>DO86*VLOOKUP('Données projet'!$B$14,Paramètres!$A$1:$I$89,3,0)*VLOOKUP('Données projet'!$B$14,Paramètres!$A$1:$I$89,5,0)</f>
        <v>162.66432000000006</v>
      </c>
      <c r="DQ86" s="14">
        <f t="shared" si="97"/>
        <v>41.442881393745317</v>
      </c>
      <c r="DR86" s="22">
        <f t="shared" si="70"/>
        <v>355.48670909410652</v>
      </c>
      <c r="DS86" s="60">
        <f t="shared" si="71"/>
        <v>648.82004242743983</v>
      </c>
      <c r="DT86" s="60">
        <f ca="1">AVERAGE(OFFSET($DS$3,0,0,'Données projet'!$E$14+1,1))-AVERAGE(OFFSET($H$3,0,0,'Données projet'!$E$14+1,1))</f>
        <v>266.98113257513319</v>
      </c>
      <c r="DU86" s="60">
        <f t="shared" si="98"/>
        <v>275.73257102713393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2.5612999157732186</v>
      </c>
      <c r="EC86" s="23">
        <f>EXP(-LN(2)/2)*EC85+(1-EXP(-LN(2)/2))/(LN(2)/2)*DW86*DZ86*VLOOKUP('Données projet'!$B$14,Paramètres!$A$1:$I$89,3,0)*0.475*44/12</f>
        <v>1.1028353414481792E-7</v>
      </c>
      <c r="ED86" s="24">
        <f t="shared" si="72"/>
        <v>2.5613000260567529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5.6</v>
      </c>
      <c r="EJ86" s="13">
        <f>IF('Données projet'!$A$192&gt;35,EJ85+EI86-ER85,IF(A86&lt;'Données projet'!$A$192,$EG$205^A86,IF(A86='Données projet'!$A$192,'Données projet'!$B$192,EJ85+EI86-ER85)))</f>
        <v>257.80000000000013</v>
      </c>
      <c r="EK86" s="18">
        <f>EJ86*VLOOKUP('Données projet'!$B$15,Paramètres!$A$1:$I$89,3,0)*VLOOKUP('Données projet'!$B$15,Paramètres!$A$1:$I$89,5,0)</f>
        <v>293.58264000000014</v>
      </c>
      <c r="EL86" s="14">
        <f t="shared" si="99"/>
        <v>69.829449953952192</v>
      </c>
      <c r="EM86" s="22">
        <f t="shared" si="73"/>
        <v>632.94272333646688</v>
      </c>
      <c r="EN86" s="60">
        <f t="shared" si="74"/>
        <v>926.27605666980025</v>
      </c>
      <c r="EO86" s="60">
        <f ca="1">AVERAGE(OFFSET($EN$3,0,0,'Données projet'!$E$15+1,1))-AVERAGE(OFFSET($H$3,0,0,'Données projet'!$E$15+1,1))</f>
        <v>457.62828850677369</v>
      </c>
      <c r="EP86" s="60">
        <f t="shared" si="100"/>
        <v>282.78263556175563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5.6</v>
      </c>
      <c r="FE86" s="13">
        <f>IF('Données projet'!$A$218&gt;35,FE85+FD86-FM85,IF(A86&lt;'Données projet'!$A$218,$FB$205^A86,IF(A86='Données projet'!$A$218,'Données projet'!$B$218,FE85+FD86-FM85)))</f>
        <v>257.80000000000013</v>
      </c>
      <c r="FF86" s="18">
        <f>FE86*VLOOKUP('Données projet'!$B$16,Paramètres!$A$1:$I$89,3,0)*VLOOKUP('Données projet'!$B$16,Paramètres!$A$1:$I$89,5,0)</f>
        <v>281.51760000000013</v>
      </c>
      <c r="FG86" s="14">
        <f t="shared" si="101"/>
        <v>67.287620423575518</v>
      </c>
      <c r="FH86" s="22">
        <f t="shared" si="76"/>
        <v>607.50242557106083</v>
      </c>
      <c r="FI86" s="60">
        <f t="shared" si="77"/>
        <v>900.8357589043942</v>
      </c>
      <c r="FJ86" s="60">
        <f ca="1">AVERAGE(OFFSET($FI$3,0,0,'Données projet'!$E$16+1,1))-AVERAGE(OFFSET($H$3,0,0,'Données projet'!$E$16+1,1))</f>
        <v>440.52623925652182</v>
      </c>
      <c r="FK86" s="60">
        <f t="shared" si="102"/>
        <v>272.91122662088918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14.142857142857142</v>
      </c>
      <c r="FZ86" s="13">
        <f>IF('Données projet'!$A$244&gt;35,FZ85+FY86-GH85,IF(A86&lt;'Données projet'!$A$244,$FW$205^A86,IF(A86='Données projet'!$A$244,'Données projet'!$B$244,FZ85+FY86-GH85)))</f>
        <v>465.42857142857184</v>
      </c>
      <c r="GA86" s="18">
        <f>FZ86*VLOOKUP('Données projet'!$B$17,Paramètres!$A$1:$I$89,3,0)*VLOOKUP('Données projet'!$B$17,Paramètres!$A$1:$I$89,5,0)</f>
        <v>217.82057142857164</v>
      </c>
      <c r="GB86" s="14">
        <f t="shared" si="103"/>
        <v>53.640923568007189</v>
      </c>
      <c r="GC86" s="22">
        <f t="shared" si="79"/>
        <v>472.79543711904148</v>
      </c>
      <c r="GD86" s="60">
        <f t="shared" si="80"/>
        <v>766.12877045237474</v>
      </c>
      <c r="GE86" s="60">
        <f ca="1">AVERAGE(OFFSET($GD$3,0,0,'Données projet'!$E$17+1,1))-AVERAGE(OFFSET($H$3,0,0,'Données projet'!$E$17+1,1))</f>
        <v>317.54276561627643</v>
      </c>
      <c r="GF86" s="60">
        <f t="shared" si="104"/>
        <v>238.92443174298893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>
        <f>GU86*VLOOKUP('Données projet'!$B$18,Paramètres!$A$1:$I$89,3,0)*VLOOKUP('Données projet'!$B$18,Paramètres!$A$1:$I$89,5,0)</f>
        <v>0</v>
      </c>
      <c r="GW86" s="14" t="e">
        <f t="shared" si="105"/>
        <v>#NUM!</v>
      </c>
      <c r="GX86" s="22" t="e">
        <f t="shared" si="82"/>
        <v>#NUM!</v>
      </c>
      <c r="GY86" s="60" t="e">
        <f t="shared" si="83"/>
        <v>#NUM!</v>
      </c>
      <c r="GZ86" s="60">
        <f ca="1">AVERAGE(OFFSET($GY$3,0,0,'Données projet'!$E$18+1,1))-AVERAGE(OFFSET($H$3,0,0,'Données projet'!$E$18+1,1))</f>
        <v>79.868679770907136</v>
      </c>
      <c r="HA86" s="60">
        <f t="shared" si="106"/>
        <v>370.47471103028312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21.75061988928756</v>
      </c>
      <c r="HH86" s="23">
        <f>EXP(-LN(2)/25)*HH85+(1-EXP(-LN(2)/25))/(LN(2)/25)*Calculateur!HC86*Calculateur!HE86*VLOOKUP('Données projet'!$B$18,Paramètres!$A$1:$I$89,3,0)*0.475*44/12</f>
        <v>3.4752326363075352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25.225852525595094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0">
        <f t="shared" si="55"/>
        <v>293.33333333333439</v>
      </c>
      <c r="S87" s="60">
        <f ca="1">AVERAGE(OFFSET($R$3,0,0,'Données projet'!$E$9+1,1))-AVERAGE(OFFSET($H$3,0,0,'Données projet'!$E$9+1,1))</f>
        <v>206.5885410269899</v>
      </c>
      <c r="T87" s="60">
        <f t="shared" si="88"/>
        <v>347.41156847586302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3.3992364478763198E-14</v>
      </c>
      <c r="AK87" s="14">
        <f t="shared" si="89"/>
        <v>5.790027782444094E-13</v>
      </c>
      <c r="AL87" s="22">
        <f t="shared" si="58"/>
        <v>1.0676332069095257E-12</v>
      </c>
      <c r="AM87" s="60">
        <f t="shared" si="59"/>
        <v>293.33333333333439</v>
      </c>
      <c r="AN87" s="60">
        <f ca="1">AVERAGE(OFFSET($AM$3,0,0,'Données projet'!$E$10+1,1))-AVERAGE(OFFSET($H$3,0,0,'Données projet'!$E$10+1,1))</f>
        <v>206.5885410269899</v>
      </c>
      <c r="AO87" s="60">
        <f t="shared" si="90"/>
        <v>347.41156847586302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37.543168616672183</v>
      </c>
      <c r="AV87" s="23">
        <f>EXP(-LN(2)/25)*AV86+(1-EXP(-LN(2)/25))/(LN(2)/25)*Calculateur!AQ87*Calculateur!AS87*VLOOKUP('Données projet'!$B$10,Paramètres!$A$1:$I$89,3,0)*0.475*44/12</f>
        <v>0.74803455755069914</v>
      </c>
      <c r="AW87" s="23">
        <f>EXP(-LN(2)/2)*AW86+(1-EXP(-LN(2)/2))/(LN(2)/2)*AQ87*AT87*VLOOKUP('Données projet'!$B$10,Paramètres!$A$1:$I$89,3,0)*0.475*44/12</f>
        <v>8.2069533965665069E-6</v>
      </c>
      <c r="AX87" s="23">
        <f t="shared" si="60"/>
        <v>38.291211381176275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263.40000000000015</v>
      </c>
      <c r="BE87" s="14">
        <f>BD87*VLOOKUP('Données projet'!$B$11,Paramètres!$A$1:$I$89,3,0)*VLOOKUP('Données projet'!$B$11,Paramètres!$A$1:$I$89,5,0)</f>
        <v>250.65144000000015</v>
      </c>
      <c r="BF87" s="14">
        <f t="shared" si="91"/>
        <v>60.725415788925183</v>
      </c>
      <c r="BG87" s="22">
        <f t="shared" si="61"/>
        <v>542.3146904990449</v>
      </c>
      <c r="BH87" s="60">
        <f t="shared" si="62"/>
        <v>835.64802383237816</v>
      </c>
      <c r="BI87" s="60">
        <f ca="1">AVERAGE(OFFSET($BH$3,0,0,'Données projet'!$E$11+1,1))-AVERAGE(OFFSET($H$3,0,0,'Données projet'!$E$11+1,1))</f>
        <v>389.12604446638119</v>
      </c>
      <c r="BJ87" s="60">
        <f t="shared" si="92"/>
        <v>243.23852967152732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263.40000000000015</v>
      </c>
      <c r="BZ87" s="14">
        <f>BY87*VLOOKUP('Données projet'!$B$12,Paramètres!$A$1:$I$89,3,0)*VLOOKUP('Données projet'!$B$12,Paramètres!$A$1:$I$89,5,0)</f>
        <v>238.32432000000011</v>
      </c>
      <c r="CA87" s="14">
        <f t="shared" si="93"/>
        <v>58.078852882738808</v>
      </c>
      <c r="CB87" s="22">
        <f t="shared" si="64"/>
        <v>516.23552610410366</v>
      </c>
      <c r="CC87" s="60">
        <f t="shared" si="65"/>
        <v>809.56885943743691</v>
      </c>
      <c r="CD87" s="60">
        <f ca="1">AVERAGE(OFFSET($CC$3,0,0,'Données projet'!$E$12+1,1))-AVERAGE(OFFSET($H$3,0,0,'Données projet'!$E$12+1,1))</f>
        <v>371.95849973474657</v>
      </c>
      <c r="CE87" s="60">
        <f t="shared" si="94"/>
        <v>233.32640143610547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1.4256749134739351E-7</v>
      </c>
      <c r="CN87" s="24">
        <f t="shared" si="66"/>
        <v>1.4256749134739351E-7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263.40000000000015</v>
      </c>
      <c r="CU87" s="18">
        <f>CT87*VLOOKUP('Données projet'!$B$13,Paramètres!$A$1:$I$89,3,0)*VLOOKUP('Données projet'!$B$13,Paramètres!$A$1:$I$89,5,0)</f>
        <v>254.76048000000014</v>
      </c>
      <c r="CV87" s="14">
        <f t="shared" si="95"/>
        <v>61.604204198547528</v>
      </c>
      <c r="CW87" s="22">
        <f t="shared" si="67"/>
        <v>551.00182497913715</v>
      </c>
      <c r="CX87" s="60">
        <f t="shared" si="68"/>
        <v>844.33515831247041</v>
      </c>
      <c r="CY87" s="60">
        <f ca="1">AVERAGE(OFFSET($CX$3,0,0,'Données projet'!$E$13+1,1))-AVERAGE(OFFSET($H$3,0,0,'Données projet'!$E$13+1,1))</f>
        <v>394.8445842828649</v>
      </c>
      <c r="CZ87" s="60">
        <f t="shared" si="96"/>
        <v>246.54010105494143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1.5239973212997246E-7</v>
      </c>
      <c r="DI87" s="24">
        <f t="shared" si="69"/>
        <v>1.5239973212997246E-7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2.4</v>
      </c>
      <c r="DO87" s="13">
        <f>IF('Données projet'!$A$166&gt;35,DO86+DN87-DW86,IF(A87&lt;'Données projet'!$A$166,$DL$205^A87,IF(A87='Données projet'!$A$166,'Données projet'!$B$166,DO86+DN87-DW86)))</f>
        <v>188.60000000000005</v>
      </c>
      <c r="DP87" s="18">
        <f>DO87*VLOOKUP('Données projet'!$B$14,Paramètres!$A$1:$I$89,3,0)*VLOOKUP('Données projet'!$B$14,Paramètres!$A$1:$I$89,5,0)</f>
        <v>164.76096000000007</v>
      </c>
      <c r="DQ87" s="14">
        <f t="shared" si="97"/>
        <v>41.914523809719945</v>
      </c>
      <c r="DR87" s="22">
        <f t="shared" si="70"/>
        <v>359.95980096859574</v>
      </c>
      <c r="DS87" s="60">
        <f t="shared" si="71"/>
        <v>653.29313430192906</v>
      </c>
      <c r="DT87" s="60">
        <f ca="1">AVERAGE(OFFSET($DS$3,0,0,'Données projet'!$E$14+1,1))-AVERAGE(OFFSET($H$3,0,0,'Données projet'!$E$14+1,1))</f>
        <v>266.98113257513319</v>
      </c>
      <c r="DU87" s="60">
        <f t="shared" si="98"/>
        <v>275.73257102713393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2.4912610348834914</v>
      </c>
      <c r="EC87" s="23">
        <f>EXP(-LN(2)/2)*EC86+(1-EXP(-LN(2)/2))/(LN(2)/2)*DW87*DZ87*VLOOKUP('Données projet'!$B$14,Paramètres!$A$1:$I$89,3,0)*0.475*44/12</f>
        <v>7.798223484701891E-8</v>
      </c>
      <c r="ED87" s="24">
        <f t="shared" si="72"/>
        <v>2.4912611128657263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5.6</v>
      </c>
      <c r="EJ87" s="13">
        <f>IF('Données projet'!$A$192&gt;35,EJ86+EI87-ER86,IF(A87&lt;'Données projet'!$A$192,$EG$205^A87,IF(A87='Données projet'!$A$192,'Données projet'!$B$192,EJ86+EI87-ER86)))</f>
        <v>263.40000000000015</v>
      </c>
      <c r="EK87" s="18">
        <f>EJ87*VLOOKUP('Données projet'!$B$15,Paramètres!$A$1:$I$89,3,0)*VLOOKUP('Données projet'!$B$15,Paramètres!$A$1:$I$89,5,0)</f>
        <v>299.95992000000018</v>
      </c>
      <c r="EL87" s="14">
        <f t="shared" si="99"/>
        <v>71.168061102862964</v>
      </c>
      <c r="EM87" s="22">
        <f t="shared" si="73"/>
        <v>646.3812337541533</v>
      </c>
      <c r="EN87" s="60">
        <f t="shared" si="74"/>
        <v>939.71456708748656</v>
      </c>
      <c r="EO87" s="60">
        <f ca="1">AVERAGE(OFFSET($EN$3,0,0,'Données projet'!$E$15+1,1))-AVERAGE(OFFSET($H$3,0,0,'Données projet'!$E$15+1,1))</f>
        <v>457.62828850677369</v>
      </c>
      <c r="EP87" s="60">
        <f t="shared" si="100"/>
        <v>282.78263556175563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5.6</v>
      </c>
      <c r="FE87" s="13">
        <f>IF('Données projet'!$A$218&gt;35,FE86+FD87-FM86,IF(A87&lt;'Données projet'!$A$218,$FB$205^A87,IF(A87='Données projet'!$A$218,'Données projet'!$B$218,FE86+FD87-FM86)))</f>
        <v>263.40000000000015</v>
      </c>
      <c r="FF87" s="18">
        <f>FE87*VLOOKUP('Données projet'!$B$16,Paramètres!$A$1:$I$89,3,0)*VLOOKUP('Données projet'!$B$16,Paramètres!$A$1:$I$89,5,0)</f>
        <v>287.63280000000015</v>
      </c>
      <c r="FG87" s="14">
        <f t="shared" si="101"/>
        <v>68.577505406803525</v>
      </c>
      <c r="FH87" s="22">
        <f t="shared" si="76"/>
        <v>620.39961525018305</v>
      </c>
      <c r="FI87" s="60">
        <f t="shared" si="77"/>
        <v>913.73294858351642</v>
      </c>
      <c r="FJ87" s="60">
        <f ca="1">AVERAGE(OFFSET($FI$3,0,0,'Données projet'!$E$16+1,1))-AVERAGE(OFFSET($H$3,0,0,'Données projet'!$E$16+1,1))</f>
        <v>440.52623925652182</v>
      </c>
      <c r="FK87" s="60">
        <f t="shared" si="102"/>
        <v>272.91122662088918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14.142857142857142</v>
      </c>
      <c r="FZ87" s="13">
        <f>IF('Données projet'!$A$244&gt;35,FZ86+FY87-GH86,IF(A87&lt;'Données projet'!$A$244,$FW$205^A87,IF(A87='Données projet'!$A$244,'Données projet'!$B$244,FZ86+FY87-GH86)))</f>
        <v>479.57142857142901</v>
      </c>
      <c r="GA87" s="18">
        <f>FZ87*VLOOKUP('Données projet'!$B$17,Paramètres!$A$1:$I$89,3,0)*VLOOKUP('Données projet'!$B$17,Paramètres!$A$1:$I$89,5,0)</f>
        <v>224.43942857142878</v>
      </c>
      <c r="GB87" s="14">
        <f t="shared" si="103"/>
        <v>55.078648812192505</v>
      </c>
      <c r="GC87" s="22">
        <f t="shared" si="79"/>
        <v>486.82731810980704</v>
      </c>
      <c r="GD87" s="60">
        <f t="shared" si="80"/>
        <v>780.1606514431403</v>
      </c>
      <c r="GE87" s="60">
        <f ca="1">AVERAGE(OFFSET($GD$3,0,0,'Données projet'!$E$17+1,1))-AVERAGE(OFFSET($H$3,0,0,'Données projet'!$E$17+1,1))</f>
        <v>317.54276561627643</v>
      </c>
      <c r="GF87" s="60">
        <f t="shared" si="104"/>
        <v>238.92443174298893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>
        <f>GU87*VLOOKUP('Données projet'!$B$18,Paramètres!$A$1:$I$89,3,0)*VLOOKUP('Données projet'!$B$18,Paramètres!$A$1:$I$89,5,0)</f>
        <v>0</v>
      </c>
      <c r="GW87" s="14" t="e">
        <f t="shared" si="105"/>
        <v>#NUM!</v>
      </c>
      <c r="GX87" s="22" t="e">
        <f t="shared" si="82"/>
        <v>#NUM!</v>
      </c>
      <c r="GY87" s="60" t="e">
        <f t="shared" si="83"/>
        <v>#NUM!</v>
      </c>
      <c r="GZ87" s="60">
        <f ca="1">AVERAGE(OFFSET($GY$3,0,0,'Données projet'!$E$18+1,1))-AVERAGE(OFFSET($H$3,0,0,'Données projet'!$E$18+1,1))</f>
        <v>79.868679770907136</v>
      </c>
      <c r="HA87" s="60">
        <f t="shared" si="106"/>
        <v>370.47471103028312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21.324103499826798</v>
      </c>
      <c r="HH87" s="23">
        <f>EXP(-LN(2)/25)*HH86+(1-EXP(-LN(2)/25))/(LN(2)/25)*Calculateur!HC87*Calculateur!HE87*VLOOKUP('Données projet'!$B$18,Paramètres!$A$1:$I$89,3,0)*0.475*44/12</f>
        <v>3.380202217113164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24.704305716939963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0">
        <f t="shared" si="55"/>
        <v>293.33333333333439</v>
      </c>
      <c r="S88" s="60">
        <f ca="1">AVERAGE(OFFSET($R$3,0,0,'Données projet'!$E$9+1,1))-AVERAGE(OFFSET($H$3,0,0,'Données projet'!$E$9+1,1))</f>
        <v>206.5885410269899</v>
      </c>
      <c r="T88" s="60">
        <f t="shared" si="88"/>
        <v>347.41156847586302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3.3992364478763198E-14</v>
      </c>
      <c r="AK88" s="14">
        <f t="shared" si="89"/>
        <v>5.790027782444094E-13</v>
      </c>
      <c r="AL88" s="22">
        <f t="shared" si="58"/>
        <v>1.0676332069095257E-12</v>
      </c>
      <c r="AM88" s="60">
        <f t="shared" si="59"/>
        <v>293.33333333333439</v>
      </c>
      <c r="AN88" s="60">
        <f ca="1">AVERAGE(OFFSET($AM$3,0,0,'Données projet'!$E$10+1,1))-AVERAGE(OFFSET($H$3,0,0,'Données projet'!$E$10+1,1))</f>
        <v>206.5885410269899</v>
      </c>
      <c r="AO88" s="60">
        <f t="shared" si="90"/>
        <v>347.41156847586302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36.806969979171001</v>
      </c>
      <c r="AV88" s="23">
        <f>EXP(-LN(2)/25)*AV87+(1-EXP(-LN(2)/25))/(LN(2)/25)*Calculateur!AQ88*Calculateur!AS88*VLOOKUP('Données projet'!$B$10,Paramètres!$A$1:$I$89,3,0)*0.475*44/12</f>
        <v>0.7275795132370475</v>
      </c>
      <c r="AW88" s="23">
        <f>EXP(-LN(2)/2)*AW87+(1-EXP(-LN(2)/2))/(LN(2)/2)*AQ88*AT88*VLOOKUP('Données projet'!$B$10,Paramètres!$A$1:$I$89,3,0)*0.475*44/12</f>
        <v>5.803192399594146E-6</v>
      </c>
      <c r="AX88" s="23">
        <f t="shared" si="60"/>
        <v>37.534555295600448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5.6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269.00000000000017</v>
      </c>
      <c r="BE88" s="14">
        <f>BD88*VLOOKUP('Données projet'!$B$11,Paramètres!$A$1:$I$89,3,0)*VLOOKUP('Données projet'!$B$11,Paramètres!$A$1:$I$89,5,0)</f>
        <v>255.98040000000015</v>
      </c>
      <c r="BF88" s="14">
        <f t="shared" si="91"/>
        <v>61.864786260587792</v>
      </c>
      <c r="BG88" s="22">
        <f t="shared" si="61"/>
        <v>553.58036607052395</v>
      </c>
      <c r="BH88" s="60">
        <f t="shared" si="62"/>
        <v>846.91369940385721</v>
      </c>
      <c r="BI88" s="60">
        <f ca="1">AVERAGE(OFFSET($BH$3,0,0,'Données projet'!$E$11+1,1))-AVERAGE(OFFSET($H$3,0,0,'Données projet'!$E$11+1,1))</f>
        <v>389.12604446638119</v>
      </c>
      <c r="BJ88" s="60">
        <f t="shared" si="92"/>
        <v>243.23852967152732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269</v>
      </c>
      <c r="BW88" s="13">
        <f>VLOOKUP(A88,'Données projet'!$A$113:$I$133,9,0)</f>
        <v>5.6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269.00000000000017</v>
      </c>
      <c r="BZ88" s="14">
        <f>BY88*VLOOKUP('Données projet'!$B$12,Paramètres!$A$1:$I$89,3,0)*VLOOKUP('Données projet'!$B$12,Paramètres!$A$1:$I$89,5,0)</f>
        <v>243.39120000000017</v>
      </c>
      <c r="CA88" s="14">
        <f t="shared" si="93"/>
        <v>59.168566788241577</v>
      </c>
      <c r="CB88" s="22">
        <f t="shared" si="64"/>
        <v>526.95826048952097</v>
      </c>
      <c r="CC88" s="60">
        <f t="shared" si="65"/>
        <v>820.29159382285434</v>
      </c>
      <c r="CD88" s="60">
        <f ca="1">AVERAGE(OFFSET($CC$3,0,0,'Données projet'!$E$12+1,1))-AVERAGE(OFFSET($H$3,0,0,'Données projet'!$E$12+1,1))</f>
        <v>371.95849973474657</v>
      </c>
      <c r="CE88" s="60">
        <f t="shared" si="94"/>
        <v>233.32640143610547</v>
      </c>
      <c r="CF88" s="16">
        <f>IF(ISNA(VLOOKUP(A88,'Données projet'!$A$113:$I$133,3,0)),0,VLOOKUP(A88,'Données projet'!$A$113:$I$133,3,0))</f>
        <v>13</v>
      </c>
      <c r="CG88" s="16">
        <f>IF(ISNA(VLOOKUP(A88,'Données projet'!$A$113:$I$133,4,0)),0,VLOOKUP(A88,'Données projet'!$A$113:$I$133,4,0))</f>
        <v>21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1.0081043990849639E-7</v>
      </c>
      <c r="CN88" s="24">
        <f t="shared" si="66"/>
        <v>1.0081043990849639E-7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269</v>
      </c>
      <c r="CR88" s="13">
        <f>VLOOKUP(A88,'Données projet'!$A$139:$I$159,9,0)</f>
        <v>5.6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269.00000000000017</v>
      </c>
      <c r="CU88" s="18">
        <f>CT88*VLOOKUP('Données projet'!$B$13,Paramètres!$A$1:$I$89,3,0)*VLOOKUP('Données projet'!$B$13,Paramètres!$A$1:$I$89,5,0)</f>
        <v>260.17680000000018</v>
      </c>
      <c r="CV88" s="14">
        <f t="shared" si="95"/>
        <v>62.760063080404755</v>
      </c>
      <c r="CW88" s="22">
        <f t="shared" si="67"/>
        <v>562.44836986503856</v>
      </c>
      <c r="CX88" s="60">
        <f t="shared" si="68"/>
        <v>855.78170319837182</v>
      </c>
      <c r="CY88" s="60">
        <f ca="1">AVERAGE(OFFSET($CX$3,0,0,'Données projet'!$E$13+1,1))-AVERAGE(OFFSET($H$3,0,0,'Données projet'!$E$13+1,1))</f>
        <v>394.8445842828649</v>
      </c>
      <c r="CZ88" s="60">
        <f t="shared" si="96"/>
        <v>246.54010105494143</v>
      </c>
      <c r="DA88" s="16">
        <f>IF(ISNA(VLOOKUP(A88,'Données projet'!$A$139:$I$159,3,0)),0,VLOOKUP(A88,'Données projet'!$A$139:$I$159,3,0))</f>
        <v>13</v>
      </c>
      <c r="DB88" s="16">
        <f>IF(ISNA(VLOOKUP(A88,'Données projet'!$A$139:$I$159,4,0)),0,VLOOKUP(A88,'Données projet'!$A$139:$I$159,4,0))</f>
        <v>21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1.077628840401169E-7</v>
      </c>
      <c r="DI88" s="24">
        <f t="shared" si="69"/>
        <v>1.077628840401169E-7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191</v>
      </c>
      <c r="DM88" s="13">
        <f>VLOOKUP(A88,'Données projet'!$A$165:$I$185,9,0)</f>
        <v>2.4</v>
      </c>
      <c r="DN88" s="13">
        <f t="array" ref="DN88">INDEX(DM:DM,MIN(IF(ISNUMBER(DM88:DM284),ROW(DM88:DM284),"")))</f>
        <v>2.4</v>
      </c>
      <c r="DO88" s="13">
        <f>IF('Données projet'!$A$166&gt;35,DO87+DN88-DW87,IF(A88&lt;'Données projet'!$A$166,$DL$205^A88,IF(A88='Données projet'!$A$166,'Données projet'!$B$166,DO87+DN88-DW87)))</f>
        <v>191.00000000000006</v>
      </c>
      <c r="DP88" s="18">
        <f>DO88*VLOOKUP('Données projet'!$B$14,Paramètres!$A$1:$I$89,3,0)*VLOOKUP('Données projet'!$B$14,Paramètres!$A$1:$I$89,5,0)</f>
        <v>166.85760000000008</v>
      </c>
      <c r="DQ88" s="14">
        <f t="shared" si="97"/>
        <v>42.385468111966098</v>
      </c>
      <c r="DR88" s="22">
        <f t="shared" si="70"/>
        <v>364.43167696167438</v>
      </c>
      <c r="DS88" s="60">
        <f t="shared" si="71"/>
        <v>657.76501029500764</v>
      </c>
      <c r="DT88" s="60">
        <f ca="1">AVERAGE(OFFSET($DS$3,0,0,'Données projet'!$E$14+1,1))-AVERAGE(OFFSET($H$3,0,0,'Données projet'!$E$14+1,1))</f>
        <v>266.98113257513319</v>
      </c>
      <c r="DU88" s="60">
        <f t="shared" si="98"/>
        <v>275.73257102713393</v>
      </c>
      <c r="DV88" s="16">
        <f>IF(ISNA(VLOOKUP(A88,'Données projet'!$A$165:$I$185,3,0)),0,VLOOKUP(A88,'Données projet'!$A$165:$I$185,3,0))</f>
        <v>14</v>
      </c>
      <c r="DW88" s="16">
        <f>IF(ISNA(VLOOKUP(A88,'Données projet'!$A$165:$I$185,4,0)),0,VLOOKUP(A88,'Données projet'!$A$165:$I$185,4,0))</f>
        <v>8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2.4231373708748785</v>
      </c>
      <c r="EC88" s="23">
        <f>EXP(-LN(2)/2)*EC87+(1-EXP(-LN(2)/2))/(LN(2)/2)*DW88*DZ88*VLOOKUP('Données projet'!$B$14,Paramètres!$A$1:$I$89,3,0)*0.475*44/12</f>
        <v>5.5141767072408962E-8</v>
      </c>
      <c r="ED88" s="24">
        <f t="shared" si="72"/>
        <v>2.4231374260166456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269</v>
      </c>
      <c r="EH88" s="13">
        <f>VLOOKUP(A88,'Données projet'!$A$191:$I$211,9,0)</f>
        <v>5.6</v>
      </c>
      <c r="EI88" s="13">
        <f t="array" ref="EI88">INDEX(EH:EH,MIN(IF(ISNUMBER(EH88:EH284),ROW(EH88:EH284),"")))</f>
        <v>5.6</v>
      </c>
      <c r="EJ88" s="13">
        <f>IF('Données projet'!$A$192&gt;35,EJ87+EI88-ER87,IF(A88&lt;'Données projet'!$A$192,$EG$205^A88,IF(A88='Données projet'!$A$192,'Données projet'!$B$192,EJ87+EI88-ER87)))</f>
        <v>269.00000000000017</v>
      </c>
      <c r="EK88" s="18">
        <f>EJ88*VLOOKUP('Données projet'!$B$15,Paramètres!$A$1:$I$89,3,0)*VLOOKUP('Données projet'!$B$15,Paramètres!$A$1:$I$89,5,0)</f>
        <v>306.33720000000022</v>
      </c>
      <c r="EL88" s="14">
        <f t="shared" si="99"/>
        <v>72.503363402445984</v>
      </c>
      <c r="EM88" s="22">
        <f t="shared" si="73"/>
        <v>659.81398125926046</v>
      </c>
      <c r="EN88" s="60">
        <f t="shared" si="74"/>
        <v>953.14731459259383</v>
      </c>
      <c r="EO88" s="60">
        <f ca="1">AVERAGE(OFFSET($EN$3,0,0,'Données projet'!$E$15+1,1))-AVERAGE(OFFSET($H$3,0,0,'Données projet'!$E$15+1,1))</f>
        <v>457.62828850677369</v>
      </c>
      <c r="EP88" s="60">
        <f t="shared" si="100"/>
        <v>282.78263556175563</v>
      </c>
      <c r="EQ88" s="16">
        <f>IF(ISNA(VLOOKUP(A88,'Données projet'!$A$191:$I$211,3,0)),0,VLOOKUP(A88,'Données projet'!$A$191:$I$211,3,0))</f>
        <v>13</v>
      </c>
      <c r="ER88" s="16">
        <f>IF(ISNA(VLOOKUP(A88,'Données projet'!$A$191:$I$211,4,0)),0,VLOOKUP(A88,'Données projet'!$A$191:$I$211,4,0))</f>
        <v>21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269</v>
      </c>
      <c r="FC88" s="13">
        <f>VLOOKUP(A88,'Données projet'!$A$217:$I$237,9,0)</f>
        <v>5.6</v>
      </c>
      <c r="FD88" s="13">
        <f t="array" ref="FD88">INDEX(FC:FC,MIN(IF(ISNUMBER(FC88:FC284),ROW(FC88:FC284),"")))</f>
        <v>5.6</v>
      </c>
      <c r="FE88" s="13">
        <f>IF('Données projet'!$A$218&gt;35,FE87+FD88-FM87,IF(A88&lt;'Données projet'!$A$218,$FB$205^A88,IF(A88='Données projet'!$A$218,'Données projet'!$B$218,FE87+FD88-FM87)))</f>
        <v>269.00000000000017</v>
      </c>
      <c r="FF88" s="18">
        <f>FE88*VLOOKUP('Données projet'!$B$16,Paramètres!$A$1:$I$89,3,0)*VLOOKUP('Données projet'!$B$16,Paramètres!$A$1:$I$89,5,0)</f>
        <v>293.74800000000016</v>
      </c>
      <c r="FG88" s="14">
        <f t="shared" si="101"/>
        <v>69.864201984598637</v>
      </c>
      <c r="FH88" s="22">
        <f t="shared" si="76"/>
        <v>633.29125178984293</v>
      </c>
      <c r="FI88" s="60">
        <f t="shared" si="77"/>
        <v>926.6245851231763</v>
      </c>
      <c r="FJ88" s="60">
        <f ca="1">AVERAGE(OFFSET($FI$3,0,0,'Données projet'!$E$16+1,1))-AVERAGE(OFFSET($H$3,0,0,'Données projet'!$E$16+1,1))</f>
        <v>440.52623925652182</v>
      </c>
      <c r="FK88" s="60">
        <f t="shared" si="102"/>
        <v>272.91122662088918</v>
      </c>
      <c r="FL88" s="16">
        <f>IF(ISNA(VLOOKUP(A88,'Données projet'!$A$217:$I$237,3,0)),0,VLOOKUP(A88,'Données projet'!$A$217:$I$237,3,0))</f>
        <v>13</v>
      </c>
      <c r="FM88" s="16">
        <f>IF(ISNA(VLOOKUP(A88,'Données projet'!$A$217:$I$237,4,0)),0,VLOOKUP(A88,'Données projet'!$A$217:$I$237,4,0))</f>
        <v>21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14.142857142857142</v>
      </c>
      <c r="FZ88" s="13">
        <f>IF('Données projet'!$A$244&gt;35,FZ87+FY88-GH87,IF(A88&lt;'Données projet'!$A$244,$FW$205^A88,IF(A88='Données projet'!$A$244,'Données projet'!$B$244,FZ87+FY88-GH87)))</f>
        <v>493.71428571428618</v>
      </c>
      <c r="GA88" s="18">
        <f>FZ88*VLOOKUP('Données projet'!$B$17,Paramètres!$A$1:$I$89,3,0)*VLOOKUP('Données projet'!$B$17,Paramètres!$A$1:$I$89,5,0)</f>
        <v>231.05828571428594</v>
      </c>
      <c r="GB88" s="14">
        <f t="shared" si="103"/>
        <v>56.511446472092771</v>
      </c>
      <c r="GC88" s="22">
        <f t="shared" si="79"/>
        <v>500.85061689127627</v>
      </c>
      <c r="GD88" s="60">
        <f t="shared" si="80"/>
        <v>794.18395022460959</v>
      </c>
      <c r="GE88" s="60">
        <f ca="1">AVERAGE(OFFSET($GD$3,0,0,'Données projet'!$E$17+1,1))-AVERAGE(OFFSET($H$3,0,0,'Données projet'!$E$17+1,1))</f>
        <v>317.54276561627643</v>
      </c>
      <c r="GF88" s="60">
        <f t="shared" si="104"/>
        <v>238.92443174298893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>
        <f>GU88*VLOOKUP('Données projet'!$B$18,Paramètres!$A$1:$I$89,3,0)*VLOOKUP('Données projet'!$B$18,Paramètres!$A$1:$I$89,5,0)</f>
        <v>0</v>
      </c>
      <c r="GW88" s="14" t="e">
        <f t="shared" si="105"/>
        <v>#NUM!</v>
      </c>
      <c r="GX88" s="22" t="e">
        <f t="shared" si="82"/>
        <v>#NUM!</v>
      </c>
      <c r="GY88" s="60" t="e">
        <f t="shared" si="83"/>
        <v>#NUM!</v>
      </c>
      <c r="GZ88" s="60">
        <f ca="1">AVERAGE(OFFSET($GY$3,0,0,'Données projet'!$E$18+1,1))-AVERAGE(OFFSET($H$3,0,0,'Données projet'!$E$18+1,1))</f>
        <v>79.868679770907136</v>
      </c>
      <c r="HA88" s="60">
        <f t="shared" si="106"/>
        <v>370.47471103028312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20.905950836614053</v>
      </c>
      <c r="HH88" s="23">
        <f>EXP(-LN(2)/25)*HH87+(1-EXP(-LN(2)/25))/(LN(2)/25)*Calculateur!HC88*Calculateur!HE88*VLOOKUP('Données projet'!$B$18,Paramètres!$A$1:$I$89,3,0)*0.475*44/12</f>
        <v>3.2877704097290956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24.193721246343149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0">
        <f t="shared" si="55"/>
        <v>293.33333333333439</v>
      </c>
      <c r="S89" s="60">
        <f ca="1">AVERAGE(OFFSET($R$3,0,0,'Données projet'!$E$9+1,1))-AVERAGE(OFFSET($H$3,0,0,'Données projet'!$E$9+1,1))</f>
        <v>206.5885410269899</v>
      </c>
      <c r="T89" s="60">
        <f t="shared" si="88"/>
        <v>347.41156847586302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3.3992364478763198E-14</v>
      </c>
      <c r="AK89" s="14">
        <f t="shared" si="89"/>
        <v>5.790027782444094E-13</v>
      </c>
      <c r="AL89" s="22">
        <f t="shared" si="58"/>
        <v>1.0676332069095257E-12</v>
      </c>
      <c r="AM89" s="60">
        <f t="shared" si="59"/>
        <v>293.33333333333439</v>
      </c>
      <c r="AN89" s="60">
        <f ca="1">AVERAGE(OFFSET($AM$3,0,0,'Données projet'!$E$10+1,1))-AVERAGE(OFFSET($H$3,0,0,'Données projet'!$E$10+1,1))</f>
        <v>206.5885410269899</v>
      </c>
      <c r="AO89" s="60">
        <f t="shared" si="90"/>
        <v>347.41156847586302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36.085207747914389</v>
      </c>
      <c r="AV89" s="23">
        <f>EXP(-LN(2)/25)*AV88+(1-EXP(-LN(2)/25))/(LN(2)/25)*Calculateur!AQ89*Calculateur!AS89*VLOOKUP('Données projet'!$B$10,Paramètres!$A$1:$I$89,3,0)*0.475*44/12</f>
        <v>0.70768381318583673</v>
      </c>
      <c r="AW89" s="23">
        <f>EXP(-LN(2)/2)*AW88+(1-EXP(-LN(2)/2))/(LN(2)/2)*AQ89*AT89*VLOOKUP('Données projet'!$B$10,Paramètres!$A$1:$I$89,3,0)*0.475*44/12</f>
        <v>4.1034766982832535E-6</v>
      </c>
      <c r="AX89" s="23">
        <f t="shared" si="60"/>
        <v>36.792895664576925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253.40000000000015</v>
      </c>
      <c r="BE89" s="14">
        <f>BD89*VLOOKUP('Données projet'!$B$11,Paramètres!$A$1:$I$89,3,0)*VLOOKUP('Données projet'!$B$11,Paramètres!$A$1:$I$89,5,0)</f>
        <v>241.13544000000016</v>
      </c>
      <c r="BF89" s="14">
        <f t="shared" si="91"/>
        <v>58.6837587821827</v>
      </c>
      <c r="BG89" s="22">
        <f t="shared" si="61"/>
        <v>522.18510454563523</v>
      </c>
      <c r="BH89" s="60">
        <f t="shared" si="62"/>
        <v>815.5184378789686</v>
      </c>
      <c r="BI89" s="60">
        <f ca="1">AVERAGE(OFFSET($BH$3,0,0,'Données projet'!$E$11+1,1))-AVERAGE(OFFSET($H$3,0,0,'Données projet'!$E$11+1,1))</f>
        <v>389.12604446638119</v>
      </c>
      <c r="BJ89" s="60">
        <f t="shared" si="92"/>
        <v>243.23852967152732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5.4</v>
      </c>
      <c r="BY89" s="13">
        <f>IF('Données projet'!$A$114&gt;35,BY88+BX89-CG88,IF(A89&lt;'Données projet'!$A$114,$BV$205^A89,IF(A89='Données projet'!$A$114,'Données projet'!$B$114,BY88+BX89-CG88)))</f>
        <v>253.40000000000015</v>
      </c>
      <c r="BZ89" s="14">
        <f>BY89*VLOOKUP('Données projet'!$B$12,Paramètres!$A$1:$I$89,3,0)*VLOOKUP('Données projet'!$B$12,Paramètres!$A$1:$I$89,5,0)</f>
        <v>229.27632000000011</v>
      </c>
      <c r="CA89" s="14">
        <f t="shared" si="93"/>
        <v>56.126176307517476</v>
      </c>
      <c r="CB89" s="22">
        <f t="shared" si="64"/>
        <v>497.07601440225977</v>
      </c>
      <c r="CC89" s="60">
        <f t="shared" si="65"/>
        <v>790.40934773559309</v>
      </c>
      <c r="CD89" s="60">
        <f ca="1">AVERAGE(OFFSET($CC$3,0,0,'Données projet'!$E$12+1,1))-AVERAGE(OFFSET($H$3,0,0,'Données projet'!$E$12+1,1))</f>
        <v>371.95849973474657</v>
      </c>
      <c r="CE89" s="60">
        <f t="shared" si="94"/>
        <v>233.32640143610547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7.1283745673696753E-8</v>
      </c>
      <c r="CN89" s="24">
        <f t="shared" si="66"/>
        <v>7.1283745673696753E-8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5.4</v>
      </c>
      <c r="CT89" s="13">
        <f>IF('Données projet'!$A$140&gt;35,CT88+CS89-DB88,IF(A89&lt;'Données projet'!$A$140,$CQ$205^A89,IF(A89='Données projet'!$A$140,'Données projet'!$B$140,CT88+CS89-DB88)))</f>
        <v>253.40000000000015</v>
      </c>
      <c r="CU89" s="18">
        <f>CT89*VLOOKUP('Données projet'!$B$13,Paramètres!$A$1:$I$89,3,0)*VLOOKUP('Données projet'!$B$13,Paramètres!$A$1:$I$89,5,0)</f>
        <v>245.08848000000015</v>
      </c>
      <c r="CV89" s="14">
        <f t="shared" si="95"/>
        <v>59.533001333771189</v>
      </c>
      <c r="CW89" s="22">
        <f t="shared" si="67"/>
        <v>530.54907998965166</v>
      </c>
      <c r="CX89" s="60">
        <f t="shared" si="68"/>
        <v>823.88241332298503</v>
      </c>
      <c r="CY89" s="60">
        <f ca="1">AVERAGE(OFFSET($CX$3,0,0,'Données projet'!$E$13+1,1))-AVERAGE(OFFSET($H$3,0,0,'Données projet'!$E$13+1,1))</f>
        <v>394.8445842828649</v>
      </c>
      <c r="CZ89" s="60">
        <f t="shared" si="96"/>
        <v>246.54010105494143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7.6199866064986232E-8</v>
      </c>
      <c r="DI89" s="24">
        <f t="shared" si="69"/>
        <v>7.6199866064986232E-8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2</v>
      </c>
      <c r="DO89" s="13">
        <f>IF('Données projet'!$A$166&gt;35,DO88+DN89-DW88,IF(A89&lt;'Données projet'!$A$166,$DL$205^A89,IF(A89='Données projet'!$A$166,'Données projet'!$B$166,DO88+DN89-DW88)))</f>
        <v>185.00000000000006</v>
      </c>
      <c r="DP89" s="18">
        <f>DO89*VLOOKUP('Données projet'!$B$14,Paramètres!$A$1:$I$89,3,0)*VLOOKUP('Données projet'!$B$14,Paramètres!$A$1:$I$89,5,0)</f>
        <v>161.61600000000007</v>
      </c>
      <c r="DQ89" s="14">
        <f t="shared" si="97"/>
        <v>41.20679526204917</v>
      </c>
      <c r="DR89" s="22">
        <f t="shared" si="70"/>
        <v>353.24970174806907</v>
      </c>
      <c r="DS89" s="60">
        <f t="shared" si="71"/>
        <v>646.58303508140239</v>
      </c>
      <c r="DT89" s="60">
        <f ca="1">AVERAGE(OFFSET($DS$3,0,0,'Données projet'!$E$14+1,1))-AVERAGE(OFFSET($H$3,0,0,'Données projet'!$E$14+1,1))</f>
        <v>266.98113257513319</v>
      </c>
      <c r="DU89" s="60">
        <f t="shared" si="98"/>
        <v>275.73257102713393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2.3568765520410486</v>
      </c>
      <c r="EC89" s="23">
        <f>EXP(-LN(2)/2)*EC88+(1-EXP(-LN(2)/2))/(LN(2)/2)*DW89*DZ89*VLOOKUP('Données projet'!$B$14,Paramètres!$A$1:$I$89,3,0)*0.475*44/12</f>
        <v>3.8991117423509455E-8</v>
      </c>
      <c r="ED89" s="24">
        <f t="shared" si="72"/>
        <v>2.3568765910321661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5.4</v>
      </c>
      <c r="EJ89" s="13">
        <f>IF('Données projet'!$A$192&gt;35,EJ88+EI89-ER88,IF(A89&lt;'Données projet'!$A$192,$EG$205^A89,IF(A89='Données projet'!$A$192,'Données projet'!$B$192,EJ88+EI89-ER88)))</f>
        <v>253.40000000000015</v>
      </c>
      <c r="EK89" s="18">
        <f>EJ89*VLOOKUP('Données projet'!$B$15,Paramètres!$A$1:$I$89,3,0)*VLOOKUP('Données projet'!$B$15,Paramètres!$A$1:$I$89,5,0)</f>
        <v>288.5719200000002</v>
      </c>
      <c r="EL89" s="14">
        <f t="shared" si="99"/>
        <v>68.775310576263308</v>
      </c>
      <c r="EM89" s="22">
        <f t="shared" si="73"/>
        <v>622.37975992032568</v>
      </c>
      <c r="EN89" s="60">
        <f t="shared" si="74"/>
        <v>915.71309325365905</v>
      </c>
      <c r="EO89" s="60">
        <f ca="1">AVERAGE(OFFSET($EN$3,0,0,'Données projet'!$E$15+1,1))-AVERAGE(OFFSET($H$3,0,0,'Données projet'!$E$15+1,1))</f>
        <v>457.62828850677369</v>
      </c>
      <c r="EP89" s="60">
        <f t="shared" si="100"/>
        <v>282.78263556175563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5.4</v>
      </c>
      <c r="FE89" s="13">
        <f>IF('Données projet'!$A$218&gt;35,FE88+FD89-FM88,IF(A89&lt;'Données projet'!$A$218,$FB$205^A89,IF(A89='Données projet'!$A$218,'Données projet'!$B$218,FE88+FD89-FM88)))</f>
        <v>253.40000000000015</v>
      </c>
      <c r="FF89" s="18">
        <f>FE89*VLOOKUP('Données projet'!$B$16,Paramètres!$A$1:$I$89,3,0)*VLOOKUP('Données projet'!$B$16,Paramètres!$A$1:$I$89,5,0)</f>
        <v>276.71280000000013</v>
      </c>
      <c r="FG89" s="14">
        <f t="shared" si="101"/>
        <v>66.271852286117081</v>
      </c>
      <c r="FH89" s="22">
        <f t="shared" si="76"/>
        <v>597.36493606498743</v>
      </c>
      <c r="FI89" s="60">
        <f t="shared" si="77"/>
        <v>890.69826939832069</v>
      </c>
      <c r="FJ89" s="60">
        <f ca="1">AVERAGE(OFFSET($FI$3,0,0,'Données projet'!$E$16+1,1))-AVERAGE(OFFSET($H$3,0,0,'Données projet'!$E$16+1,1))</f>
        <v>440.52623925652182</v>
      </c>
      <c r="FK89" s="60">
        <f t="shared" si="102"/>
        <v>272.91122662088918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14.142857142857142</v>
      </c>
      <c r="FZ89" s="13">
        <f>IF('Données projet'!$A$244&gt;35,FZ88+FY89-GH88,IF(A89&lt;'Données projet'!$A$244,$FW$205^A89,IF(A89='Données projet'!$A$244,'Données projet'!$B$244,FZ88+FY89-GH88)))</f>
        <v>507.85714285714334</v>
      </c>
      <c r="GA89" s="18">
        <f>FZ89*VLOOKUP('Données projet'!$B$17,Paramètres!$A$1:$I$89,3,0)*VLOOKUP('Données projet'!$B$17,Paramètres!$A$1:$I$89,5,0)</f>
        <v>237.67714285714308</v>
      </c>
      <c r="GB89" s="14">
        <f t="shared" si="103"/>
        <v>57.939473914063178</v>
      </c>
      <c r="GC89" s="22">
        <f t="shared" si="79"/>
        <v>514.86560754318418</v>
      </c>
      <c r="GD89" s="60">
        <f t="shared" si="80"/>
        <v>808.19894087651755</v>
      </c>
      <c r="GE89" s="60">
        <f ca="1">AVERAGE(OFFSET($GD$3,0,0,'Données projet'!$E$17+1,1))-AVERAGE(OFFSET($H$3,0,0,'Données projet'!$E$17+1,1))</f>
        <v>317.54276561627643</v>
      </c>
      <c r="GF89" s="60">
        <f t="shared" si="104"/>
        <v>238.92443174298893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>
        <f>GU89*VLOOKUP('Données projet'!$B$18,Paramètres!$A$1:$I$89,3,0)*VLOOKUP('Données projet'!$B$18,Paramètres!$A$1:$I$89,5,0)</f>
        <v>0</v>
      </c>
      <c r="GW89" s="14" t="e">
        <f t="shared" si="105"/>
        <v>#NUM!</v>
      </c>
      <c r="GX89" s="22" t="e">
        <f t="shared" si="82"/>
        <v>#NUM!</v>
      </c>
      <c r="GY89" s="60" t="e">
        <f t="shared" si="83"/>
        <v>#NUM!</v>
      </c>
      <c r="GZ89" s="60">
        <f ca="1">AVERAGE(OFFSET($GY$3,0,0,'Données projet'!$E$18+1,1))-AVERAGE(OFFSET($H$3,0,0,'Données projet'!$E$18+1,1))</f>
        <v>79.868679770907136</v>
      </c>
      <c r="HA89" s="60">
        <f t="shared" si="106"/>
        <v>370.47471103028312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20.495997892078968</v>
      </c>
      <c r="HH89" s="23">
        <f>EXP(-LN(2)/25)*HH88+(1-EXP(-LN(2)/25))/(LN(2)/25)*Calculateur!HC89*Calculateur!HE89*VLOOKUP('Données projet'!$B$18,Paramètres!$A$1:$I$89,3,0)*0.475*44/12</f>
        <v>3.1978661549787222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23.693864047057691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0">
        <f t="shared" si="55"/>
        <v>293.33333333333439</v>
      </c>
      <c r="S90" s="60">
        <f ca="1">AVERAGE(OFFSET($R$3,0,0,'Données projet'!$E$9+1,1))-AVERAGE(OFFSET($H$3,0,0,'Données projet'!$E$9+1,1))</f>
        <v>206.5885410269899</v>
      </c>
      <c r="T90" s="60">
        <f t="shared" si="88"/>
        <v>347.41156847586302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3.3992364478763198E-14</v>
      </c>
      <c r="AK90" s="14">
        <f t="shared" si="89"/>
        <v>5.790027782444094E-13</v>
      </c>
      <c r="AL90" s="22">
        <f t="shared" si="58"/>
        <v>1.0676332069095257E-12</v>
      </c>
      <c r="AM90" s="60">
        <f t="shared" si="59"/>
        <v>293.33333333333439</v>
      </c>
      <c r="AN90" s="60">
        <f ca="1">AVERAGE(OFFSET($AM$3,0,0,'Données projet'!$E$10+1,1))-AVERAGE(OFFSET($H$3,0,0,'Données projet'!$E$10+1,1))</f>
        <v>206.5885410269899</v>
      </c>
      <c r="AO90" s="60">
        <f t="shared" si="90"/>
        <v>347.41156847586302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35.377598833781228</v>
      </c>
      <c r="AV90" s="23">
        <f>EXP(-LN(2)/25)*AV89+(1-EXP(-LN(2)/25))/(LN(2)/25)*Calculateur!AQ90*Calculateur!AS90*VLOOKUP('Données projet'!$B$10,Paramètres!$A$1:$I$89,3,0)*0.475*44/12</f>
        <v>0.68833216209879577</v>
      </c>
      <c r="AW90" s="23">
        <f>EXP(-LN(2)/2)*AW89+(1-EXP(-LN(2)/2))/(LN(2)/2)*AQ90*AT90*VLOOKUP('Données projet'!$B$10,Paramètres!$A$1:$I$89,3,0)*0.475*44/12</f>
        <v>2.901596199797073E-6</v>
      </c>
      <c r="AX90" s="23">
        <f t="shared" si="60"/>
        <v>36.065933897476221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258.80000000000013</v>
      </c>
      <c r="BE90" s="14">
        <f>BD90*VLOOKUP('Données projet'!$B$11,Paramètres!$A$1:$I$89,3,0)*VLOOKUP('Données projet'!$B$11,Paramètres!$A$1:$I$89,5,0)</f>
        <v>246.27408000000014</v>
      </c>
      <c r="BF90" s="14">
        <f t="shared" si="91"/>
        <v>59.787395242924525</v>
      </c>
      <c r="BG90" s="22">
        <f t="shared" si="61"/>
        <v>533.05706938142703</v>
      </c>
      <c r="BH90" s="60">
        <f t="shared" si="62"/>
        <v>826.39040271476028</v>
      </c>
      <c r="BI90" s="60">
        <f ca="1">AVERAGE(OFFSET($BH$3,0,0,'Données projet'!$E$11+1,1))-AVERAGE(OFFSET($H$3,0,0,'Données projet'!$E$11+1,1))</f>
        <v>389.12604446638119</v>
      </c>
      <c r="BJ90" s="60">
        <f t="shared" si="92"/>
        <v>243.23852967152732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5.4</v>
      </c>
      <c r="BY90" s="13">
        <f>IF('Données projet'!$A$114&gt;35,BY89+BX90-CG89,IF(A90&lt;'Données projet'!$A$114,$BV$205^A90,IF(A90='Données projet'!$A$114,'Données projet'!$B$114,BY89+BX90-CG89)))</f>
        <v>258.80000000000013</v>
      </c>
      <c r="BZ90" s="14">
        <f>BY90*VLOOKUP('Données projet'!$B$12,Paramètres!$A$1:$I$89,3,0)*VLOOKUP('Données projet'!$B$12,Paramètres!$A$1:$I$89,5,0)</f>
        <v>234.16224000000011</v>
      </c>
      <c r="CA90" s="14">
        <f t="shared" si="93"/>
        <v>57.181713578143096</v>
      </c>
      <c r="CB90" s="22">
        <f t="shared" si="64"/>
        <v>507.42405248193273</v>
      </c>
      <c r="CC90" s="60">
        <f t="shared" si="65"/>
        <v>800.75738581526605</v>
      </c>
      <c r="CD90" s="60">
        <f ca="1">AVERAGE(OFFSET($CC$3,0,0,'Données projet'!$E$12+1,1))-AVERAGE(OFFSET($H$3,0,0,'Données projet'!$E$12+1,1))</f>
        <v>371.95849973474657</v>
      </c>
      <c r="CE90" s="60">
        <f t="shared" si="94"/>
        <v>233.32640143610547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5.0405219954248195E-8</v>
      </c>
      <c r="CN90" s="24">
        <f t="shared" si="66"/>
        <v>5.0405219954248195E-8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5.4</v>
      </c>
      <c r="CT90" s="13">
        <f>IF('Données projet'!$A$140&gt;35,CT89+CS90-DB89,IF(A90&lt;'Données projet'!$A$140,$CQ$205^A90,IF(A90='Données projet'!$A$140,'Données projet'!$B$140,CT89+CS90-DB89)))</f>
        <v>258.80000000000013</v>
      </c>
      <c r="CU90" s="18">
        <f>CT90*VLOOKUP('Données projet'!$B$13,Paramètres!$A$1:$I$89,3,0)*VLOOKUP('Données projet'!$B$13,Paramètres!$A$1:$I$89,5,0)</f>
        <v>250.31136000000012</v>
      </c>
      <c r="CV90" s="14">
        <f t="shared" si="95"/>
        <v>60.652609079641877</v>
      </c>
      <c r="CW90" s="22">
        <f t="shared" si="67"/>
        <v>541.59557948037639</v>
      </c>
      <c r="CX90" s="60">
        <f t="shared" si="68"/>
        <v>834.92891281370976</v>
      </c>
      <c r="CY90" s="60">
        <f ca="1">AVERAGE(OFFSET($CX$3,0,0,'Données projet'!$E$13+1,1))-AVERAGE(OFFSET($H$3,0,0,'Données projet'!$E$13+1,1))</f>
        <v>394.8445842828649</v>
      </c>
      <c r="CZ90" s="60">
        <f t="shared" si="96"/>
        <v>246.54010105494143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5.3881442020058448E-8</v>
      </c>
      <c r="DI90" s="24">
        <f t="shared" si="69"/>
        <v>5.3881442020058448E-8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2</v>
      </c>
      <c r="DO90" s="13">
        <f>IF('Données projet'!$A$166&gt;35,DO89+DN90-DW89,IF(A90&lt;'Données projet'!$A$166,$DL$205^A90,IF(A90='Données projet'!$A$166,'Données projet'!$B$166,DO89+DN90-DW89)))</f>
        <v>187.00000000000006</v>
      </c>
      <c r="DP90" s="18">
        <f>DO90*VLOOKUP('Données projet'!$B$14,Paramètres!$A$1:$I$89,3,0)*VLOOKUP('Données projet'!$B$14,Paramètres!$A$1:$I$89,5,0)</f>
        <v>163.36320000000006</v>
      </c>
      <c r="DQ90" s="14">
        <f t="shared" si="97"/>
        <v>41.600173715581661</v>
      </c>
      <c r="DR90" s="22">
        <f t="shared" si="70"/>
        <v>356.97787588797149</v>
      </c>
      <c r="DS90" s="60">
        <f t="shared" si="71"/>
        <v>650.31120922130481</v>
      </c>
      <c r="DT90" s="60">
        <f ca="1">AVERAGE(OFFSET($DS$3,0,0,'Données projet'!$E$14+1,1))-AVERAGE(OFFSET($H$3,0,0,'Données projet'!$E$14+1,1))</f>
        <v>266.98113257513319</v>
      </c>
      <c r="DU90" s="60">
        <f t="shared" si="98"/>
        <v>275.73257102713393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2.2924276387827351</v>
      </c>
      <c r="EC90" s="23">
        <f>EXP(-LN(2)/2)*EC89+(1-EXP(-LN(2)/2))/(LN(2)/2)*DW90*DZ90*VLOOKUP('Données projet'!$B$14,Paramètres!$A$1:$I$89,3,0)*0.475*44/12</f>
        <v>2.7570883536204481E-8</v>
      </c>
      <c r="ED90" s="24">
        <f t="shared" si="72"/>
        <v>2.2924276663536185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5.4</v>
      </c>
      <c r="EJ90" s="13">
        <f>IF('Données projet'!$A$192&gt;35,EJ89+EI90-ER89,IF(A90&lt;'Données projet'!$A$192,$EG$205^A90,IF(A90='Données projet'!$A$192,'Données projet'!$B$192,EJ89+EI90-ER89)))</f>
        <v>258.80000000000013</v>
      </c>
      <c r="EK90" s="18">
        <f>EJ90*VLOOKUP('Données projet'!$B$15,Paramètres!$A$1:$I$89,3,0)*VLOOKUP('Données projet'!$B$15,Paramètres!$A$1:$I$89,5,0)</f>
        <v>294.72144000000014</v>
      </c>
      <c r="EL90" s="14">
        <f t="shared" si="99"/>
        <v>70.068733866215368</v>
      </c>
      <c r="EM90" s="22">
        <f t="shared" si="73"/>
        <v>635.3428861503254</v>
      </c>
      <c r="EN90" s="60">
        <f t="shared" si="74"/>
        <v>928.67621948365877</v>
      </c>
      <c r="EO90" s="60">
        <f ca="1">AVERAGE(OFFSET($EN$3,0,0,'Données projet'!$E$15+1,1))-AVERAGE(OFFSET($H$3,0,0,'Données projet'!$E$15+1,1))</f>
        <v>457.62828850677369</v>
      </c>
      <c r="EP90" s="60">
        <f t="shared" si="100"/>
        <v>282.78263556175563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5.4</v>
      </c>
      <c r="FE90" s="13">
        <f>IF('Données projet'!$A$218&gt;35,FE89+FD90-FM89,IF(A90&lt;'Données projet'!$A$218,$FB$205^A90,IF(A90='Données projet'!$A$218,'Données projet'!$B$218,FE89+FD90-FM89)))</f>
        <v>258.80000000000013</v>
      </c>
      <c r="FF90" s="18">
        <f>FE90*VLOOKUP('Données projet'!$B$16,Paramètres!$A$1:$I$89,3,0)*VLOOKUP('Données projet'!$B$16,Paramètres!$A$1:$I$89,5,0)</f>
        <v>282.60960000000011</v>
      </c>
      <c r="FG90" s="14">
        <f t="shared" si="101"/>
        <v>67.51819427275305</v>
      </c>
      <c r="FH90" s="22">
        <f t="shared" si="76"/>
        <v>609.80590835837836</v>
      </c>
      <c r="FI90" s="60">
        <f t="shared" si="77"/>
        <v>903.13924169171173</v>
      </c>
      <c r="FJ90" s="60">
        <f ca="1">AVERAGE(OFFSET($FI$3,0,0,'Données projet'!$E$16+1,1))-AVERAGE(OFFSET($H$3,0,0,'Données projet'!$E$16+1,1))</f>
        <v>440.52623925652182</v>
      </c>
      <c r="FK90" s="60">
        <f t="shared" si="102"/>
        <v>272.91122662088918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>
        <f>VLOOKUP(A90,'Données projet'!$A$243:$I$263,2,0)</f>
        <v>522</v>
      </c>
      <c r="FX90" s="13">
        <f>VLOOKUP(A90,'Données projet'!$A$243:$I$263,9,0)</f>
        <v>14.142857142857142</v>
      </c>
      <c r="FY90" s="13">
        <f t="array" ref="FY90">INDEX(FX:FX,MIN(IF(ISNUMBER(FX90:FX286),ROW(FX90:FX286),"")))</f>
        <v>14.142857142857142</v>
      </c>
      <c r="FZ90" s="13">
        <f>IF('Données projet'!$A$244&gt;35,FZ89+FY90-GH89,IF(A90&lt;'Données projet'!$A$244,$FW$205^A90,IF(A90='Données projet'!$A$244,'Données projet'!$B$244,FZ89+FY90-GH89)))</f>
        <v>522.00000000000045</v>
      </c>
      <c r="GA90" s="18">
        <f>FZ90*VLOOKUP('Données projet'!$B$17,Paramètres!$A$1:$I$89,3,0)*VLOOKUP('Données projet'!$B$17,Paramètres!$A$1:$I$89,5,0)</f>
        <v>244.29600000000022</v>
      </c>
      <c r="GB90" s="14">
        <f t="shared" si="103"/>
        <v>59.362879241040417</v>
      </c>
      <c r="GC90" s="22">
        <f t="shared" si="79"/>
        <v>528.87254801147901</v>
      </c>
      <c r="GD90" s="60">
        <f t="shared" si="80"/>
        <v>822.20588134481227</v>
      </c>
      <c r="GE90" s="60">
        <f ca="1">AVERAGE(OFFSET($GD$3,0,0,'Données projet'!$E$17+1,1))-AVERAGE(OFFSET($H$3,0,0,'Données projet'!$E$17+1,1))</f>
        <v>317.54276561627643</v>
      </c>
      <c r="GF90" s="60">
        <f t="shared" si="104"/>
        <v>238.92443174298893</v>
      </c>
      <c r="GG90" s="16">
        <f>IF(ISNA(VLOOKUP(A90,'Données projet'!$A$243:$I$263,3,0)),0,VLOOKUP(A90,'Données projet'!$A$243:$I$263,3,0))</f>
        <v>15</v>
      </c>
      <c r="GH90" s="16">
        <f>IF(ISNA(VLOOKUP(A90,'Données projet'!$A$243:$I$263,4,0)),0,VLOOKUP(A90,'Données projet'!$A$243:$I$263,4,0))</f>
        <v>89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>
        <f>GU90*VLOOKUP('Données projet'!$B$18,Paramètres!$A$1:$I$89,3,0)*VLOOKUP('Données projet'!$B$18,Paramètres!$A$1:$I$89,5,0)</f>
        <v>0</v>
      </c>
      <c r="GW90" s="14" t="e">
        <f t="shared" si="105"/>
        <v>#NUM!</v>
      </c>
      <c r="GX90" s="22" t="e">
        <f t="shared" si="82"/>
        <v>#NUM!</v>
      </c>
      <c r="GY90" s="60" t="e">
        <f t="shared" si="83"/>
        <v>#NUM!</v>
      </c>
      <c r="GZ90" s="60">
        <f ca="1">AVERAGE(OFFSET($GY$3,0,0,'Données projet'!$E$18+1,1))-AVERAGE(OFFSET($H$3,0,0,'Données projet'!$E$18+1,1))</f>
        <v>79.868679770907136</v>
      </c>
      <c r="HA90" s="60">
        <f t="shared" si="106"/>
        <v>370.47471103028312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20.09408387473961</v>
      </c>
      <c r="HH90" s="23">
        <f>EXP(-LN(2)/25)*HH89+(1-EXP(-LN(2)/25))/(LN(2)/25)*Calculateur!HC90*Calculateur!HE90*VLOOKUP('Données projet'!$B$18,Paramètres!$A$1:$I$89,3,0)*0.475*44/12</f>
        <v>3.1104203368023566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23.204504211541966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0">
        <f t="shared" si="55"/>
        <v>293.33333333333439</v>
      </c>
      <c r="S91" s="60">
        <f ca="1">AVERAGE(OFFSET($R$3,0,0,'Données projet'!$E$9+1,1))-AVERAGE(OFFSET($H$3,0,0,'Données projet'!$E$9+1,1))</f>
        <v>206.5885410269899</v>
      </c>
      <c r="T91" s="60">
        <f t="shared" si="88"/>
        <v>347.41156847586302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3.3992364478763198E-14</v>
      </c>
      <c r="AK91" s="14">
        <f t="shared" si="89"/>
        <v>5.790027782444094E-13</v>
      </c>
      <c r="AL91" s="22">
        <f t="shared" si="58"/>
        <v>1.0676332069095257E-12</v>
      </c>
      <c r="AM91" s="60">
        <f t="shared" si="59"/>
        <v>293.33333333333439</v>
      </c>
      <c r="AN91" s="60">
        <f ca="1">AVERAGE(OFFSET($AM$3,0,0,'Données projet'!$E$10+1,1))-AVERAGE(OFFSET($H$3,0,0,'Données projet'!$E$10+1,1))</f>
        <v>206.5885410269899</v>
      </c>
      <c r="AO91" s="60">
        <f t="shared" si="90"/>
        <v>347.41156847586302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34.683865698855399</v>
      </c>
      <c r="AV91" s="23">
        <f>EXP(-LN(2)/25)*AV90+(1-EXP(-LN(2)/25))/(LN(2)/25)*Calculateur!AQ91*Calculateur!AS91*VLOOKUP('Données projet'!$B$10,Paramètres!$A$1:$I$89,3,0)*0.475*44/12</f>
        <v>0.66950968292838897</v>
      </c>
      <c r="AW91" s="23">
        <f>EXP(-LN(2)/2)*AW90+(1-EXP(-LN(2)/2))/(LN(2)/2)*AQ91*AT91*VLOOKUP('Données projet'!$B$10,Paramètres!$A$1:$I$89,3,0)*0.475*44/12</f>
        <v>2.0517383491416267E-6</v>
      </c>
      <c r="AX91" s="23">
        <f t="shared" si="60"/>
        <v>35.353377433522134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264.2000000000001</v>
      </c>
      <c r="BE91" s="14">
        <f>BD91*VLOOKUP('Données projet'!$B$11,Paramètres!$A$1:$I$89,3,0)*VLOOKUP('Données projet'!$B$11,Paramètres!$A$1:$I$89,5,0)</f>
        <v>251.41272000000012</v>
      </c>
      <c r="BF91" s="14">
        <f t="shared" si="91"/>
        <v>60.888354295829252</v>
      </c>
      <c r="BG91" s="22">
        <f t="shared" si="61"/>
        <v>543.92437106523619</v>
      </c>
      <c r="BH91" s="60">
        <f t="shared" si="62"/>
        <v>837.25770439856956</v>
      </c>
      <c r="BI91" s="60">
        <f ca="1">AVERAGE(OFFSET($BH$3,0,0,'Données projet'!$E$11+1,1))-AVERAGE(OFFSET($H$3,0,0,'Données projet'!$E$11+1,1))</f>
        <v>389.12604446638119</v>
      </c>
      <c r="BJ91" s="60">
        <f t="shared" si="92"/>
        <v>243.23852967152732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5.4</v>
      </c>
      <c r="BY91" s="13">
        <f>IF('Données projet'!$A$114&gt;35,BY90+BX91-CG90,IF(A91&lt;'Données projet'!$A$114,$BV$205^A91,IF(A91='Données projet'!$A$114,'Données projet'!$B$114,BY90+BX91-CG90)))</f>
        <v>264.2000000000001</v>
      </c>
      <c r="BZ91" s="14">
        <f>BY91*VLOOKUP('Données projet'!$B$12,Paramètres!$A$1:$I$89,3,0)*VLOOKUP('Données projet'!$B$12,Paramètres!$A$1:$I$89,5,0)</f>
        <v>239.04816000000008</v>
      </c>
      <c r="CA91" s="14">
        <f t="shared" si="93"/>
        <v>58.234690128947342</v>
      </c>
      <c r="CB91" s="22">
        <f t="shared" si="64"/>
        <v>517.76763064125009</v>
      </c>
      <c r="CC91" s="60">
        <f t="shared" si="65"/>
        <v>811.10096397458346</v>
      </c>
      <c r="CD91" s="60">
        <f ca="1">AVERAGE(OFFSET($CC$3,0,0,'Données projet'!$E$12+1,1))-AVERAGE(OFFSET($H$3,0,0,'Données projet'!$E$12+1,1))</f>
        <v>371.95849973474657</v>
      </c>
      <c r="CE91" s="60">
        <f t="shared" si="94"/>
        <v>233.32640143610547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3.5641872836848377E-8</v>
      </c>
      <c r="CN91" s="24">
        <f t="shared" si="66"/>
        <v>3.5641872836848377E-8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5.4</v>
      </c>
      <c r="CT91" s="13">
        <f>IF('Données projet'!$A$140&gt;35,CT90+CS91-DB90,IF(A91&lt;'Données projet'!$A$140,$CQ$205^A91,IF(A91='Données projet'!$A$140,'Données projet'!$B$140,CT90+CS91-DB90)))</f>
        <v>264.2000000000001</v>
      </c>
      <c r="CU91" s="18">
        <f>CT91*VLOOKUP('Données projet'!$B$13,Paramètres!$A$1:$I$89,3,0)*VLOOKUP('Données projet'!$B$13,Paramètres!$A$1:$I$89,5,0)</f>
        <v>255.5342400000001</v>
      </c>
      <c r="CV91" s="14">
        <f t="shared" si="95"/>
        <v>61.769500671543469</v>
      </c>
      <c r="CW91" s="22">
        <f t="shared" si="67"/>
        <v>552.63734833627166</v>
      </c>
      <c r="CX91" s="60">
        <f t="shared" si="68"/>
        <v>845.97068166960503</v>
      </c>
      <c r="CY91" s="60">
        <f ca="1">AVERAGE(OFFSET($CX$3,0,0,'Données projet'!$E$13+1,1))-AVERAGE(OFFSET($H$3,0,0,'Données projet'!$E$13+1,1))</f>
        <v>394.8445842828649</v>
      </c>
      <c r="CZ91" s="60">
        <f t="shared" si="96"/>
        <v>246.54010105494143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3.8099933032493116E-8</v>
      </c>
      <c r="DI91" s="24">
        <f t="shared" si="69"/>
        <v>3.8099933032493116E-8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2</v>
      </c>
      <c r="DO91" s="13">
        <f>IF('Données projet'!$A$166&gt;35,DO90+DN91-DW90,IF(A91&lt;'Données projet'!$A$166,$DL$205^A91,IF(A91='Données projet'!$A$166,'Données projet'!$B$166,DO90+DN91-DW90)))</f>
        <v>189.00000000000006</v>
      </c>
      <c r="DP91" s="18">
        <f>DO91*VLOOKUP('Données projet'!$B$14,Paramètres!$A$1:$I$89,3,0)*VLOOKUP('Données projet'!$B$14,Paramètres!$A$1:$I$89,5,0)</f>
        <v>165.11040000000008</v>
      </c>
      <c r="DQ91" s="14">
        <f t="shared" si="97"/>
        <v>41.993062739333482</v>
      </c>
      <c r="DR91" s="22">
        <f t="shared" si="70"/>
        <v>360.70519760433928</v>
      </c>
      <c r="DS91" s="60">
        <f t="shared" si="71"/>
        <v>654.03853093767259</v>
      </c>
      <c r="DT91" s="60">
        <f ca="1">AVERAGE(OFFSET($DS$3,0,0,'Données projet'!$E$14+1,1))-AVERAGE(OFFSET($H$3,0,0,'Données projet'!$E$14+1,1))</f>
        <v>266.98113257513319</v>
      </c>
      <c r="DU91" s="60">
        <f t="shared" si="98"/>
        <v>275.73257102713393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2.2297410844466912</v>
      </c>
      <c r="EC91" s="23">
        <f>EXP(-LN(2)/2)*EC90+(1-EXP(-LN(2)/2))/(LN(2)/2)*DW91*DZ91*VLOOKUP('Données projet'!$B$14,Paramètres!$A$1:$I$89,3,0)*0.475*44/12</f>
        <v>1.9495558711754727E-8</v>
      </c>
      <c r="ED91" s="24">
        <f t="shared" si="72"/>
        <v>2.2297411039422497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5.4</v>
      </c>
      <c r="EJ91" s="13">
        <f>IF('Données projet'!$A$192&gt;35,EJ90+EI91-ER90,IF(A91&lt;'Données projet'!$A$192,$EG$205^A91,IF(A91='Données projet'!$A$192,'Données projet'!$B$192,EJ90+EI91-ER90)))</f>
        <v>264.2000000000001</v>
      </c>
      <c r="EK91" s="18">
        <f>EJ91*VLOOKUP('Données projet'!$B$15,Paramètres!$A$1:$I$89,3,0)*VLOOKUP('Données projet'!$B$15,Paramètres!$A$1:$I$89,5,0)</f>
        <v>300.87096000000014</v>
      </c>
      <c r="EL91" s="14">
        <f t="shared" si="99"/>
        <v>71.359019327927484</v>
      </c>
      <c r="EM91" s="22">
        <f t="shared" si="73"/>
        <v>648.30054732947394</v>
      </c>
      <c r="EN91" s="60">
        <f t="shared" si="74"/>
        <v>941.63388066280731</v>
      </c>
      <c r="EO91" s="60">
        <f ca="1">AVERAGE(OFFSET($EN$3,0,0,'Données projet'!$E$15+1,1))-AVERAGE(OFFSET($H$3,0,0,'Données projet'!$E$15+1,1))</f>
        <v>457.62828850677369</v>
      </c>
      <c r="EP91" s="60">
        <f t="shared" si="100"/>
        <v>282.78263556175563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5.4</v>
      </c>
      <c r="FE91" s="13">
        <f>IF('Données projet'!$A$218&gt;35,FE90+FD91-FM90,IF(A91&lt;'Données projet'!$A$218,$FB$205^A91,IF(A91='Données projet'!$A$218,'Données projet'!$B$218,FE90+FD91-FM90)))</f>
        <v>264.2000000000001</v>
      </c>
      <c r="FF91" s="18">
        <f>FE91*VLOOKUP('Données projet'!$B$16,Paramètres!$A$1:$I$89,3,0)*VLOOKUP('Données projet'!$B$16,Paramètres!$A$1:$I$89,5,0)</f>
        <v>288.5064000000001</v>
      </c>
      <c r="FG91" s="14">
        <f t="shared" si="101"/>
        <v>68.761512649784393</v>
      </c>
      <c r="FH91" s="22">
        <f t="shared" si="76"/>
        <v>622.24161453170791</v>
      </c>
      <c r="FI91" s="60">
        <f t="shared" si="77"/>
        <v>915.57494786504117</v>
      </c>
      <c r="FJ91" s="60">
        <f ca="1">AVERAGE(OFFSET($FI$3,0,0,'Données projet'!$E$16+1,1))-AVERAGE(OFFSET($H$3,0,0,'Données projet'!$E$16+1,1))</f>
        <v>440.52623925652182</v>
      </c>
      <c r="FK91" s="60">
        <f t="shared" si="102"/>
        <v>272.91122662088918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>
        <f>VLOOKUP(A91,'Données projet'!$A$243:$I$263,2,0)</f>
        <v>447</v>
      </c>
      <c r="FX91" s="13">
        <f>VLOOKUP(A91,'Données projet'!$A$243:$I$263,9,0)</f>
        <v>14</v>
      </c>
      <c r="FY91" s="13">
        <f t="array" ref="FY91">INDEX(FX:FX,MIN(IF(ISNUMBER(FX91:FX287),ROW(FX91:FX287),"")))</f>
        <v>14</v>
      </c>
      <c r="FZ91" s="13">
        <f>IF('Données projet'!$A$244&gt;35,FZ90+FY91-GH90,IF(A91&lt;'Données projet'!$A$244,$FW$205^A91,IF(A91='Données projet'!$A$244,'Données projet'!$B$244,FZ90+FY91-GH90)))</f>
        <v>447.00000000000045</v>
      </c>
      <c r="GA91" s="18">
        <f>FZ91*VLOOKUP('Données projet'!$B$17,Paramètres!$A$1:$I$89,3,0)*VLOOKUP('Données projet'!$B$17,Paramètres!$A$1:$I$89,5,0)</f>
        <v>209.19600000000023</v>
      </c>
      <c r="GB91" s="14">
        <f t="shared" si="103"/>
        <v>51.759852265375834</v>
      </c>
      <c r="GC91" s="22">
        <f t="shared" si="79"/>
        <v>454.4981093621966</v>
      </c>
      <c r="GD91" s="60">
        <f t="shared" si="80"/>
        <v>747.83144269552986</v>
      </c>
      <c r="GE91" s="60">
        <f ca="1">AVERAGE(OFFSET($GD$3,0,0,'Données projet'!$E$17+1,1))-AVERAGE(OFFSET($H$3,0,0,'Données projet'!$E$17+1,1))</f>
        <v>317.54276561627643</v>
      </c>
      <c r="GF91" s="60">
        <f t="shared" si="104"/>
        <v>238.92443174298893</v>
      </c>
      <c r="GG91" s="16">
        <f>IF(ISNA(VLOOKUP(A91,'Données projet'!$A$243:$I$263,3,0)),0,VLOOKUP(A91,'Données projet'!$A$243:$I$263,3,0))</f>
        <v>16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>
        <f>GU91*VLOOKUP('Données projet'!$B$18,Paramètres!$A$1:$I$89,3,0)*VLOOKUP('Données projet'!$B$18,Paramètres!$A$1:$I$89,5,0)</f>
        <v>0</v>
      </c>
      <c r="GW91" s="14" t="e">
        <f t="shared" si="105"/>
        <v>#NUM!</v>
      </c>
      <c r="GX91" s="22" t="e">
        <f t="shared" si="82"/>
        <v>#NUM!</v>
      </c>
      <c r="GY91" s="60" t="e">
        <f t="shared" si="83"/>
        <v>#NUM!</v>
      </c>
      <c r="GZ91" s="60">
        <f ca="1">AVERAGE(OFFSET($GY$3,0,0,'Données projet'!$E$18+1,1))-AVERAGE(OFFSET($H$3,0,0,'Données projet'!$E$18+1,1))</f>
        <v>79.868679770907136</v>
      </c>
      <c r="HA91" s="60">
        <f t="shared" si="106"/>
        <v>370.47471103028312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19.700051146136932</v>
      </c>
      <c r="HH91" s="23">
        <f>EXP(-LN(2)/25)*HH90+(1-EXP(-LN(2)/25))/(LN(2)/25)*Calculateur!HC91*Calculateur!HE91*VLOOKUP('Données projet'!$B$18,Paramètres!$A$1:$I$89,3,0)*0.475*44/12</f>
        <v>3.0253657291225995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22.725416875259533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0">
        <f t="shared" si="55"/>
        <v>293.33333333333439</v>
      </c>
      <c r="S92" s="60">
        <f ca="1">AVERAGE(OFFSET($R$3,0,0,'Données projet'!$E$9+1,1))-AVERAGE(OFFSET($H$3,0,0,'Données projet'!$E$9+1,1))</f>
        <v>206.5885410269899</v>
      </c>
      <c r="T92" s="60">
        <f t="shared" si="88"/>
        <v>347.41156847586302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3.3992364478763198E-14</v>
      </c>
      <c r="AK92" s="14">
        <f t="shared" si="89"/>
        <v>5.790027782444094E-13</v>
      </c>
      <c r="AL92" s="22">
        <f t="shared" si="58"/>
        <v>1.0676332069095257E-12</v>
      </c>
      <c r="AM92" s="60">
        <f t="shared" si="59"/>
        <v>293.33333333333439</v>
      </c>
      <c r="AN92" s="60">
        <f ca="1">AVERAGE(OFFSET($AM$3,0,0,'Données projet'!$E$10+1,1))-AVERAGE(OFFSET($H$3,0,0,'Données projet'!$E$10+1,1))</f>
        <v>206.5885410269899</v>
      </c>
      <c r="AO92" s="60">
        <f t="shared" si="90"/>
        <v>347.41156847586302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34.003736247570032</v>
      </c>
      <c r="AV92" s="23">
        <f>EXP(-LN(2)/25)*AV91+(1-EXP(-LN(2)/25))/(LN(2)/25)*Calculateur!AQ92*Calculateur!AS92*VLOOKUP('Données projet'!$B$10,Paramètres!$A$1:$I$89,3,0)*0.475*44/12</f>
        <v>0.65120190544072809</v>
      </c>
      <c r="AW92" s="23">
        <f>EXP(-LN(2)/2)*AW91+(1-EXP(-LN(2)/2))/(LN(2)/2)*AQ92*AT92*VLOOKUP('Données projet'!$B$10,Paramètres!$A$1:$I$89,3,0)*0.475*44/12</f>
        <v>1.4507980998985365E-6</v>
      </c>
      <c r="AX92" s="23">
        <f t="shared" si="60"/>
        <v>34.654939603808863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269.60000000000008</v>
      </c>
      <c r="BE92" s="14">
        <f>BD92*VLOOKUP('Données projet'!$B$11,Paramètres!$A$1:$I$89,3,0)*VLOOKUP('Données projet'!$B$11,Paramètres!$A$1:$I$89,5,0)</f>
        <v>256.5513600000001</v>
      </c>
      <c r="BF92" s="14">
        <f t="shared" si="91"/>
        <v>61.986696970400196</v>
      </c>
      <c r="BG92" s="22">
        <f t="shared" si="61"/>
        <v>554.78711589011391</v>
      </c>
      <c r="BH92" s="60">
        <f t="shared" si="62"/>
        <v>848.12044922344717</v>
      </c>
      <c r="BI92" s="60">
        <f ca="1">AVERAGE(OFFSET($BH$3,0,0,'Données projet'!$E$11+1,1))-AVERAGE(OFFSET($H$3,0,0,'Données projet'!$E$11+1,1))</f>
        <v>389.12604446638119</v>
      </c>
      <c r="BJ92" s="60">
        <f t="shared" si="92"/>
        <v>243.23852967152732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5.4</v>
      </c>
      <c r="BY92" s="13">
        <f>IF('Données projet'!$A$114&gt;35,BY91+BX92-CG91,IF(A92&lt;'Données projet'!$A$114,$BV$205^A92,IF(A92='Données projet'!$A$114,'Données projet'!$B$114,BY91+BX92-CG91)))</f>
        <v>269.60000000000008</v>
      </c>
      <c r="BZ92" s="14">
        <f>BY92*VLOOKUP('Données projet'!$B$12,Paramètres!$A$1:$I$89,3,0)*VLOOKUP('Données projet'!$B$12,Paramètres!$A$1:$I$89,5,0)</f>
        <v>243.93408000000005</v>
      </c>
      <c r="CA92" s="14">
        <f t="shared" si="93"/>
        <v>59.28516432961765</v>
      </c>
      <c r="CB92" s="22">
        <f t="shared" si="64"/>
        <v>528.10685054075077</v>
      </c>
      <c r="CC92" s="60">
        <f t="shared" si="65"/>
        <v>821.44018387408414</v>
      </c>
      <c r="CD92" s="60">
        <f ca="1">AVERAGE(OFFSET($CC$3,0,0,'Données projet'!$E$12+1,1))-AVERAGE(OFFSET($H$3,0,0,'Données projet'!$E$12+1,1))</f>
        <v>371.95849973474657</v>
      </c>
      <c r="CE92" s="60">
        <f t="shared" si="94"/>
        <v>233.32640143610547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2.5202609977124097E-8</v>
      </c>
      <c r="CN92" s="24">
        <f t="shared" si="66"/>
        <v>2.5202609977124097E-8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5.4</v>
      </c>
      <c r="CT92" s="13">
        <f>IF('Données projet'!$A$140&gt;35,CT91+CS92-DB91,IF(A92&lt;'Données projet'!$A$140,$CQ$205^A92,IF(A92='Données projet'!$A$140,'Données projet'!$B$140,CT91+CS92-DB91)))</f>
        <v>269.60000000000008</v>
      </c>
      <c r="CU92" s="18">
        <f>CT92*VLOOKUP('Données projet'!$B$13,Paramètres!$A$1:$I$89,3,0)*VLOOKUP('Données projet'!$B$13,Paramètres!$A$1:$I$89,5,0)</f>
        <v>260.7571200000001</v>
      </c>
      <c r="CV92" s="14">
        <f t="shared" si="95"/>
        <v>62.883738022168423</v>
      </c>
      <c r="CW92" s="22">
        <f t="shared" si="67"/>
        <v>563.67449438861013</v>
      </c>
      <c r="CX92" s="60">
        <f t="shared" si="68"/>
        <v>857.00782772194339</v>
      </c>
      <c r="CY92" s="60">
        <f ca="1">AVERAGE(OFFSET($CX$3,0,0,'Données projet'!$E$13+1,1))-AVERAGE(OFFSET($H$3,0,0,'Données projet'!$E$13+1,1))</f>
        <v>394.8445842828649</v>
      </c>
      <c r="CZ92" s="60">
        <f t="shared" si="96"/>
        <v>246.54010105494143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2.6940721010029224E-8</v>
      </c>
      <c r="DI92" s="24">
        <f t="shared" si="69"/>
        <v>2.6940721010029224E-8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2</v>
      </c>
      <c r="DO92" s="13">
        <f>IF('Données projet'!$A$166&gt;35,DO91+DN92-DW91,IF(A92&lt;'Données projet'!$A$166,$DL$205^A92,IF(A92='Données projet'!$A$166,'Données projet'!$B$166,DO91+DN92-DW91)))</f>
        <v>191.00000000000006</v>
      </c>
      <c r="DP92" s="18">
        <f>DO92*VLOOKUP('Données projet'!$B$14,Paramètres!$A$1:$I$89,3,0)*VLOOKUP('Données projet'!$B$14,Paramètres!$A$1:$I$89,5,0)</f>
        <v>166.85760000000008</v>
      </c>
      <c r="DQ92" s="14">
        <f t="shared" si="97"/>
        <v>42.385468111966098</v>
      </c>
      <c r="DR92" s="22">
        <f t="shared" si="70"/>
        <v>364.43167696167438</v>
      </c>
      <c r="DS92" s="60">
        <f t="shared" si="71"/>
        <v>657.76501029500764</v>
      </c>
      <c r="DT92" s="60">
        <f ca="1">AVERAGE(OFFSET($DS$3,0,0,'Données projet'!$E$14+1,1))-AVERAGE(OFFSET($H$3,0,0,'Données projet'!$E$14+1,1))</f>
        <v>266.98113257513319</v>
      </c>
      <c r="DU92" s="60">
        <f t="shared" si="98"/>
        <v>275.73257102713393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2.1687686972355089</v>
      </c>
      <c r="EC92" s="23">
        <f>EXP(-LN(2)/2)*EC91+(1-EXP(-LN(2)/2))/(LN(2)/2)*DW92*DZ92*VLOOKUP('Données projet'!$B$14,Paramètres!$A$1:$I$89,3,0)*0.475*44/12</f>
        <v>1.3785441768102241E-8</v>
      </c>
      <c r="ED92" s="24">
        <f t="shared" si="72"/>
        <v>2.1687687110209506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5.4</v>
      </c>
      <c r="EJ92" s="13">
        <f>IF('Données projet'!$A$192&gt;35,EJ91+EI92-ER91,IF(A92&lt;'Données projet'!$A$192,$EG$205^A92,IF(A92='Données projet'!$A$192,'Données projet'!$B$192,EJ91+EI92-ER91)))</f>
        <v>269.60000000000008</v>
      </c>
      <c r="EK92" s="18">
        <f>EJ92*VLOOKUP('Données projet'!$B$15,Paramètres!$A$1:$I$89,3,0)*VLOOKUP('Données projet'!$B$15,Paramètres!$A$1:$I$89,5,0)</f>
        <v>307.02048000000008</v>
      </c>
      <c r="EL92" s="14">
        <f t="shared" si="99"/>
        <v>72.646238485840712</v>
      </c>
      <c r="EM92" s="22">
        <f t="shared" si="73"/>
        <v>661.25286802950598</v>
      </c>
      <c r="EN92" s="60">
        <f t="shared" si="74"/>
        <v>954.58620136283935</v>
      </c>
      <c r="EO92" s="60">
        <f ca="1">AVERAGE(OFFSET($EN$3,0,0,'Données projet'!$E$15+1,1))-AVERAGE(OFFSET($H$3,0,0,'Données projet'!$E$15+1,1))</f>
        <v>457.62828850677369</v>
      </c>
      <c r="EP92" s="60">
        <f t="shared" si="100"/>
        <v>282.78263556175563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5.4</v>
      </c>
      <c r="FE92" s="13">
        <f>IF('Données projet'!$A$218&gt;35,FE91+FD92-FM91,IF(A92&lt;'Données projet'!$A$218,$FB$205^A92,IF(A92='Données projet'!$A$218,'Données projet'!$B$218,FE91+FD92-FM91)))</f>
        <v>269.60000000000008</v>
      </c>
      <c r="FF92" s="18">
        <f>FE92*VLOOKUP('Données projet'!$B$16,Paramètres!$A$1:$I$89,3,0)*VLOOKUP('Données projet'!$B$16,Paramètres!$A$1:$I$89,5,0)</f>
        <v>294.40320000000008</v>
      </c>
      <c r="FG92" s="14">
        <f t="shared" si="101"/>
        <v>70.001876338124134</v>
      </c>
      <c r="FH92" s="22">
        <f t="shared" si="76"/>
        <v>634.672174622233</v>
      </c>
      <c r="FI92" s="60">
        <f t="shared" si="77"/>
        <v>928.00550795556637</v>
      </c>
      <c r="FJ92" s="60">
        <f ca="1">AVERAGE(OFFSET($FI$3,0,0,'Données projet'!$E$16+1,1))-AVERAGE(OFFSET($H$3,0,0,'Données projet'!$E$16+1,1))</f>
        <v>440.52623925652182</v>
      </c>
      <c r="FK92" s="60">
        <f t="shared" si="102"/>
        <v>272.91122662088918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13</v>
      </c>
      <c r="FZ92" s="13">
        <f>IF('Données projet'!$A$244&gt;35,FZ91+FY92-GH91,IF(A92&lt;'Données projet'!$A$244,$FW$205^A92,IF(A92='Données projet'!$A$244,'Données projet'!$B$244,FZ91+FY92-GH91)))</f>
        <v>460.00000000000045</v>
      </c>
      <c r="GA92" s="18">
        <f>FZ92*VLOOKUP('Données projet'!$B$17,Paramètres!$A$1:$I$89,3,0)*VLOOKUP('Données projet'!$B$17,Paramètres!$A$1:$I$89,5,0)</f>
        <v>215.28000000000023</v>
      </c>
      <c r="GB92" s="14">
        <f t="shared" si="103"/>
        <v>53.08772574085318</v>
      </c>
      <c r="GC92" s="22">
        <f t="shared" si="79"/>
        <v>467.40712233198633</v>
      </c>
      <c r="GD92" s="60">
        <f t="shared" si="80"/>
        <v>760.74045566531959</v>
      </c>
      <c r="GE92" s="60">
        <f ca="1">AVERAGE(OFFSET($GD$3,0,0,'Données projet'!$E$17+1,1))-AVERAGE(OFFSET($H$3,0,0,'Données projet'!$E$17+1,1))</f>
        <v>317.54276561627643</v>
      </c>
      <c r="GF92" s="60">
        <f t="shared" si="104"/>
        <v>238.92443174298893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>
        <f>GU92*VLOOKUP('Données projet'!$B$18,Paramètres!$A$1:$I$89,3,0)*VLOOKUP('Données projet'!$B$18,Paramètres!$A$1:$I$89,5,0)</f>
        <v>0</v>
      </c>
      <c r="GW92" s="14" t="e">
        <f t="shared" si="105"/>
        <v>#NUM!</v>
      </c>
      <c r="GX92" s="22" t="e">
        <f t="shared" si="82"/>
        <v>#NUM!</v>
      </c>
      <c r="GY92" s="60" t="e">
        <f t="shared" si="83"/>
        <v>#NUM!</v>
      </c>
      <c r="GZ92" s="60">
        <f ca="1">AVERAGE(OFFSET($GY$3,0,0,'Données projet'!$E$18+1,1))-AVERAGE(OFFSET($H$3,0,0,'Données projet'!$E$18+1,1))</f>
        <v>79.868679770907136</v>
      </c>
      <c r="HA92" s="60">
        <f t="shared" si="106"/>
        <v>370.47471103028312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19.313745159005919</v>
      </c>
      <c r="HH92" s="23">
        <f>EXP(-LN(2)/25)*HH91+(1-EXP(-LN(2)/25))/(LN(2)/25)*Calculateur!HC92*Calculateur!HE92*VLOOKUP('Données projet'!$B$18,Paramètres!$A$1:$I$89,3,0)*0.475*44/12</f>
        <v>2.9426369441626727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22.25638210316859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0">
        <f t="shared" si="55"/>
        <v>293.33333333333439</v>
      </c>
      <c r="S93" s="60">
        <f ca="1">AVERAGE(OFFSET($R$3,0,0,'Données projet'!$E$9+1,1))-AVERAGE(OFFSET($H$3,0,0,'Données projet'!$E$9+1,1))</f>
        <v>206.5885410269899</v>
      </c>
      <c r="T93" s="60">
        <f t="shared" si="88"/>
        <v>347.41156847586302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3.3992364478763198E-14</v>
      </c>
      <c r="AK93" s="14">
        <f t="shared" si="89"/>
        <v>5.790027782444094E-13</v>
      </c>
      <c r="AL93" s="22">
        <f t="shared" si="58"/>
        <v>1.0676332069095257E-12</v>
      </c>
      <c r="AM93" s="60">
        <f t="shared" si="59"/>
        <v>293.33333333333439</v>
      </c>
      <c r="AN93" s="60">
        <f ca="1">AVERAGE(OFFSET($AM$3,0,0,'Données projet'!$E$10+1,1))-AVERAGE(OFFSET($H$3,0,0,'Données projet'!$E$10+1,1))</f>
        <v>206.5885410269899</v>
      </c>
      <c r="AO93" s="60">
        <f t="shared" si="90"/>
        <v>347.41156847586302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33.336943719986365</v>
      </c>
      <c r="AV93" s="23">
        <f>EXP(-LN(2)/25)*AV92+(1-EXP(-LN(2)/25))/(LN(2)/25)*Calculateur!AQ93*Calculateur!AS93*VLOOKUP('Données projet'!$B$10,Paramètres!$A$1:$I$89,3,0)*0.475*44/12</f>
        <v>0.63339475509123155</v>
      </c>
      <c r="AW93" s="23">
        <f>EXP(-LN(2)/2)*AW92+(1-EXP(-LN(2)/2))/(LN(2)/2)*AQ93*AT93*VLOOKUP('Données projet'!$B$10,Paramètres!$A$1:$I$89,3,0)*0.475*44/12</f>
        <v>1.0258691745708134E-6</v>
      </c>
      <c r="AX93" s="23">
        <f t="shared" si="60"/>
        <v>33.970339500946771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275.00000000000006</v>
      </c>
      <c r="BE93" s="14">
        <f>BD93*VLOOKUP('Données projet'!$B$11,Paramètres!$A$1:$I$89,3,0)*VLOOKUP('Données projet'!$B$11,Paramètres!$A$1:$I$89,5,0)</f>
        <v>261.69000000000005</v>
      </c>
      <c r="BF93" s="14">
        <f t="shared" si="91"/>
        <v>63.0824817115464</v>
      </c>
      <c r="BG93" s="22">
        <f t="shared" si="61"/>
        <v>565.64540564761012</v>
      </c>
      <c r="BH93" s="60">
        <f t="shared" si="62"/>
        <v>858.97873898094349</v>
      </c>
      <c r="BI93" s="60">
        <f ca="1">AVERAGE(OFFSET($BH$3,0,0,'Données projet'!$E$11+1,1))-AVERAGE(OFFSET($H$3,0,0,'Données projet'!$E$11+1,1))</f>
        <v>389.12604446638119</v>
      </c>
      <c r="BJ93" s="60">
        <f t="shared" si="92"/>
        <v>243.23852967152732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275</v>
      </c>
      <c r="BW93" s="13">
        <f>VLOOKUP(A93,'Données projet'!$A$113:$I$133,9,0)</f>
        <v>5.4</v>
      </c>
      <c r="BX93" s="13">
        <f t="array" ref="BX93">INDEX(BW:BW,MIN(IF(ISNUMBER(BW93:BW289),ROW(BW93:BW289),"")))</f>
        <v>5.4</v>
      </c>
      <c r="BY93" s="13">
        <f>IF('Données projet'!$A$114&gt;35,BY92+BX93-CG92,IF(A93&lt;'Données projet'!$A$114,$BV$205^A93,IF(A93='Données projet'!$A$114,'Données projet'!$B$114,BY92+BX93-CG92)))</f>
        <v>275.00000000000006</v>
      </c>
      <c r="BZ93" s="14">
        <f>BY93*VLOOKUP('Données projet'!$B$12,Paramètres!$A$1:$I$89,3,0)*VLOOKUP('Données projet'!$B$12,Paramètres!$A$1:$I$89,5,0)</f>
        <v>248.82000000000005</v>
      </c>
      <c r="CA93" s="14">
        <f t="shared" si="93"/>
        <v>60.333192077890068</v>
      </c>
      <c r="CB93" s="22">
        <f t="shared" si="64"/>
        <v>538.44180953565865</v>
      </c>
      <c r="CC93" s="60">
        <f t="shared" si="65"/>
        <v>831.77514286899191</v>
      </c>
      <c r="CD93" s="60">
        <f ca="1">AVERAGE(OFFSET($CC$3,0,0,'Données projet'!$E$12+1,1))-AVERAGE(OFFSET($H$3,0,0,'Données projet'!$E$12+1,1))</f>
        <v>371.95849973474657</v>
      </c>
      <c r="CE93" s="60">
        <f t="shared" si="94"/>
        <v>233.32640143610547</v>
      </c>
      <c r="CF93" s="16">
        <f>IF(ISNA(VLOOKUP(A93,'Données projet'!$A$113:$I$133,3,0)),0,VLOOKUP(A93,'Données projet'!$A$113:$I$133,3,0))</f>
        <v>14</v>
      </c>
      <c r="CG93" s="16">
        <f>IF(ISNA(VLOOKUP(A93,'Données projet'!$A$113:$I$133,4,0)),0,VLOOKUP(A93,'Données projet'!$A$113:$I$133,4,0))</f>
        <v>21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1.7820936418424188E-8</v>
      </c>
      <c r="CN93" s="24">
        <f t="shared" si="66"/>
        <v>1.7820936418424188E-8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275</v>
      </c>
      <c r="CR93" s="13">
        <f>VLOOKUP(A93,'Données projet'!$A$139:$I$159,9,0)</f>
        <v>5.4</v>
      </c>
      <c r="CS93" s="13">
        <f t="array" ref="CS93">INDEX(CR:CR,MIN(IF(ISNUMBER(CR93:CR289),ROW(CR93:CR289),"")))</f>
        <v>5.4</v>
      </c>
      <c r="CT93" s="13">
        <f>IF('Données projet'!$A$140&gt;35,CT92+CS93-DB92,IF(A93&lt;'Données projet'!$A$140,$CQ$205^A93,IF(A93='Données projet'!$A$140,'Données projet'!$B$140,CT92+CS93-DB92)))</f>
        <v>275.00000000000006</v>
      </c>
      <c r="CU93" s="18">
        <f>CT93*VLOOKUP('Données projet'!$B$13,Paramètres!$A$1:$I$89,3,0)*VLOOKUP('Données projet'!$B$13,Paramètres!$A$1:$I$89,5,0)</f>
        <v>265.98000000000008</v>
      </c>
      <c r="CV93" s="14">
        <f t="shared" si="95"/>
        <v>63.995380422211646</v>
      </c>
      <c r="CW93" s="22">
        <f t="shared" si="67"/>
        <v>574.7071209020188</v>
      </c>
      <c r="CX93" s="60">
        <f t="shared" si="68"/>
        <v>868.04045423535217</v>
      </c>
      <c r="CY93" s="60">
        <f ca="1">AVERAGE(OFFSET($CX$3,0,0,'Données projet'!$E$13+1,1))-AVERAGE(OFFSET($H$3,0,0,'Données projet'!$E$13+1,1))</f>
        <v>394.8445842828649</v>
      </c>
      <c r="CZ93" s="60">
        <f t="shared" si="96"/>
        <v>246.54010105494143</v>
      </c>
      <c r="DA93" s="16">
        <f>IF(ISNA(VLOOKUP(A93,'Données projet'!$A$139:$I$159,3,0)),0,VLOOKUP(A93,'Données projet'!$A$139:$I$159,3,0))</f>
        <v>14</v>
      </c>
      <c r="DB93" s="16">
        <f>IF(ISNA(VLOOKUP(A93,'Données projet'!$A$139:$I$159,4,0)),0,VLOOKUP(A93,'Données projet'!$A$139:$I$159,4,0))</f>
        <v>21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1.9049966516246558E-8</v>
      </c>
      <c r="DI93" s="24">
        <f t="shared" si="69"/>
        <v>1.9049966516246558E-8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193</v>
      </c>
      <c r="DM93" s="13">
        <f>VLOOKUP(A93,'Données projet'!$A$165:$I$185,9,0)</f>
        <v>2</v>
      </c>
      <c r="DN93" s="13">
        <f t="array" ref="DN93">INDEX(DM:DM,MIN(IF(ISNUMBER(DM93:DM289),ROW(DM93:DM289),"")))</f>
        <v>2</v>
      </c>
      <c r="DO93" s="13">
        <f>IF('Données projet'!$A$166&gt;35,DO92+DN93-DW92,IF(A93&lt;'Données projet'!$A$166,$DL$205^A93,IF(A93='Données projet'!$A$166,'Données projet'!$B$166,DO92+DN93-DW92)))</f>
        <v>193.00000000000006</v>
      </c>
      <c r="DP93" s="18">
        <f>DO93*VLOOKUP('Données projet'!$B$14,Paramètres!$A$1:$I$89,3,0)*VLOOKUP('Données projet'!$B$14,Paramètres!$A$1:$I$89,5,0)</f>
        <v>168.60480000000007</v>
      </c>
      <c r="DQ93" s="14">
        <f t="shared" si="97"/>
        <v>42.7773954841498</v>
      </c>
      <c r="DR93" s="22">
        <f t="shared" si="70"/>
        <v>368.15732380156101</v>
      </c>
      <c r="DS93" s="60">
        <f t="shared" si="71"/>
        <v>661.49065713489426</v>
      </c>
      <c r="DT93" s="60">
        <f ca="1">AVERAGE(OFFSET($DS$3,0,0,'Données projet'!$E$14+1,1))-AVERAGE(OFFSET($H$3,0,0,'Données projet'!$E$14+1,1))</f>
        <v>266.98113257513319</v>
      </c>
      <c r="DU93" s="60">
        <f t="shared" si="98"/>
        <v>275.73257102713393</v>
      </c>
      <c r="DV93" s="16">
        <f>IF(ISNA(VLOOKUP(A93,'Données projet'!$A$165:$I$185,3,0)),0,VLOOKUP(A93,'Données projet'!$A$165:$I$185,3,0))</f>
        <v>15</v>
      </c>
      <c r="DW93" s="16">
        <f>IF(ISNA(VLOOKUP(A93,'Données projet'!$A$165:$I$185,4,0)),0,VLOOKUP(A93,'Données projet'!$A$165:$I$185,4,0))</f>
        <v>193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2.109463603159015</v>
      </c>
      <c r="EC93" s="23">
        <f>EXP(-LN(2)/2)*EC92+(1-EXP(-LN(2)/2))/(LN(2)/2)*DW93*DZ93*VLOOKUP('Données projet'!$B$14,Paramètres!$A$1:$I$89,3,0)*0.475*44/12</f>
        <v>9.7477793558773637E-9</v>
      </c>
      <c r="ED93" s="24">
        <f t="shared" si="72"/>
        <v>2.1094636129067945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275</v>
      </c>
      <c r="EH93" s="13">
        <f>VLOOKUP(A93,'Données projet'!$A$191:$I$211,9,0)</f>
        <v>5.4</v>
      </c>
      <c r="EI93" s="13">
        <f t="array" ref="EI93">INDEX(EH:EH,MIN(IF(ISNUMBER(EH93:EH289),ROW(EH93:EH289),"")))</f>
        <v>5.4</v>
      </c>
      <c r="EJ93" s="13">
        <f>IF('Données projet'!$A$192&gt;35,EJ92+EI93-ER92,IF(A93&lt;'Données projet'!$A$192,$EG$205^A93,IF(A93='Données projet'!$A$192,'Données projet'!$B$192,EJ92+EI93-ER92)))</f>
        <v>275.00000000000006</v>
      </c>
      <c r="EK93" s="18">
        <f>EJ93*VLOOKUP('Données projet'!$B$15,Paramètres!$A$1:$I$89,3,0)*VLOOKUP('Données projet'!$B$15,Paramètres!$A$1:$I$89,5,0)</f>
        <v>313.17000000000007</v>
      </c>
      <c r="EL93" s="14">
        <f t="shared" si="99"/>
        <v>73.930459835341907</v>
      </c>
      <c r="EM93" s="22">
        <f t="shared" si="73"/>
        <v>674.19996754655403</v>
      </c>
      <c r="EN93" s="60">
        <f t="shared" si="74"/>
        <v>967.53330087988729</v>
      </c>
      <c r="EO93" s="60">
        <f ca="1">AVERAGE(OFFSET($EN$3,0,0,'Données projet'!$E$15+1,1))-AVERAGE(OFFSET($H$3,0,0,'Données projet'!$E$15+1,1))</f>
        <v>457.62828850677369</v>
      </c>
      <c r="EP93" s="60">
        <f t="shared" si="100"/>
        <v>282.78263556175563</v>
      </c>
      <c r="EQ93" s="16">
        <f>IF(ISNA(VLOOKUP(A93,'Données projet'!$A$191:$I$211,3,0)),0,VLOOKUP(A93,'Données projet'!$A$191:$I$211,3,0))</f>
        <v>14</v>
      </c>
      <c r="ER93" s="16">
        <f>IF(ISNA(VLOOKUP(A93,'Données projet'!$A$191:$I$211,4,0)),0,VLOOKUP(A93,'Données projet'!$A$191:$I$211,4,0))</f>
        <v>21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275</v>
      </c>
      <c r="FC93" s="13">
        <f>VLOOKUP(A93,'Données projet'!$A$217:$I$237,9,0)</f>
        <v>5.4</v>
      </c>
      <c r="FD93" s="13">
        <f t="array" ref="FD93">INDEX(FC:FC,MIN(IF(ISNUMBER(FC93:FC289),ROW(FC93:FC289),"")))</f>
        <v>5.4</v>
      </c>
      <c r="FE93" s="13">
        <f>IF('Données projet'!$A$218&gt;35,FE92+FD93-FM92,IF(A93&lt;'Données projet'!$A$218,$FB$205^A93,IF(A93='Données projet'!$A$218,'Données projet'!$B$218,FE92+FD93-FM92)))</f>
        <v>275.00000000000006</v>
      </c>
      <c r="FF93" s="18">
        <f>FE93*VLOOKUP('Données projet'!$B$16,Paramètres!$A$1:$I$89,3,0)*VLOOKUP('Données projet'!$B$16,Paramètres!$A$1:$I$89,5,0)</f>
        <v>300.30000000000007</v>
      </c>
      <c r="FG93" s="14">
        <f t="shared" si="101"/>
        <v>71.239351339890163</v>
      </c>
      <c r="FH93" s="22">
        <f t="shared" si="76"/>
        <v>647.0977035836421</v>
      </c>
      <c r="FI93" s="60">
        <f t="shared" si="77"/>
        <v>940.43103691697547</v>
      </c>
      <c r="FJ93" s="60">
        <f ca="1">AVERAGE(OFFSET($FI$3,0,0,'Données projet'!$E$16+1,1))-AVERAGE(OFFSET($H$3,0,0,'Données projet'!$E$16+1,1))</f>
        <v>440.52623925652182</v>
      </c>
      <c r="FK93" s="60">
        <f t="shared" si="102"/>
        <v>272.91122662088918</v>
      </c>
      <c r="FL93" s="16">
        <f>IF(ISNA(VLOOKUP(A93,'Données projet'!$A$217:$I$237,3,0)),0,VLOOKUP(A93,'Données projet'!$A$217:$I$237,3,0))</f>
        <v>14</v>
      </c>
      <c r="FM93" s="16">
        <f>IF(ISNA(VLOOKUP(A93,'Données projet'!$A$217:$I$237,4,0)),0,VLOOKUP(A93,'Données projet'!$A$217:$I$237,4,0))</f>
        <v>21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13</v>
      </c>
      <c r="FZ93" s="13">
        <f>IF('Données projet'!$A$244&gt;35,FZ92+FY93-GH92,IF(A93&lt;'Données projet'!$A$244,$FW$205^A93,IF(A93='Données projet'!$A$244,'Données projet'!$B$244,FZ92+FY93-GH92)))</f>
        <v>473.00000000000045</v>
      </c>
      <c r="GA93" s="18">
        <f>FZ93*VLOOKUP('Données projet'!$B$17,Paramètres!$A$1:$I$89,3,0)*VLOOKUP('Données projet'!$B$17,Paramètres!$A$1:$I$89,5,0)</f>
        <v>221.3640000000002</v>
      </c>
      <c r="GB93" s="14">
        <f t="shared" si="103"/>
        <v>54.411237653200843</v>
      </c>
      <c r="GC93" s="22">
        <f t="shared" si="79"/>
        <v>480.30853891265838</v>
      </c>
      <c r="GD93" s="60">
        <f t="shared" si="80"/>
        <v>773.64187224599164</v>
      </c>
      <c r="GE93" s="60">
        <f ca="1">AVERAGE(OFFSET($GD$3,0,0,'Données projet'!$E$17+1,1))-AVERAGE(OFFSET($H$3,0,0,'Données projet'!$E$17+1,1))</f>
        <v>317.54276561627643</v>
      </c>
      <c r="GF93" s="60">
        <f t="shared" si="104"/>
        <v>238.92443174298893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>
        <f>GU93*VLOOKUP('Données projet'!$B$18,Paramètres!$A$1:$I$89,3,0)*VLOOKUP('Données projet'!$B$18,Paramètres!$A$1:$I$89,5,0)</f>
        <v>0</v>
      </c>
      <c r="GW93" s="14" t="e">
        <f t="shared" si="105"/>
        <v>#NUM!</v>
      </c>
      <c r="GX93" s="22" t="e">
        <f t="shared" si="82"/>
        <v>#NUM!</v>
      </c>
      <c r="GY93" s="60" t="e">
        <f t="shared" si="83"/>
        <v>#NUM!</v>
      </c>
      <c r="GZ93" s="60">
        <f ca="1">AVERAGE(OFFSET($GY$3,0,0,'Données projet'!$E$18+1,1))-AVERAGE(OFFSET($H$3,0,0,'Données projet'!$E$18+1,1))</f>
        <v>79.868679770907136</v>
      </c>
      <c r="HA93" s="60">
        <f t="shared" si="106"/>
        <v>370.47471103028312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18.93501439665916</v>
      </c>
      <c r="HH93" s="23">
        <f>EXP(-LN(2)/25)*HH92+(1-EXP(-LN(2)/25))/(LN(2)/25)*Calculateur!HC93*Calculateur!HE93*VLOOKUP('Données projet'!$B$18,Paramètres!$A$1:$I$89,3,0)*0.475*44/12</f>
        <v>2.8621703821779931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21.797184778837153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0">
        <f t="shared" si="55"/>
        <v>293.33333333333439</v>
      </c>
      <c r="S94" s="60">
        <f ca="1">AVERAGE(OFFSET($R$3,0,0,'Données projet'!$E$9+1,1))-AVERAGE(OFFSET($H$3,0,0,'Données projet'!$E$9+1,1))</f>
        <v>206.5885410269899</v>
      </c>
      <c r="T94" s="60">
        <f t="shared" si="88"/>
        <v>347.41156847586302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3.3992364478763198E-14</v>
      </c>
      <c r="AK94" s="14">
        <f t="shared" si="89"/>
        <v>5.790027782444094E-13</v>
      </c>
      <c r="AL94" s="22">
        <f t="shared" si="58"/>
        <v>1.0676332069095257E-12</v>
      </c>
      <c r="AM94" s="60">
        <f t="shared" si="59"/>
        <v>293.33333333333439</v>
      </c>
      <c r="AN94" s="60">
        <f ca="1">AVERAGE(OFFSET($AM$3,0,0,'Données projet'!$E$10+1,1))-AVERAGE(OFFSET($H$3,0,0,'Données projet'!$E$10+1,1))</f>
        <v>206.5885410269899</v>
      </c>
      <c r="AO94" s="60">
        <f t="shared" si="90"/>
        <v>347.41156847586302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32.683226587165336</v>
      </c>
      <c r="AV94" s="23">
        <f>EXP(-LN(2)/25)*AV93+(1-EXP(-LN(2)/25))/(LN(2)/25)*Calculateur!AQ94*Calculateur!AS94*VLOOKUP('Données projet'!$B$10,Paramètres!$A$1:$I$89,3,0)*0.475*44/12</f>
        <v>0.61607454220447933</v>
      </c>
      <c r="AW94" s="23">
        <f>EXP(-LN(2)/2)*AW93+(1-EXP(-LN(2)/2))/(LN(2)/2)*AQ94*AT94*VLOOKUP('Données projet'!$B$10,Paramètres!$A$1:$I$89,3,0)*0.475*44/12</f>
        <v>7.2539904994926825E-7</v>
      </c>
      <c r="AX94" s="23">
        <f t="shared" si="60"/>
        <v>33.299301854768864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259.00000000000006</v>
      </c>
      <c r="BE94" s="14">
        <f>BD94*VLOOKUP('Données projet'!$B$11,Paramètres!$A$1:$I$89,3,0)*VLOOKUP('Données projet'!$B$11,Paramètres!$A$1:$I$89,5,0)</f>
        <v>246.46440000000007</v>
      </c>
      <c r="BF94" s="14">
        <f t="shared" si="91"/>
        <v>59.828218865086818</v>
      </c>
      <c r="BG94" s="22">
        <f t="shared" si="61"/>
        <v>533.45964452335954</v>
      </c>
      <c r="BH94" s="60">
        <f t="shared" si="62"/>
        <v>826.79297785669291</v>
      </c>
      <c r="BI94" s="60">
        <f ca="1">AVERAGE(OFFSET($BH$3,0,0,'Données projet'!$E$11+1,1))-AVERAGE(OFFSET($H$3,0,0,'Données projet'!$E$11+1,1))</f>
        <v>389.12604446638119</v>
      </c>
      <c r="BJ94" s="60">
        <f t="shared" si="92"/>
        <v>243.23852967152732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</v>
      </c>
      <c r="BY94" s="13">
        <f>IF('Données projet'!$A$114&gt;35,BY93+BX94-CG93,IF(A94&lt;'Données projet'!$A$114,$BV$205^A94,IF(A94='Données projet'!$A$114,'Données projet'!$B$114,BY93+BX94-CG93)))</f>
        <v>259.00000000000006</v>
      </c>
      <c r="BZ94" s="14">
        <f>BY94*VLOOKUP('Données projet'!$B$12,Paramètres!$A$1:$I$89,3,0)*VLOOKUP('Données projet'!$B$12,Paramètres!$A$1:$I$89,5,0)</f>
        <v>234.34320000000005</v>
      </c>
      <c r="CA94" s="14">
        <f t="shared" si="93"/>
        <v>57.220758006491664</v>
      </c>
      <c r="CB94" s="22">
        <f t="shared" si="64"/>
        <v>507.80722686130639</v>
      </c>
      <c r="CC94" s="60">
        <f t="shared" si="65"/>
        <v>801.14056019463965</v>
      </c>
      <c r="CD94" s="60">
        <f ca="1">AVERAGE(OFFSET($CC$3,0,0,'Données projet'!$E$12+1,1))-AVERAGE(OFFSET($H$3,0,0,'Données projet'!$E$12+1,1))</f>
        <v>371.95849973474657</v>
      </c>
      <c r="CE94" s="60">
        <f t="shared" si="94"/>
        <v>233.32640143610547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1.2601304988562049E-8</v>
      </c>
      <c r="CN94" s="24">
        <f t="shared" si="66"/>
        <v>1.2601304988562049E-8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</v>
      </c>
      <c r="CT94" s="13">
        <f>IF('Données projet'!$A$140&gt;35,CT93+CS94-DB93,IF(A94&lt;'Données projet'!$A$140,$CQ$205^A94,IF(A94='Données projet'!$A$140,'Données projet'!$B$140,CT93+CS94-DB93)))</f>
        <v>259.00000000000006</v>
      </c>
      <c r="CU94" s="18">
        <f>CT94*VLOOKUP('Données projet'!$B$13,Paramètres!$A$1:$I$89,3,0)*VLOOKUP('Données projet'!$B$13,Paramètres!$A$1:$I$89,5,0)</f>
        <v>250.50480000000007</v>
      </c>
      <c r="CV94" s="14">
        <f t="shared" si="95"/>
        <v>60.694023481225415</v>
      </c>
      <c r="CW94" s="22">
        <f t="shared" si="67"/>
        <v>542.00461756313427</v>
      </c>
      <c r="CX94" s="60">
        <f t="shared" si="68"/>
        <v>835.33795089646765</v>
      </c>
      <c r="CY94" s="60">
        <f ca="1">AVERAGE(OFFSET($CX$3,0,0,'Données projet'!$E$13+1,1))-AVERAGE(OFFSET($H$3,0,0,'Données projet'!$E$13+1,1))</f>
        <v>394.8445842828649</v>
      </c>
      <c r="CZ94" s="60">
        <f t="shared" si="96"/>
        <v>246.54010105494143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1.3470360505014612E-8</v>
      </c>
      <c r="DI94" s="24">
        <f t="shared" si="69"/>
        <v>1.3470360505014612E-8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5.6843418860808015E-14</v>
      </c>
      <c r="DP94" s="18">
        <f>DO94*VLOOKUP('Données projet'!$B$14,Paramètres!$A$1:$I$89,3,0)*VLOOKUP('Données projet'!$B$14,Paramètres!$A$1:$I$89,5,0)</f>
        <v>4.9658410716801891E-14</v>
      </c>
      <c r="DQ94" s="14">
        <f t="shared" si="97"/>
        <v>8.0934058173791862E-13</v>
      </c>
      <c r="DR94" s="22">
        <f t="shared" si="70"/>
        <v>1.4960899118586383E-12</v>
      </c>
      <c r="DS94" s="60">
        <f t="shared" si="71"/>
        <v>293.33333333333479</v>
      </c>
      <c r="DT94" s="60">
        <f ca="1">AVERAGE(OFFSET($DS$3,0,0,'Données projet'!$E$14+1,1))-AVERAGE(OFFSET($H$3,0,0,'Données projet'!$E$14+1,1))</f>
        <v>266.98113257513319</v>
      </c>
      <c r="DU94" s="60">
        <f t="shared" si="98"/>
        <v>275.73257102713393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2.0517802099987623</v>
      </c>
      <c r="EC94" s="23">
        <f>EXP(-LN(2)/2)*EC93+(1-EXP(-LN(2)/2))/(LN(2)/2)*DW94*DZ94*VLOOKUP('Données projet'!$B$14,Paramètres!$A$1:$I$89,3,0)*0.475*44/12</f>
        <v>6.8927208840511203E-9</v>
      </c>
      <c r="ED94" s="24">
        <f t="shared" si="72"/>
        <v>2.0517802168914834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5</v>
      </c>
      <c r="EJ94" s="13">
        <f>IF('Données projet'!$A$192&gt;35,EJ93+EI94-ER93,IF(A94&lt;'Données projet'!$A$192,$EG$205^A94,IF(A94='Données projet'!$A$192,'Données projet'!$B$192,EJ93+EI94-ER93)))</f>
        <v>259.00000000000006</v>
      </c>
      <c r="EK94" s="18">
        <f>EJ94*VLOOKUP('Données projet'!$B$15,Paramètres!$A$1:$I$89,3,0)*VLOOKUP('Données projet'!$B$15,Paramètres!$A$1:$I$89,5,0)</f>
        <v>294.94920000000008</v>
      </c>
      <c r="EL94" s="14">
        <f t="shared" si="99"/>
        <v>70.116577722016785</v>
      </c>
      <c r="EM94" s="22">
        <f t="shared" si="73"/>
        <v>635.82289619917935</v>
      </c>
      <c r="EN94" s="60">
        <f t="shared" si="74"/>
        <v>929.15622953251273</v>
      </c>
      <c r="EO94" s="60">
        <f ca="1">AVERAGE(OFFSET($EN$3,0,0,'Données projet'!$E$15+1,1))-AVERAGE(OFFSET($H$3,0,0,'Données projet'!$E$15+1,1))</f>
        <v>457.62828850677369</v>
      </c>
      <c r="EP94" s="60">
        <f t="shared" si="100"/>
        <v>282.78263556175563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5</v>
      </c>
      <c r="FE94" s="13">
        <f>IF('Données projet'!$A$218&gt;35,FE93+FD94-FM93,IF(A94&lt;'Données projet'!$A$218,$FB$205^A94,IF(A94='Données projet'!$A$218,'Données projet'!$B$218,FE93+FD94-FM93)))</f>
        <v>259.00000000000006</v>
      </c>
      <c r="FF94" s="18">
        <f>FE94*VLOOKUP('Données projet'!$B$16,Paramètres!$A$1:$I$89,3,0)*VLOOKUP('Données projet'!$B$16,Paramètres!$A$1:$I$89,5,0)</f>
        <v>282.82800000000009</v>
      </c>
      <c r="FG94" s="14">
        <f t="shared" si="101"/>
        <v>67.564296586474342</v>
      </c>
      <c r="FH94" s="22">
        <f t="shared" si="76"/>
        <v>610.26658322144294</v>
      </c>
      <c r="FI94" s="60">
        <f t="shared" si="77"/>
        <v>903.5999165547762</v>
      </c>
      <c r="FJ94" s="60">
        <f ca="1">AVERAGE(OFFSET($FI$3,0,0,'Données projet'!$E$16+1,1))-AVERAGE(OFFSET($H$3,0,0,'Données projet'!$E$16+1,1))</f>
        <v>440.52623925652182</v>
      </c>
      <c r="FK94" s="60">
        <f t="shared" si="102"/>
        <v>272.91122662088918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13</v>
      </c>
      <c r="FZ94" s="13">
        <f>IF('Données projet'!$A$244&gt;35,FZ93+FY94-GH93,IF(A94&lt;'Données projet'!$A$244,$FW$205^A94,IF(A94='Données projet'!$A$244,'Données projet'!$B$244,FZ93+FY94-GH93)))</f>
        <v>486.00000000000045</v>
      </c>
      <c r="GA94" s="18">
        <f>FZ94*VLOOKUP('Données projet'!$B$17,Paramètres!$A$1:$I$89,3,0)*VLOOKUP('Données projet'!$B$17,Paramètres!$A$1:$I$89,5,0)</f>
        <v>227.44800000000021</v>
      </c>
      <c r="GB94" s="14">
        <f t="shared" si="103"/>
        <v>55.730521649800735</v>
      </c>
      <c r="GC94" s="22">
        <f t="shared" si="79"/>
        <v>493.20259187340326</v>
      </c>
      <c r="GD94" s="60">
        <f t="shared" si="80"/>
        <v>786.53592520673658</v>
      </c>
      <c r="GE94" s="60">
        <f ca="1">AVERAGE(OFFSET($GD$3,0,0,'Données projet'!$E$17+1,1))-AVERAGE(OFFSET($H$3,0,0,'Données projet'!$E$17+1,1))</f>
        <v>317.54276561627643</v>
      </c>
      <c r="GF94" s="60">
        <f t="shared" si="104"/>
        <v>238.92443174298893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>
        <f>GU94*VLOOKUP('Données projet'!$B$18,Paramètres!$A$1:$I$89,3,0)*VLOOKUP('Données projet'!$B$18,Paramètres!$A$1:$I$89,5,0)</f>
        <v>0</v>
      </c>
      <c r="GW94" s="14" t="e">
        <f t="shared" si="105"/>
        <v>#NUM!</v>
      </c>
      <c r="GX94" s="22" t="e">
        <f t="shared" si="82"/>
        <v>#NUM!</v>
      </c>
      <c r="GY94" s="60" t="e">
        <f t="shared" si="83"/>
        <v>#NUM!</v>
      </c>
      <c r="GZ94" s="60">
        <f ca="1">AVERAGE(OFFSET($GY$3,0,0,'Données projet'!$E$18+1,1))-AVERAGE(OFFSET($H$3,0,0,'Données projet'!$E$18+1,1))</f>
        <v>79.868679770907136</v>
      </c>
      <c r="HA94" s="60">
        <f t="shared" si="106"/>
        <v>370.47471103028312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18.563710313559064</v>
      </c>
      <c r="HH94" s="23">
        <f>EXP(-LN(2)/25)*HH93+(1-EXP(-LN(2)/25))/(LN(2)/25)*Calculateur!HC94*Calculateur!HE94*VLOOKUP('Données projet'!$B$18,Paramètres!$A$1:$I$89,3,0)*0.475*44/12</f>
        <v>2.783904182562337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21.347614496121402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0">
        <f t="shared" si="55"/>
        <v>293.33333333333439</v>
      </c>
      <c r="S95" s="60">
        <f ca="1">AVERAGE(OFFSET($R$3,0,0,'Données projet'!$E$9+1,1))-AVERAGE(OFFSET($H$3,0,0,'Données projet'!$E$9+1,1))</f>
        <v>206.5885410269899</v>
      </c>
      <c r="T95" s="60">
        <f t="shared" si="88"/>
        <v>347.41156847586302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3.3992364478763198E-14</v>
      </c>
      <c r="AK95" s="14">
        <f t="shared" si="89"/>
        <v>5.790027782444094E-13</v>
      </c>
      <c r="AL95" s="22">
        <f t="shared" si="58"/>
        <v>1.0676332069095257E-12</v>
      </c>
      <c r="AM95" s="60">
        <f t="shared" si="59"/>
        <v>293.33333333333439</v>
      </c>
      <c r="AN95" s="60">
        <f ca="1">AVERAGE(OFFSET($AM$3,0,0,'Données projet'!$E$10+1,1))-AVERAGE(OFFSET($H$3,0,0,'Données projet'!$E$10+1,1))</f>
        <v>206.5885410269899</v>
      </c>
      <c r="AO95" s="60">
        <f t="shared" si="90"/>
        <v>347.41156847586302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32.042328448590844</v>
      </c>
      <c r="AV95" s="23">
        <f>EXP(-LN(2)/25)*AV94+(1-EXP(-LN(2)/25))/(LN(2)/25)*Calculateur!AQ95*Calculateur!AS95*VLOOKUP('Données projet'!$B$10,Paramètres!$A$1:$I$89,3,0)*0.475*44/12</f>
        <v>0.59922795144994567</v>
      </c>
      <c r="AW95" s="23">
        <f>EXP(-LN(2)/2)*AW94+(1-EXP(-LN(2)/2))/(LN(2)/2)*AQ95*AT95*VLOOKUP('Données projet'!$B$10,Paramètres!$A$1:$I$89,3,0)*0.475*44/12</f>
        <v>5.1293458728540668E-7</v>
      </c>
      <c r="AX95" s="23">
        <f t="shared" si="60"/>
        <v>32.641556912975382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264.00000000000006</v>
      </c>
      <c r="BE95" s="14">
        <f>BD95*VLOOKUP('Données projet'!$B$11,Paramètres!$A$1:$I$89,3,0)*VLOOKUP('Données projet'!$B$11,Paramètres!$A$1:$I$89,5,0)</f>
        <v>251.22240000000005</v>
      </c>
      <c r="BF95" s="14">
        <f t="shared" si="91"/>
        <v>60.847625059749809</v>
      </c>
      <c r="BG95" s="22">
        <f t="shared" si="61"/>
        <v>543.52196031239771</v>
      </c>
      <c r="BH95" s="60">
        <f t="shared" si="62"/>
        <v>836.85529364573108</v>
      </c>
      <c r="BI95" s="60">
        <f ca="1">AVERAGE(OFFSET($BH$3,0,0,'Données projet'!$E$11+1,1))-AVERAGE(OFFSET($H$3,0,0,'Données projet'!$E$11+1,1))</f>
        <v>389.12604446638119</v>
      </c>
      <c r="BJ95" s="60">
        <f t="shared" si="92"/>
        <v>243.23852967152732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</v>
      </c>
      <c r="BY95" s="13">
        <f>IF('Données projet'!$A$114&gt;35,BY94+BX95-CG94,IF(A95&lt;'Données projet'!$A$114,$BV$205^A95,IF(A95='Données projet'!$A$114,'Données projet'!$B$114,BY94+BX95-CG94)))</f>
        <v>264.00000000000006</v>
      </c>
      <c r="BZ95" s="14">
        <f>BY95*VLOOKUP('Données projet'!$B$12,Paramètres!$A$1:$I$89,3,0)*VLOOKUP('Données projet'!$B$12,Paramètres!$A$1:$I$89,5,0)</f>
        <v>238.86720000000005</v>
      </c>
      <c r="CA95" s="14">
        <f t="shared" si="93"/>
        <v>58.195735973104156</v>
      </c>
      <c r="CB95" s="22">
        <f t="shared" si="64"/>
        <v>517.3846134864898</v>
      </c>
      <c r="CC95" s="60">
        <f t="shared" si="65"/>
        <v>810.71794681982306</v>
      </c>
      <c r="CD95" s="60">
        <f ca="1">AVERAGE(OFFSET($CC$3,0,0,'Données projet'!$E$12+1,1))-AVERAGE(OFFSET($H$3,0,0,'Données projet'!$E$12+1,1))</f>
        <v>371.95849973474657</v>
      </c>
      <c r="CE95" s="60">
        <f t="shared" si="94"/>
        <v>233.32640143610547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8.9104682092120942E-9</v>
      </c>
      <c r="CN95" s="24">
        <f t="shared" si="66"/>
        <v>8.9104682092120942E-9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</v>
      </c>
      <c r="CT95" s="13">
        <f>IF('Données projet'!$A$140&gt;35,CT94+CS95-DB94,IF(A95&lt;'Données projet'!$A$140,$CQ$205^A95,IF(A95='Données projet'!$A$140,'Données projet'!$B$140,CT94+CS95-DB94)))</f>
        <v>264.00000000000006</v>
      </c>
      <c r="CU95" s="18">
        <f>CT95*VLOOKUP('Données projet'!$B$13,Paramètres!$A$1:$I$89,3,0)*VLOOKUP('Données projet'!$B$13,Paramètres!$A$1:$I$89,5,0)</f>
        <v>255.34080000000006</v>
      </c>
      <c r="CV95" s="14">
        <f t="shared" si="95"/>
        <v>61.728182021951895</v>
      </c>
      <c r="CW95" s="22">
        <f t="shared" si="67"/>
        <v>552.22847702156628</v>
      </c>
      <c r="CX95" s="60">
        <f t="shared" si="68"/>
        <v>845.56181035489954</v>
      </c>
      <c r="CY95" s="60">
        <f ca="1">AVERAGE(OFFSET($CX$3,0,0,'Données projet'!$E$13+1,1))-AVERAGE(OFFSET($H$3,0,0,'Données projet'!$E$13+1,1))</f>
        <v>394.8445842828649</v>
      </c>
      <c r="CZ95" s="60">
        <f t="shared" si="96"/>
        <v>246.54010105494143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9.5249832581232789E-9</v>
      </c>
      <c r="DI95" s="24">
        <f t="shared" si="69"/>
        <v>9.5249832581232789E-9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5.6843418860808015E-14</v>
      </c>
      <c r="DP95" s="18">
        <f>DO95*VLOOKUP('Données projet'!$B$14,Paramètres!$A$1:$I$89,3,0)*VLOOKUP('Données projet'!$B$14,Paramètres!$A$1:$I$89,5,0)</f>
        <v>4.9658410716801891E-14</v>
      </c>
      <c r="DQ95" s="14">
        <f t="shared" si="97"/>
        <v>8.0934058173791862E-13</v>
      </c>
      <c r="DR95" s="22">
        <f t="shared" si="70"/>
        <v>1.4960899118586383E-12</v>
      </c>
      <c r="DS95" s="60">
        <f t="shared" si="71"/>
        <v>293.33333333333479</v>
      </c>
      <c r="DT95" s="60">
        <f ca="1">AVERAGE(OFFSET($DS$3,0,0,'Données projet'!$E$14+1,1))-AVERAGE(OFFSET($H$3,0,0,'Données projet'!$E$14+1,1))</f>
        <v>266.98113257513319</v>
      </c>
      <c r="DU95" s="60">
        <f t="shared" si="98"/>
        <v>275.73257102713393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1.9956741722579143</v>
      </c>
      <c r="EC95" s="23">
        <f>EXP(-LN(2)/2)*EC94+(1-EXP(-LN(2)/2))/(LN(2)/2)*DW95*DZ95*VLOOKUP('Données projet'!$B$14,Paramètres!$A$1:$I$89,3,0)*0.475*44/12</f>
        <v>4.8738896779386819E-9</v>
      </c>
      <c r="ED95" s="24">
        <f t="shared" si="72"/>
        <v>1.9956741771318041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5</v>
      </c>
      <c r="EJ95" s="13">
        <f>IF('Données projet'!$A$192&gt;35,EJ94+EI95-ER94,IF(A95&lt;'Données projet'!$A$192,$EG$205^A95,IF(A95='Données projet'!$A$192,'Données projet'!$B$192,EJ94+EI95-ER94)))</f>
        <v>264.00000000000006</v>
      </c>
      <c r="EK95" s="18">
        <f>EJ95*VLOOKUP('Données projet'!$B$15,Paramètres!$A$1:$I$89,3,0)*VLOOKUP('Données projet'!$B$15,Paramètres!$A$1:$I$89,5,0)</f>
        <v>300.64320000000004</v>
      </c>
      <c r="EL95" s="14">
        <f t="shared" si="99"/>
        <v>71.3112860893104</v>
      </c>
      <c r="EM95" s="22">
        <f t="shared" si="73"/>
        <v>647.82072993888221</v>
      </c>
      <c r="EN95" s="60">
        <f t="shared" si="74"/>
        <v>941.15406327221558</v>
      </c>
      <c r="EO95" s="60">
        <f ca="1">AVERAGE(OFFSET($EN$3,0,0,'Données projet'!$E$15+1,1))-AVERAGE(OFFSET($H$3,0,0,'Données projet'!$E$15+1,1))</f>
        <v>457.62828850677369</v>
      </c>
      <c r="EP95" s="60">
        <f t="shared" si="100"/>
        <v>282.78263556175563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5</v>
      </c>
      <c r="FE95" s="13">
        <f>IF('Données projet'!$A$218&gt;35,FE94+FD95-FM94,IF(A95&lt;'Données projet'!$A$218,$FB$205^A95,IF(A95='Données projet'!$A$218,'Données projet'!$B$218,FE94+FD95-FM94)))</f>
        <v>264.00000000000006</v>
      </c>
      <c r="FF95" s="18">
        <f>FE95*VLOOKUP('Données projet'!$B$16,Paramètres!$A$1:$I$89,3,0)*VLOOKUP('Données projet'!$B$16,Paramètres!$A$1:$I$89,5,0)</f>
        <v>288.28800000000007</v>
      </c>
      <c r="FG95" s="14">
        <f t="shared" si="101"/>
        <v>68.715516926722444</v>
      </c>
      <c r="FH95" s="22">
        <f t="shared" si="76"/>
        <v>621.78112531404167</v>
      </c>
      <c r="FI95" s="60">
        <f t="shared" si="77"/>
        <v>915.11445864737493</v>
      </c>
      <c r="FJ95" s="60">
        <f ca="1">AVERAGE(OFFSET($FI$3,0,0,'Données projet'!$E$16+1,1))-AVERAGE(OFFSET($H$3,0,0,'Données projet'!$E$16+1,1))</f>
        <v>440.52623925652182</v>
      </c>
      <c r="FK95" s="60">
        <f t="shared" si="102"/>
        <v>272.91122662088918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13</v>
      </c>
      <c r="FZ95" s="13">
        <f>IF('Données projet'!$A$244&gt;35,FZ94+FY95-GH94,IF(A95&lt;'Données projet'!$A$244,$FW$205^A95,IF(A95='Données projet'!$A$244,'Données projet'!$B$244,FZ94+FY95-GH94)))</f>
        <v>499.00000000000045</v>
      </c>
      <c r="GA95" s="18">
        <f>FZ95*VLOOKUP('Données projet'!$B$17,Paramètres!$A$1:$I$89,3,0)*VLOOKUP('Données projet'!$B$17,Paramètres!$A$1:$I$89,5,0)</f>
        <v>233.53200000000021</v>
      </c>
      <c r="GB95" s="14">
        <f t="shared" si="103"/>
        <v>57.04570382109813</v>
      </c>
      <c r="GC95" s="22">
        <f t="shared" si="79"/>
        <v>506.08950082174624</v>
      </c>
      <c r="GD95" s="60">
        <f t="shared" si="80"/>
        <v>799.4228341550795</v>
      </c>
      <c r="GE95" s="60">
        <f ca="1">AVERAGE(OFFSET($GD$3,0,0,'Données projet'!$E$17+1,1))-AVERAGE(OFFSET($H$3,0,0,'Données projet'!$E$17+1,1))</f>
        <v>317.54276561627643</v>
      </c>
      <c r="GF95" s="60">
        <f t="shared" si="104"/>
        <v>238.92443174298893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>
        <f>GU95*VLOOKUP('Données projet'!$B$18,Paramètres!$A$1:$I$89,3,0)*VLOOKUP('Données projet'!$B$18,Paramètres!$A$1:$I$89,5,0)</f>
        <v>0</v>
      </c>
      <c r="GW95" s="14" t="e">
        <f t="shared" si="105"/>
        <v>#NUM!</v>
      </c>
      <c r="GX95" s="22" t="e">
        <f t="shared" si="82"/>
        <v>#NUM!</v>
      </c>
      <c r="GY95" s="60" t="e">
        <f t="shared" si="83"/>
        <v>#NUM!</v>
      </c>
      <c r="GZ95" s="60">
        <f ca="1">AVERAGE(OFFSET($GY$3,0,0,'Données projet'!$E$18+1,1))-AVERAGE(OFFSET($H$3,0,0,'Données projet'!$E$18+1,1))</f>
        <v>79.868679770907136</v>
      </c>
      <c r="HA95" s="60">
        <f t="shared" si="106"/>
        <v>370.47471103028312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18.199687277055432</v>
      </c>
      <c r="HH95" s="23">
        <f>EXP(-LN(2)/25)*HH94+(1-EXP(-LN(2)/25))/(LN(2)/25)*Calculateur!HC95*Calculateur!HE95*VLOOKUP('Données projet'!$B$18,Paramètres!$A$1:$I$89,3,0)*0.475*44/12</f>
        <v>2.7077781762910118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20.907465453346443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0">
        <f t="shared" si="55"/>
        <v>293.33333333333439</v>
      </c>
      <c r="S96" s="60">
        <f ca="1">AVERAGE(OFFSET($R$3,0,0,'Données projet'!$E$9+1,1))-AVERAGE(OFFSET($H$3,0,0,'Données projet'!$E$9+1,1))</f>
        <v>206.5885410269899</v>
      </c>
      <c r="T96" s="60">
        <f t="shared" si="88"/>
        <v>347.41156847586302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3.3992364478763198E-14</v>
      </c>
      <c r="AK96" s="14">
        <f t="shared" si="89"/>
        <v>5.790027782444094E-13</v>
      </c>
      <c r="AL96" s="22">
        <f t="shared" si="58"/>
        <v>1.0676332069095257E-12</v>
      </c>
      <c r="AM96" s="60">
        <f t="shared" si="59"/>
        <v>293.33333333333439</v>
      </c>
      <c r="AN96" s="60">
        <f ca="1">AVERAGE(OFFSET($AM$3,0,0,'Données projet'!$E$10+1,1))-AVERAGE(OFFSET($H$3,0,0,'Données projet'!$E$10+1,1))</f>
        <v>206.5885410269899</v>
      </c>
      <c r="AO96" s="60">
        <f t="shared" si="90"/>
        <v>347.41156847586302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31.413997931604531</v>
      </c>
      <c r="AV96" s="23">
        <f>EXP(-LN(2)/25)*AV95+(1-EXP(-LN(2)/25))/(LN(2)/25)*Calculateur!AQ96*Calculateur!AS96*VLOOKUP('Données projet'!$B$10,Paramètres!$A$1:$I$89,3,0)*0.475*44/12</f>
        <v>0.58284203160551851</v>
      </c>
      <c r="AW96" s="23">
        <f>EXP(-LN(2)/2)*AW95+(1-EXP(-LN(2)/2))/(LN(2)/2)*AQ96*AT96*VLOOKUP('Données projet'!$B$10,Paramètres!$A$1:$I$89,3,0)*0.475*44/12</f>
        <v>3.6269952497463413E-7</v>
      </c>
      <c r="AX96" s="23">
        <f t="shared" si="60"/>
        <v>31.996840325909574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269.00000000000006</v>
      </c>
      <c r="BE96" s="14">
        <f>BD96*VLOOKUP('Données projet'!$B$11,Paramètres!$A$1:$I$89,3,0)*VLOOKUP('Données projet'!$B$11,Paramètres!$A$1:$I$89,5,0)</f>
        <v>255.98040000000006</v>
      </c>
      <c r="BF96" s="14">
        <f t="shared" si="91"/>
        <v>61.864786260587792</v>
      </c>
      <c r="BG96" s="22">
        <f t="shared" si="61"/>
        <v>553.58036607052384</v>
      </c>
      <c r="BH96" s="60">
        <f t="shared" si="62"/>
        <v>846.91369940385721</v>
      </c>
      <c r="BI96" s="60">
        <f ca="1">AVERAGE(OFFSET($BH$3,0,0,'Données projet'!$E$11+1,1))-AVERAGE(OFFSET($H$3,0,0,'Données projet'!$E$11+1,1))</f>
        <v>389.12604446638119</v>
      </c>
      <c r="BJ96" s="60">
        <f t="shared" si="92"/>
        <v>243.23852967152732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</v>
      </c>
      <c r="BY96" s="13">
        <f>IF('Données projet'!$A$114&gt;35,BY95+BX96-CG95,IF(A96&lt;'Données projet'!$A$114,$BV$205^A96,IF(A96='Données projet'!$A$114,'Données projet'!$B$114,BY95+BX96-CG95)))</f>
        <v>269.00000000000006</v>
      </c>
      <c r="BZ96" s="14">
        <f>BY96*VLOOKUP('Données projet'!$B$12,Paramètres!$A$1:$I$89,3,0)*VLOOKUP('Données projet'!$B$12,Paramètres!$A$1:$I$89,5,0)</f>
        <v>243.39120000000003</v>
      </c>
      <c r="CA96" s="14">
        <f t="shared" si="93"/>
        <v>59.168566788241527</v>
      </c>
      <c r="CB96" s="22">
        <f t="shared" si="64"/>
        <v>526.95826048952074</v>
      </c>
      <c r="CC96" s="60">
        <f t="shared" si="65"/>
        <v>820.29159382285411</v>
      </c>
      <c r="CD96" s="60">
        <f ca="1">AVERAGE(OFFSET($CC$3,0,0,'Données projet'!$E$12+1,1))-AVERAGE(OFFSET($H$3,0,0,'Données projet'!$E$12+1,1))</f>
        <v>371.95849973474657</v>
      </c>
      <c r="CE96" s="60">
        <f t="shared" si="94"/>
        <v>233.32640143610547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6.3006524942810243E-9</v>
      </c>
      <c r="CN96" s="24">
        <f t="shared" si="66"/>
        <v>6.3006524942810243E-9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</v>
      </c>
      <c r="CT96" s="13">
        <f>IF('Données projet'!$A$140&gt;35,CT95+CS96-DB95,IF(A96&lt;'Données projet'!$A$140,$CQ$205^A96,IF(A96='Données projet'!$A$140,'Données projet'!$B$140,CT95+CS96-DB95)))</f>
        <v>269.00000000000006</v>
      </c>
      <c r="CU96" s="18">
        <f>CT96*VLOOKUP('Données projet'!$B$13,Paramètres!$A$1:$I$89,3,0)*VLOOKUP('Données projet'!$B$13,Paramètres!$A$1:$I$89,5,0)</f>
        <v>260.17680000000007</v>
      </c>
      <c r="CV96" s="14">
        <f t="shared" si="95"/>
        <v>62.760063080404699</v>
      </c>
      <c r="CW96" s="22">
        <f t="shared" si="67"/>
        <v>562.44836986503822</v>
      </c>
      <c r="CX96" s="60">
        <f t="shared" si="68"/>
        <v>855.78170319837159</v>
      </c>
      <c r="CY96" s="60">
        <f ca="1">AVERAGE(OFFSET($CX$3,0,0,'Données projet'!$E$13+1,1))-AVERAGE(OFFSET($H$3,0,0,'Données projet'!$E$13+1,1))</f>
        <v>394.8445842828649</v>
      </c>
      <c r="CZ96" s="60">
        <f t="shared" si="96"/>
        <v>246.54010105494143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6.735180252507306E-9</v>
      </c>
      <c r="DI96" s="24">
        <f t="shared" si="69"/>
        <v>6.735180252507306E-9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5.6843418860808015E-14</v>
      </c>
      <c r="DP96" s="18">
        <f>DO96*VLOOKUP('Données projet'!$B$14,Paramètres!$A$1:$I$89,3,0)*VLOOKUP('Données projet'!$B$14,Paramètres!$A$1:$I$89,5,0)</f>
        <v>4.9658410716801891E-14</v>
      </c>
      <c r="DQ96" s="14">
        <f t="shared" si="97"/>
        <v>8.0934058173791862E-13</v>
      </c>
      <c r="DR96" s="22">
        <f t="shared" si="70"/>
        <v>1.4960899118586383E-12</v>
      </c>
      <c r="DS96" s="60">
        <f t="shared" si="71"/>
        <v>293.33333333333479</v>
      </c>
      <c r="DT96" s="60">
        <f ca="1">AVERAGE(OFFSET($DS$3,0,0,'Données projet'!$E$14+1,1))-AVERAGE(OFFSET($H$3,0,0,'Données projet'!$E$14+1,1))</f>
        <v>266.98113257513319</v>
      </c>
      <c r="DU96" s="60">
        <f t="shared" si="98"/>
        <v>275.73257102713393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1.941102357069578</v>
      </c>
      <c r="EC96" s="23">
        <f>EXP(-LN(2)/2)*EC95+(1-EXP(-LN(2)/2))/(LN(2)/2)*DW96*DZ96*VLOOKUP('Données projet'!$B$14,Paramètres!$A$1:$I$89,3,0)*0.475*44/12</f>
        <v>3.4463604420255602E-9</v>
      </c>
      <c r="ED96" s="24">
        <f t="shared" si="72"/>
        <v>1.9411023605159385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5</v>
      </c>
      <c r="EJ96" s="13">
        <f>IF('Données projet'!$A$192&gt;35,EJ95+EI96-ER95,IF(A96&lt;'Données projet'!$A$192,$EG$205^A96,IF(A96='Données projet'!$A$192,'Données projet'!$B$192,EJ95+EI96-ER95)))</f>
        <v>269.00000000000006</v>
      </c>
      <c r="EK96" s="18">
        <f>EJ96*VLOOKUP('Données projet'!$B$15,Paramètres!$A$1:$I$89,3,0)*VLOOKUP('Données projet'!$B$15,Paramètres!$A$1:$I$89,5,0)</f>
        <v>306.33720000000005</v>
      </c>
      <c r="EL96" s="14">
        <f t="shared" si="99"/>
        <v>72.503363402445913</v>
      </c>
      <c r="EM96" s="22">
        <f t="shared" si="73"/>
        <v>659.81398125926</v>
      </c>
      <c r="EN96" s="60">
        <f t="shared" si="74"/>
        <v>953.14731459259337</v>
      </c>
      <c r="EO96" s="60">
        <f ca="1">AVERAGE(OFFSET($EN$3,0,0,'Données projet'!$E$15+1,1))-AVERAGE(OFFSET($H$3,0,0,'Données projet'!$E$15+1,1))</f>
        <v>457.62828850677369</v>
      </c>
      <c r="EP96" s="60">
        <f t="shared" si="100"/>
        <v>282.78263556175563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5</v>
      </c>
      <c r="FE96" s="13">
        <f>IF('Données projet'!$A$218&gt;35,FE95+FD96-FM95,IF(A96&lt;'Données projet'!$A$218,$FB$205^A96,IF(A96='Données projet'!$A$218,'Données projet'!$B$218,FE95+FD96-FM95)))</f>
        <v>269.00000000000006</v>
      </c>
      <c r="FF96" s="18">
        <f>FE96*VLOOKUP('Données projet'!$B$16,Paramètres!$A$1:$I$89,3,0)*VLOOKUP('Données projet'!$B$16,Paramètres!$A$1:$I$89,5,0)</f>
        <v>293.74800000000005</v>
      </c>
      <c r="FG96" s="14">
        <f t="shared" si="101"/>
        <v>69.864201984598637</v>
      </c>
      <c r="FH96" s="22">
        <f t="shared" si="76"/>
        <v>633.2912517898427</v>
      </c>
      <c r="FI96" s="60">
        <f t="shared" si="77"/>
        <v>926.62458512317608</v>
      </c>
      <c r="FJ96" s="60">
        <f ca="1">AVERAGE(OFFSET($FI$3,0,0,'Données projet'!$E$16+1,1))-AVERAGE(OFFSET($H$3,0,0,'Données projet'!$E$16+1,1))</f>
        <v>440.52623925652182</v>
      </c>
      <c r="FK96" s="60">
        <f t="shared" si="102"/>
        <v>272.91122662088918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13</v>
      </c>
      <c r="FZ96" s="13">
        <f>IF('Données projet'!$A$244&gt;35,FZ95+FY96-GH95,IF(A96&lt;'Données projet'!$A$244,$FW$205^A96,IF(A96='Données projet'!$A$244,'Données projet'!$B$244,FZ95+FY96-GH95)))</f>
        <v>512.00000000000045</v>
      </c>
      <c r="GA96" s="18">
        <f>FZ96*VLOOKUP('Données projet'!$B$17,Paramètres!$A$1:$I$89,3,0)*VLOOKUP('Données projet'!$B$17,Paramètres!$A$1:$I$89,5,0)</f>
        <v>239.61600000000021</v>
      </c>
      <c r="GB96" s="14">
        <f t="shared" si="103"/>
        <v>58.356903313490214</v>
      </c>
      <c r="GC96" s="22">
        <f t="shared" si="79"/>
        <v>518.96947327099576</v>
      </c>
      <c r="GD96" s="60">
        <f t="shared" si="80"/>
        <v>812.30280660432913</v>
      </c>
      <c r="GE96" s="60">
        <f ca="1">AVERAGE(OFFSET($GD$3,0,0,'Données projet'!$E$17+1,1))-AVERAGE(OFFSET($H$3,0,0,'Données projet'!$E$17+1,1))</f>
        <v>317.54276561627643</v>
      </c>
      <c r="GF96" s="60">
        <f t="shared" si="104"/>
        <v>238.92443174298893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>
        <f>GU96*VLOOKUP('Données projet'!$B$18,Paramètres!$A$1:$I$89,3,0)*VLOOKUP('Données projet'!$B$18,Paramètres!$A$1:$I$89,5,0)</f>
        <v>0</v>
      </c>
      <c r="GW96" s="14" t="e">
        <f t="shared" si="105"/>
        <v>#NUM!</v>
      </c>
      <c r="GX96" s="22" t="e">
        <f t="shared" si="82"/>
        <v>#NUM!</v>
      </c>
      <c r="GY96" s="60" t="e">
        <f t="shared" si="83"/>
        <v>#NUM!</v>
      </c>
      <c r="GZ96" s="60">
        <f ca="1">AVERAGE(OFFSET($GY$3,0,0,'Données projet'!$E$18+1,1))-AVERAGE(OFFSET($H$3,0,0,'Données projet'!$E$18+1,1))</f>
        <v>79.868679770907136</v>
      </c>
      <c r="HA96" s="60">
        <f t="shared" si="106"/>
        <v>370.47471103028312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17.842802510265511</v>
      </c>
      <c r="HH96" s="23">
        <f>EXP(-LN(2)/25)*HH95+(1-EXP(-LN(2)/25))/(LN(2)/25)*Calculateur!HC96*Calculateur!HE96*VLOOKUP('Données projet'!$B$18,Paramètres!$A$1:$I$89,3,0)*0.475*44/12</f>
        <v>2.6337338396644685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20.47653634992998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0">
        <f t="shared" si="55"/>
        <v>293.33333333333439</v>
      </c>
      <c r="S97" s="60">
        <f ca="1">AVERAGE(OFFSET($R$3,0,0,'Données projet'!$E$9+1,1))-AVERAGE(OFFSET($H$3,0,0,'Données projet'!$E$9+1,1))</f>
        <v>206.5885410269899</v>
      </c>
      <c r="T97" s="60">
        <f t="shared" si="88"/>
        <v>347.41156847586302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3.3992364478763198E-14</v>
      </c>
      <c r="AK97" s="14">
        <f t="shared" si="89"/>
        <v>5.790027782444094E-13</v>
      </c>
      <c r="AL97" s="22">
        <f t="shared" si="58"/>
        <v>1.0676332069095257E-12</v>
      </c>
      <c r="AM97" s="60">
        <f t="shared" si="59"/>
        <v>293.33333333333439</v>
      </c>
      <c r="AN97" s="60">
        <f ca="1">AVERAGE(OFFSET($AM$3,0,0,'Données projet'!$E$10+1,1))-AVERAGE(OFFSET($H$3,0,0,'Données projet'!$E$10+1,1))</f>
        <v>206.5885410269899</v>
      </c>
      <c r="AO97" s="60">
        <f t="shared" si="90"/>
        <v>347.41156847586302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30.797988592812548</v>
      </c>
      <c r="AV97" s="23">
        <f>EXP(-LN(2)/25)*AV96+(1-EXP(-LN(2)/25))/(LN(2)/25)*Calculateur!AQ97*Calculateur!AS97*VLOOKUP('Données projet'!$B$10,Paramètres!$A$1:$I$89,3,0)*0.475*44/12</f>
        <v>0.56690418560093525</v>
      </c>
      <c r="AW97" s="23">
        <f>EXP(-LN(2)/2)*AW96+(1-EXP(-LN(2)/2))/(LN(2)/2)*AQ97*AT97*VLOOKUP('Données projet'!$B$10,Paramètres!$A$1:$I$89,3,0)*0.475*44/12</f>
        <v>2.5646729364270334E-7</v>
      </c>
      <c r="AX97" s="23">
        <f t="shared" si="60"/>
        <v>31.36489303488078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274.00000000000006</v>
      </c>
      <c r="BE97" s="14">
        <f>BD97*VLOOKUP('Données projet'!$B$11,Paramètres!$A$1:$I$89,3,0)*VLOOKUP('Données projet'!$B$11,Paramètres!$A$1:$I$89,5,0)</f>
        <v>260.73840000000007</v>
      </c>
      <c r="BF97" s="14">
        <f t="shared" si="91"/>
        <v>62.879749008354764</v>
      </c>
      <c r="BG97" s="22">
        <f t="shared" si="61"/>
        <v>563.634942856218</v>
      </c>
      <c r="BH97" s="60">
        <f t="shared" si="62"/>
        <v>856.96827618955126</v>
      </c>
      <c r="BI97" s="60">
        <f ca="1">AVERAGE(OFFSET($BH$3,0,0,'Données projet'!$E$11+1,1))-AVERAGE(OFFSET($H$3,0,0,'Données projet'!$E$11+1,1))</f>
        <v>389.12604446638119</v>
      </c>
      <c r="BJ97" s="60">
        <f t="shared" si="92"/>
        <v>243.23852967152732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</v>
      </c>
      <c r="BY97" s="13">
        <f>IF('Données projet'!$A$114&gt;35,BY96+BX97-CG96,IF(A97&lt;'Données projet'!$A$114,$BV$205^A97,IF(A97='Données projet'!$A$114,'Données projet'!$B$114,BY96+BX97-CG96)))</f>
        <v>274.00000000000006</v>
      </c>
      <c r="BZ97" s="14">
        <f>BY97*VLOOKUP('Données projet'!$B$12,Paramètres!$A$1:$I$89,3,0)*VLOOKUP('Données projet'!$B$12,Paramètres!$A$1:$I$89,5,0)</f>
        <v>247.91520000000003</v>
      </c>
      <c r="CA97" s="14">
        <f t="shared" si="93"/>
        <v>60.139294964297406</v>
      </c>
      <c r="CB97" s="22">
        <f t="shared" si="64"/>
        <v>536.52824539615131</v>
      </c>
      <c r="CC97" s="60">
        <f t="shared" si="65"/>
        <v>829.86157872948456</v>
      </c>
      <c r="CD97" s="60">
        <f ca="1">AVERAGE(OFFSET($CC$3,0,0,'Données projet'!$E$12+1,1))-AVERAGE(OFFSET($H$3,0,0,'Données projet'!$E$12+1,1))</f>
        <v>371.95849973474657</v>
      </c>
      <c r="CE97" s="60">
        <f t="shared" si="94"/>
        <v>233.32640143610547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4.4552341046060471E-9</v>
      </c>
      <c r="CN97" s="24">
        <f t="shared" si="66"/>
        <v>4.4552341046060471E-9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</v>
      </c>
      <c r="CT97" s="13">
        <f>IF('Données projet'!$A$140&gt;35,CT96+CS97-DB96,IF(A97&lt;'Données projet'!$A$140,$CQ$205^A97,IF(A97='Données projet'!$A$140,'Données projet'!$B$140,CT96+CS97-DB96)))</f>
        <v>274.00000000000006</v>
      </c>
      <c r="CU97" s="18">
        <f>CT97*VLOOKUP('Données projet'!$B$13,Paramètres!$A$1:$I$89,3,0)*VLOOKUP('Données projet'!$B$13,Paramètres!$A$1:$I$89,5,0)</f>
        <v>265.01280000000003</v>
      </c>
      <c r="CV97" s="14">
        <f t="shared" si="95"/>
        <v>63.789713870852786</v>
      </c>
      <c r="CW97" s="22">
        <f t="shared" si="67"/>
        <v>572.66437832506858</v>
      </c>
      <c r="CX97" s="60">
        <f t="shared" si="68"/>
        <v>865.99771165840184</v>
      </c>
      <c r="CY97" s="60">
        <f ca="1">AVERAGE(OFFSET($CX$3,0,0,'Données projet'!$E$13+1,1))-AVERAGE(OFFSET($H$3,0,0,'Données projet'!$E$13+1,1))</f>
        <v>394.8445842828649</v>
      </c>
      <c r="CZ97" s="60">
        <f t="shared" si="96"/>
        <v>246.54010105494143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4.7624916290616395E-9</v>
      </c>
      <c r="DI97" s="24">
        <f t="shared" si="69"/>
        <v>4.7624916290616395E-9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5.6843418860808015E-14</v>
      </c>
      <c r="DP97" s="18">
        <f>DO97*VLOOKUP('Données projet'!$B$14,Paramètres!$A$1:$I$89,3,0)*VLOOKUP('Données projet'!$B$14,Paramètres!$A$1:$I$89,5,0)</f>
        <v>4.9658410716801891E-14</v>
      </c>
      <c r="DQ97" s="14">
        <f t="shared" si="97"/>
        <v>8.0934058173791862E-13</v>
      </c>
      <c r="DR97" s="22">
        <f t="shared" si="70"/>
        <v>1.4960899118586383E-12</v>
      </c>
      <c r="DS97" s="60">
        <f t="shared" si="71"/>
        <v>293.33333333333479</v>
      </c>
      <c r="DT97" s="60">
        <f ca="1">AVERAGE(OFFSET($DS$3,0,0,'Données projet'!$E$14+1,1))-AVERAGE(OFFSET($H$3,0,0,'Données projet'!$E$14+1,1))</f>
        <v>266.98113257513319</v>
      </c>
      <c r="DU97" s="60">
        <f t="shared" si="98"/>
        <v>275.73257102713393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1.8880228110373738</v>
      </c>
      <c r="EC97" s="23">
        <f>EXP(-LN(2)/2)*EC96+(1-EXP(-LN(2)/2))/(LN(2)/2)*DW97*DZ97*VLOOKUP('Données projet'!$B$14,Paramètres!$A$1:$I$89,3,0)*0.475*44/12</f>
        <v>2.4369448389693409E-9</v>
      </c>
      <c r="ED97" s="24">
        <f t="shared" si="72"/>
        <v>1.8880228134743187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5</v>
      </c>
      <c r="EJ97" s="13">
        <f>IF('Données projet'!$A$192&gt;35,EJ96+EI97-ER96,IF(A97&lt;'Données projet'!$A$192,$EG$205^A97,IF(A97='Données projet'!$A$192,'Données projet'!$B$192,EJ96+EI97-ER96)))</f>
        <v>274.00000000000006</v>
      </c>
      <c r="EK97" s="18">
        <f>EJ97*VLOOKUP('Données projet'!$B$15,Paramètres!$A$1:$I$89,3,0)*VLOOKUP('Données projet'!$B$15,Paramètres!$A$1:$I$89,5,0)</f>
        <v>312.03120000000007</v>
      </c>
      <c r="EL97" s="14">
        <f t="shared" si="99"/>
        <v>73.69286420555747</v>
      </c>
      <c r="EM97" s="22">
        <f t="shared" si="73"/>
        <v>671.80274515801261</v>
      </c>
      <c r="EN97" s="60">
        <f t="shared" si="74"/>
        <v>965.13607849134587</v>
      </c>
      <c r="EO97" s="60">
        <f ca="1">AVERAGE(OFFSET($EN$3,0,0,'Données projet'!$E$15+1,1))-AVERAGE(OFFSET($H$3,0,0,'Données projet'!$E$15+1,1))</f>
        <v>457.62828850677369</v>
      </c>
      <c r="EP97" s="60">
        <f t="shared" si="100"/>
        <v>282.78263556175563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5</v>
      </c>
      <c r="FE97" s="13">
        <f>IF('Données projet'!$A$218&gt;35,FE96+FD97-FM96,IF(A97&lt;'Données projet'!$A$218,$FB$205^A97,IF(A97='Données projet'!$A$218,'Données projet'!$B$218,FE96+FD97-FM96)))</f>
        <v>274.00000000000006</v>
      </c>
      <c r="FF97" s="18">
        <f>FE97*VLOOKUP('Données projet'!$B$16,Paramètres!$A$1:$I$89,3,0)*VLOOKUP('Données projet'!$B$16,Paramètres!$A$1:$I$89,5,0)</f>
        <v>299.20800000000008</v>
      </c>
      <c r="FG97" s="14">
        <f t="shared" si="101"/>
        <v>71.010404318801307</v>
      </c>
      <c r="FH97" s="22">
        <f t="shared" si="76"/>
        <v>644.79705418857907</v>
      </c>
      <c r="FI97" s="60">
        <f t="shared" si="77"/>
        <v>938.13038752191233</v>
      </c>
      <c r="FJ97" s="60">
        <f ca="1">AVERAGE(OFFSET($FI$3,0,0,'Données projet'!$E$16+1,1))-AVERAGE(OFFSET($H$3,0,0,'Données projet'!$E$16+1,1))</f>
        <v>440.52623925652182</v>
      </c>
      <c r="FK97" s="60">
        <f t="shared" si="102"/>
        <v>272.91122662088918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>
        <f>VLOOKUP(A97,'Données projet'!$A$243:$I$263,2,0)</f>
        <v>525</v>
      </c>
      <c r="FX97" s="13">
        <f>VLOOKUP(A97,'Données projet'!$A$243:$I$263,9,0)</f>
        <v>13</v>
      </c>
      <c r="FY97" s="13">
        <f t="array" ref="FY97">INDEX(FX:FX,MIN(IF(ISNUMBER(FX97:FX293),ROW(FX97:FX293),"")))</f>
        <v>13</v>
      </c>
      <c r="FZ97" s="13">
        <f>IF('Données projet'!$A$244&gt;35,FZ96+FY97-GH96,IF(A97&lt;'Données projet'!$A$244,$FW$205^A97,IF(A97='Données projet'!$A$244,'Données projet'!$B$244,FZ96+FY97-GH96)))</f>
        <v>525.00000000000045</v>
      </c>
      <c r="GA97" s="18">
        <f>FZ97*VLOOKUP('Données projet'!$B$17,Paramètres!$A$1:$I$89,3,0)*VLOOKUP('Données projet'!$B$17,Paramètres!$A$1:$I$89,5,0)</f>
        <v>245.70000000000022</v>
      </c>
      <c r="GB97" s="14">
        <f t="shared" si="103"/>
        <v>59.66423287821754</v>
      </c>
      <c r="GC97" s="22">
        <f t="shared" si="79"/>
        <v>531.84270559622928</v>
      </c>
      <c r="GD97" s="60">
        <f t="shared" si="80"/>
        <v>825.17603892956254</v>
      </c>
      <c r="GE97" s="60">
        <f ca="1">AVERAGE(OFFSET($GD$3,0,0,'Données projet'!$E$17+1,1))-AVERAGE(OFFSET($H$3,0,0,'Données projet'!$E$17+1,1))</f>
        <v>317.54276561627643</v>
      </c>
      <c r="GF97" s="60">
        <f t="shared" si="104"/>
        <v>238.92443174298893</v>
      </c>
      <c r="GG97" s="16">
        <f>IF(ISNA(VLOOKUP(A97,'Données projet'!$A$243:$I$263,3,0)),0,VLOOKUP(A97,'Données projet'!$A$243:$I$263,3,0))</f>
        <v>17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>
        <f>GU97*VLOOKUP('Données projet'!$B$18,Paramètres!$A$1:$I$89,3,0)*VLOOKUP('Données projet'!$B$18,Paramètres!$A$1:$I$89,5,0)</f>
        <v>0</v>
      </c>
      <c r="GW97" s="14" t="e">
        <f t="shared" si="105"/>
        <v>#NUM!</v>
      </c>
      <c r="GX97" s="22" t="e">
        <f t="shared" si="82"/>
        <v>#NUM!</v>
      </c>
      <c r="GY97" s="60" t="e">
        <f t="shared" si="83"/>
        <v>#NUM!</v>
      </c>
      <c r="GZ97" s="60">
        <f ca="1">AVERAGE(OFFSET($GY$3,0,0,'Données projet'!$E$18+1,1))-AVERAGE(OFFSET($H$3,0,0,'Données projet'!$E$18+1,1))</f>
        <v>79.868679770907136</v>
      </c>
      <c r="HA97" s="60">
        <f t="shared" si="106"/>
        <v>370.47471103028312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17.492916036074124</v>
      </c>
      <c r="HH97" s="23">
        <f>EXP(-LN(2)/25)*HH96+(1-EXP(-LN(2)/25))/(LN(2)/25)*Calculateur!HC97*Calculateur!HE97*VLOOKUP('Données projet'!$B$18,Paramètres!$A$1:$I$89,3,0)*0.475*44/12</f>
        <v>2.5617142493168004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20.054630285390925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0">
        <f t="shared" si="55"/>
        <v>293.33333333333439</v>
      </c>
      <c r="S98" s="60">
        <f ca="1">AVERAGE(OFFSET($R$3,0,0,'Données projet'!$E$9+1,1))-AVERAGE(OFFSET($H$3,0,0,'Données projet'!$E$9+1,1))</f>
        <v>206.5885410269899</v>
      </c>
      <c r="T98" s="60">
        <f t="shared" si="88"/>
        <v>347.41156847586302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3.3992364478763198E-14</v>
      </c>
      <c r="AK98" s="14">
        <f t="shared" si="89"/>
        <v>5.790027782444094E-13</v>
      </c>
      <c r="AL98" s="22">
        <f t="shared" si="58"/>
        <v>1.0676332069095257E-12</v>
      </c>
      <c r="AM98" s="60">
        <f t="shared" si="59"/>
        <v>293.33333333333439</v>
      </c>
      <c r="AN98" s="60">
        <f ca="1">AVERAGE(OFFSET($AM$3,0,0,'Données projet'!$E$10+1,1))-AVERAGE(OFFSET($H$3,0,0,'Données projet'!$E$10+1,1))</f>
        <v>206.5885410269899</v>
      </c>
      <c r="AO98" s="60">
        <f t="shared" si="90"/>
        <v>347.41156847586302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30.194058821425678</v>
      </c>
      <c r="AV98" s="23">
        <f>EXP(-LN(2)/25)*AV97+(1-EXP(-LN(2)/25))/(LN(2)/25)*Calculateur!AQ98*Calculateur!AS98*VLOOKUP('Données projet'!$B$10,Paramètres!$A$1:$I$89,3,0)*0.475*44/12</f>
        <v>0.55140216083348226</v>
      </c>
      <c r="AW98" s="23">
        <f>EXP(-LN(2)/2)*AW97+(1-EXP(-LN(2)/2))/(LN(2)/2)*AQ98*AT98*VLOOKUP('Données projet'!$B$10,Paramètres!$A$1:$I$89,3,0)*0.475*44/12</f>
        <v>1.8134976248731706E-7</v>
      </c>
      <c r="AX98" s="23">
        <f t="shared" si="60"/>
        <v>30.745461163608923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279.00000000000006</v>
      </c>
      <c r="BE98" s="14">
        <f>BD98*VLOOKUP('Données projet'!$B$11,Paramètres!$A$1:$I$89,3,0)*VLOOKUP('Données projet'!$B$11,Paramètres!$A$1:$I$89,5,0)</f>
        <v>265.49640000000005</v>
      </c>
      <c r="BF98" s="14">
        <f t="shared" si="91"/>
        <v>63.892558047989588</v>
      </c>
      <c r="BG98" s="22">
        <f t="shared" si="61"/>
        <v>573.68576860024859</v>
      </c>
      <c r="BH98" s="60">
        <f t="shared" si="62"/>
        <v>867.01910193358185</v>
      </c>
      <c r="BI98" s="60">
        <f ca="1">AVERAGE(OFFSET($BH$3,0,0,'Données projet'!$E$11+1,1))-AVERAGE(OFFSET($H$3,0,0,'Données projet'!$E$11+1,1))</f>
        <v>389.12604446638119</v>
      </c>
      <c r="BJ98" s="60">
        <f t="shared" si="92"/>
        <v>243.23852967152732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279</v>
      </c>
      <c r="BW98" s="13">
        <f>VLOOKUP(A98,'Données projet'!$A$113:$I$133,9,0)</f>
        <v>5</v>
      </c>
      <c r="BX98" s="13">
        <f t="array" ref="BX98">INDEX(BW:BW,MIN(IF(ISNUMBER(BW98:BW294),ROW(BW98:BW294),"")))</f>
        <v>5</v>
      </c>
      <c r="BY98" s="13">
        <f>IF('Données projet'!$A$114&gt;35,BY97+BX98-CG97,IF(A98&lt;'Données projet'!$A$114,$BV$205^A98,IF(A98='Données projet'!$A$114,'Données projet'!$B$114,BY97+BX98-CG97)))</f>
        <v>279.00000000000006</v>
      </c>
      <c r="BZ98" s="14">
        <f>BY98*VLOOKUP('Données projet'!$B$12,Paramètres!$A$1:$I$89,3,0)*VLOOKUP('Données projet'!$B$12,Paramètres!$A$1:$I$89,5,0)</f>
        <v>252.43920000000006</v>
      </c>
      <c r="CA98" s="14">
        <f t="shared" si="93"/>
        <v>61.107963296116274</v>
      </c>
      <c r="CB98" s="22">
        <f t="shared" si="64"/>
        <v>546.09464274073594</v>
      </c>
      <c r="CC98" s="60">
        <f t="shared" si="65"/>
        <v>839.42797607406919</v>
      </c>
      <c r="CD98" s="60">
        <f ca="1">AVERAGE(OFFSET($CC$3,0,0,'Données projet'!$E$12+1,1))-AVERAGE(OFFSET($H$3,0,0,'Données projet'!$E$12+1,1))</f>
        <v>371.95849973474657</v>
      </c>
      <c r="CE98" s="60">
        <f t="shared" si="94"/>
        <v>233.32640143610547</v>
      </c>
      <c r="CF98" s="16">
        <f>IF(ISNA(VLOOKUP(A98,'Données projet'!$A$113:$I$133,3,0)),0,VLOOKUP(A98,'Données projet'!$A$113:$I$133,3,0))</f>
        <v>15</v>
      </c>
      <c r="CG98" s="16">
        <f>IF(ISNA(VLOOKUP(A98,'Données projet'!$A$113:$I$133,4,0)),0,VLOOKUP(A98,'Données projet'!$A$113:$I$133,4,0))</f>
        <v>21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3.1503262471405122E-9</v>
      </c>
      <c r="CN98" s="24">
        <f t="shared" si="66"/>
        <v>3.1503262471405122E-9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279</v>
      </c>
      <c r="CR98" s="13">
        <f>VLOOKUP(A98,'Données projet'!$A$139:$I$159,9,0)</f>
        <v>5</v>
      </c>
      <c r="CS98" s="13">
        <f t="array" ref="CS98">INDEX(CR:CR,MIN(IF(ISNUMBER(CR98:CR294),ROW(CR98:CR294),"")))</f>
        <v>5</v>
      </c>
      <c r="CT98" s="13">
        <f>IF('Données projet'!$A$140&gt;35,CT97+CS98-DB97,IF(A98&lt;'Données projet'!$A$140,$CQ$205^A98,IF(A98='Données projet'!$A$140,'Données projet'!$B$140,CT97+CS98-DB97)))</f>
        <v>279.00000000000006</v>
      </c>
      <c r="CU98" s="18">
        <f>CT98*VLOOKUP('Données projet'!$B$13,Paramètres!$A$1:$I$89,3,0)*VLOOKUP('Données projet'!$B$13,Paramètres!$A$1:$I$89,5,0)</f>
        <v>269.8488000000001</v>
      </c>
      <c r="CV98" s="14">
        <f t="shared" si="95"/>
        <v>64.817179785761795</v>
      </c>
      <c r="CW98" s="22">
        <f t="shared" si="67"/>
        <v>582.87658146020192</v>
      </c>
      <c r="CX98" s="60">
        <f t="shared" si="68"/>
        <v>876.20991479353529</v>
      </c>
      <c r="CY98" s="60">
        <f ca="1">AVERAGE(OFFSET($CX$3,0,0,'Données projet'!$E$13+1,1))-AVERAGE(OFFSET($H$3,0,0,'Données projet'!$E$13+1,1))</f>
        <v>394.8445842828649</v>
      </c>
      <c r="CZ98" s="60">
        <f t="shared" si="96"/>
        <v>246.54010105494143</v>
      </c>
      <c r="DA98" s="16">
        <f>IF(ISNA(VLOOKUP(A98,'Données projet'!$A$139:$I$159,3,0)),0,VLOOKUP(A98,'Données projet'!$A$139:$I$159,3,0))</f>
        <v>15</v>
      </c>
      <c r="DB98" s="16">
        <f>IF(ISNA(VLOOKUP(A98,'Données projet'!$A$139:$I$159,4,0)),0,VLOOKUP(A98,'Données projet'!$A$139:$I$159,4,0))</f>
        <v>21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3.367590126253653E-9</v>
      </c>
      <c r="DI98" s="24">
        <f t="shared" si="69"/>
        <v>3.367590126253653E-9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5.6843418860808015E-14</v>
      </c>
      <c r="DP98" s="18">
        <f>DO98*VLOOKUP('Données projet'!$B$14,Paramètres!$A$1:$I$89,3,0)*VLOOKUP('Données projet'!$B$14,Paramètres!$A$1:$I$89,5,0)</f>
        <v>4.9658410716801891E-14</v>
      </c>
      <c r="DQ98" s="14">
        <f t="shared" si="97"/>
        <v>8.0934058173791862E-13</v>
      </c>
      <c r="DR98" s="22">
        <f t="shared" si="70"/>
        <v>1.4960899118586383E-12</v>
      </c>
      <c r="DS98" s="60">
        <f t="shared" si="71"/>
        <v>293.33333333333479</v>
      </c>
      <c r="DT98" s="60">
        <f ca="1">AVERAGE(OFFSET($DS$3,0,0,'Données projet'!$E$14+1,1))-AVERAGE(OFFSET($H$3,0,0,'Données projet'!$E$14+1,1))</f>
        <v>266.98113257513319</v>
      </c>
      <c r="DU98" s="60">
        <f t="shared" si="98"/>
        <v>275.73257102713393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1.8363947279827524</v>
      </c>
      <c r="EC98" s="23">
        <f>EXP(-LN(2)/2)*EC97+(1-EXP(-LN(2)/2))/(LN(2)/2)*DW98*DZ98*VLOOKUP('Données projet'!$B$14,Paramètres!$A$1:$I$89,3,0)*0.475*44/12</f>
        <v>1.7231802210127801E-9</v>
      </c>
      <c r="ED98" s="24">
        <f t="shared" si="72"/>
        <v>1.8363947297059326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279</v>
      </c>
      <c r="EH98" s="13">
        <f>VLOOKUP(A98,'Données projet'!$A$191:$I$211,9,0)</f>
        <v>5</v>
      </c>
      <c r="EI98" s="13">
        <f t="array" ref="EI98">INDEX(EH:EH,MIN(IF(ISNUMBER(EH98:EH294),ROW(EH98:EH294),"")))</f>
        <v>5</v>
      </c>
      <c r="EJ98" s="13">
        <f>IF('Données projet'!$A$192&gt;35,EJ97+EI98-ER97,IF(A98&lt;'Données projet'!$A$192,$EG$205^A98,IF(A98='Données projet'!$A$192,'Données projet'!$B$192,EJ97+EI98-ER97)))</f>
        <v>279.00000000000006</v>
      </c>
      <c r="EK98" s="18">
        <f>EJ98*VLOOKUP('Données projet'!$B$15,Paramètres!$A$1:$I$89,3,0)*VLOOKUP('Données projet'!$B$15,Paramètres!$A$1:$I$89,5,0)</f>
        <v>317.72520000000009</v>
      </c>
      <c r="EL98" s="14">
        <f t="shared" si="99"/>
        <v>74.879840938146799</v>
      </c>
      <c r="EM98" s="22">
        <f t="shared" si="73"/>
        <v>683.78711296727249</v>
      </c>
      <c r="EN98" s="60">
        <f t="shared" si="74"/>
        <v>977.12044630060586</v>
      </c>
      <c r="EO98" s="60">
        <f ca="1">AVERAGE(OFFSET($EN$3,0,0,'Données projet'!$E$15+1,1))-AVERAGE(OFFSET($H$3,0,0,'Données projet'!$E$15+1,1))</f>
        <v>457.62828850677369</v>
      </c>
      <c r="EP98" s="60">
        <f t="shared" si="100"/>
        <v>282.78263556175563</v>
      </c>
      <c r="EQ98" s="16">
        <f>IF(ISNA(VLOOKUP(A98,'Données projet'!$A$191:$I$211,3,0)),0,VLOOKUP(A98,'Données projet'!$A$191:$I$211,3,0))</f>
        <v>15</v>
      </c>
      <c r="ER98" s="16">
        <f>IF(ISNA(VLOOKUP(A98,'Données projet'!$A$191:$I$211,4,0)),0,VLOOKUP(A98,'Données projet'!$A$191:$I$211,4,0))</f>
        <v>21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279</v>
      </c>
      <c r="FC98" s="13">
        <f>VLOOKUP(A98,'Données projet'!$A$217:$I$237,9,0)</f>
        <v>5</v>
      </c>
      <c r="FD98" s="13">
        <f t="array" ref="FD98">INDEX(FC:FC,MIN(IF(ISNUMBER(FC98:FC294),ROW(FC98:FC294),"")))</f>
        <v>5</v>
      </c>
      <c r="FE98" s="13">
        <f>IF('Données projet'!$A$218&gt;35,FE97+FD98-FM97,IF(A98&lt;'Données projet'!$A$218,$FB$205^A98,IF(A98='Données projet'!$A$218,'Données projet'!$B$218,FE97+FD98-FM97)))</f>
        <v>279.00000000000006</v>
      </c>
      <c r="FF98" s="18">
        <f>FE98*VLOOKUP('Données projet'!$B$16,Paramètres!$A$1:$I$89,3,0)*VLOOKUP('Données projet'!$B$16,Paramètres!$A$1:$I$89,5,0)</f>
        <v>304.66800000000006</v>
      </c>
      <c r="FG98" s="14">
        <f t="shared" si="101"/>
        <v>72.154174460006061</v>
      </c>
      <c r="FH98" s="22">
        <f t="shared" si="76"/>
        <v>656.29862051784391</v>
      </c>
      <c r="FI98" s="60">
        <f t="shared" si="77"/>
        <v>949.63195385117729</v>
      </c>
      <c r="FJ98" s="60">
        <f ca="1">AVERAGE(OFFSET($FI$3,0,0,'Données projet'!$E$16+1,1))-AVERAGE(OFFSET($H$3,0,0,'Données projet'!$E$16+1,1))</f>
        <v>440.52623925652182</v>
      </c>
      <c r="FK98" s="60">
        <f t="shared" si="102"/>
        <v>272.91122662088918</v>
      </c>
      <c r="FL98" s="16">
        <f>IF(ISNA(VLOOKUP(A98,'Données projet'!$A$217:$I$237,3,0)),0,VLOOKUP(A98,'Données projet'!$A$217:$I$237,3,0))</f>
        <v>15</v>
      </c>
      <c r="FM98" s="16">
        <f>IF(ISNA(VLOOKUP(A98,'Données projet'!$A$217:$I$237,4,0)),0,VLOOKUP(A98,'Données projet'!$A$217:$I$237,4,0))</f>
        <v>21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>
        <f>VLOOKUP(A98,'Données projet'!$A$243:$I$263,2,0)</f>
        <v>538</v>
      </c>
      <c r="FX98" s="13">
        <f>VLOOKUP(A98,'Données projet'!$A$243:$I$263,9,0)</f>
        <v>13</v>
      </c>
      <c r="FY98" s="13">
        <f t="array" ref="FY98">INDEX(FX:FX,MIN(IF(ISNUMBER(FX98:FX294),ROW(FX98:FX294),"")))</f>
        <v>13</v>
      </c>
      <c r="FZ98" s="13">
        <f>IF('Données projet'!$A$244&gt;35,FZ97+FY98-GH97,IF(A98&lt;'Données projet'!$A$244,$FW$205^A98,IF(A98='Données projet'!$A$244,'Données projet'!$B$244,FZ97+FY98-GH97)))</f>
        <v>538.00000000000045</v>
      </c>
      <c r="GA98" s="18">
        <f>FZ98*VLOOKUP('Données projet'!$B$17,Paramètres!$A$1:$I$89,3,0)*VLOOKUP('Données projet'!$B$17,Paramètres!$A$1:$I$89,5,0)</f>
        <v>251.78400000000019</v>
      </c>
      <c r="GB98" s="14">
        <f t="shared" si="103"/>
        <v>60.967799364357568</v>
      </c>
      <c r="GC98" s="22">
        <f t="shared" si="79"/>
        <v>544.70938389292303</v>
      </c>
      <c r="GD98" s="60">
        <f t="shared" si="80"/>
        <v>838.0427172262564</v>
      </c>
      <c r="GE98" s="60">
        <f ca="1">AVERAGE(OFFSET($GD$3,0,0,'Données projet'!$E$17+1,1))-AVERAGE(OFFSET($H$3,0,0,'Données projet'!$E$17+1,1))</f>
        <v>317.54276561627643</v>
      </c>
      <c r="GF98" s="60">
        <f t="shared" si="104"/>
        <v>238.92443174298893</v>
      </c>
      <c r="GG98" s="16">
        <f>IF(ISNA(VLOOKUP(A98,'Données projet'!$A$243:$I$263,3,0)),0,VLOOKUP(A98,'Données projet'!$A$243:$I$263,3,0))</f>
        <v>18</v>
      </c>
      <c r="GH98" s="16">
        <f>IF(ISNA(VLOOKUP(A98,'Données projet'!$A$243:$I$263,4,0)),0,VLOOKUP(A98,'Données projet'!$A$243:$I$263,4,0))</f>
        <v>269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>
        <f>GU98*VLOOKUP('Données projet'!$B$18,Paramètres!$A$1:$I$89,3,0)*VLOOKUP('Données projet'!$B$18,Paramètres!$A$1:$I$89,5,0)</f>
        <v>0</v>
      </c>
      <c r="GW98" s="14" t="e">
        <f t="shared" si="105"/>
        <v>#NUM!</v>
      </c>
      <c r="GX98" s="22" t="e">
        <f t="shared" si="82"/>
        <v>#NUM!</v>
      </c>
      <c r="GY98" s="60" t="e">
        <f t="shared" si="83"/>
        <v>#NUM!</v>
      </c>
      <c r="GZ98" s="60">
        <f ca="1">AVERAGE(OFFSET($GY$3,0,0,'Données projet'!$E$18+1,1))-AVERAGE(OFFSET($H$3,0,0,'Données projet'!$E$18+1,1))</f>
        <v>79.868679770907136</v>
      </c>
      <c r="HA98" s="60">
        <f t="shared" si="106"/>
        <v>370.47471103028312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17.149890622231954</v>
      </c>
      <c r="HH98" s="23">
        <f>EXP(-LN(2)/25)*HH97+(1-EXP(-LN(2)/25))/(LN(2)/25)*Calculateur!HC98*Calculateur!HE98*VLOOKUP('Données projet'!$B$18,Paramètres!$A$1:$I$89,3,0)*0.475*44/12</f>
        <v>2.4916640384545348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19.641554660686488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0">
        <f t="shared" si="55"/>
        <v>293.33333333333439</v>
      </c>
      <c r="S99" s="60">
        <f ca="1">AVERAGE(OFFSET($R$3,0,0,'Données projet'!$E$9+1,1))-AVERAGE(OFFSET($H$3,0,0,'Données projet'!$E$9+1,1))</f>
        <v>206.5885410269899</v>
      </c>
      <c r="T99" s="60">
        <f t="shared" si="88"/>
        <v>347.41156847586302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3.3992364478763198E-14</v>
      </c>
      <c r="AK99" s="14">
        <f t="shared" si="89"/>
        <v>5.790027782444094E-13</v>
      </c>
      <c r="AL99" s="22">
        <f t="shared" si="58"/>
        <v>1.0676332069095257E-12</v>
      </c>
      <c r="AM99" s="60">
        <f t="shared" si="59"/>
        <v>293.33333333333439</v>
      </c>
      <c r="AN99" s="60">
        <f ca="1">AVERAGE(OFFSET($AM$3,0,0,'Données projet'!$E$10+1,1))-AVERAGE(OFFSET($H$3,0,0,'Données projet'!$E$10+1,1))</f>
        <v>206.5885410269899</v>
      </c>
      <c r="AO99" s="60">
        <f t="shared" si="90"/>
        <v>347.41156847586302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29.601971744494918</v>
      </c>
      <c r="AV99" s="23">
        <f>EXP(-LN(2)/25)*AV98+(1-EXP(-LN(2)/25))/(LN(2)/25)*Calculateur!AQ99*Calculateur!AS99*VLOOKUP('Données projet'!$B$10,Paramètres!$A$1:$I$89,3,0)*0.475*44/12</f>
        <v>0.53632403974851128</v>
      </c>
      <c r="AW99" s="23">
        <f>EXP(-LN(2)/2)*AW98+(1-EXP(-LN(2)/2))/(LN(2)/2)*AQ99*AT99*VLOOKUP('Données projet'!$B$10,Paramètres!$A$1:$I$89,3,0)*0.475*44/12</f>
        <v>1.2823364682135167E-7</v>
      </c>
      <c r="AX99" s="23">
        <f t="shared" si="60"/>
        <v>30.138295912477076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262.80000000000007</v>
      </c>
      <c r="BE99" s="14">
        <f>BD99*VLOOKUP('Données projet'!$B$11,Paramètres!$A$1:$I$89,3,0)*VLOOKUP('Données projet'!$B$11,Paramètres!$A$1:$I$89,5,0)</f>
        <v>250.08048000000008</v>
      </c>
      <c r="BF99" s="14">
        <f t="shared" si="91"/>
        <v>60.60317411022308</v>
      </c>
      <c r="BG99" s="22">
        <f t="shared" si="61"/>
        <v>541.10736424197205</v>
      </c>
      <c r="BH99" s="60">
        <f t="shared" si="62"/>
        <v>834.44069757530542</v>
      </c>
      <c r="BI99" s="60">
        <f ca="1">AVERAGE(OFFSET($BH$3,0,0,'Données projet'!$E$11+1,1))-AVERAGE(OFFSET($H$3,0,0,'Données projet'!$E$11+1,1))</f>
        <v>389.12604446638119</v>
      </c>
      <c r="BJ99" s="60">
        <f t="shared" si="92"/>
        <v>243.23852967152732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4.8</v>
      </c>
      <c r="BY99" s="13">
        <f>IF('Données projet'!$A$114&gt;35,BY98+BX99-CG98,IF(A99&lt;'Données projet'!$A$114,$BV$205^A99,IF(A99='Données projet'!$A$114,'Données projet'!$B$114,BY98+BX99-CG98)))</f>
        <v>262.80000000000007</v>
      </c>
      <c r="BZ99" s="14">
        <f>BY99*VLOOKUP('Données projet'!$B$12,Paramètres!$A$1:$I$89,3,0)*VLOOKUP('Données projet'!$B$12,Paramètres!$A$1:$I$89,5,0)</f>
        <v>237.78144000000006</v>
      </c>
      <c r="CA99" s="14">
        <f t="shared" si="93"/>
        <v>57.96193879691095</v>
      </c>
      <c r="CB99" s="22">
        <f t="shared" si="64"/>
        <v>515.08638473795338</v>
      </c>
      <c r="CC99" s="60">
        <f t="shared" si="65"/>
        <v>808.41971807128675</v>
      </c>
      <c r="CD99" s="60">
        <f ca="1">AVERAGE(OFFSET($CC$3,0,0,'Données projet'!$E$12+1,1))-AVERAGE(OFFSET($H$3,0,0,'Données projet'!$E$12+1,1))</f>
        <v>371.95849973474657</v>
      </c>
      <c r="CE99" s="60">
        <f t="shared" si="94"/>
        <v>233.32640143610547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2.2276170523030235E-9</v>
      </c>
      <c r="CN99" s="24">
        <f t="shared" si="66"/>
        <v>2.2276170523030235E-9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4.8</v>
      </c>
      <c r="CT99" s="13">
        <f>IF('Données projet'!$A$140&gt;35,CT98+CS99-DB98,IF(A99&lt;'Données projet'!$A$140,$CQ$205^A99,IF(A99='Données projet'!$A$140,'Données projet'!$B$140,CT98+CS99-DB98)))</f>
        <v>262.80000000000007</v>
      </c>
      <c r="CU99" s="18">
        <f>CT99*VLOOKUP('Données projet'!$B$13,Paramètres!$A$1:$I$89,3,0)*VLOOKUP('Données projet'!$B$13,Paramètres!$A$1:$I$89,5,0)</f>
        <v>254.18016000000006</v>
      </c>
      <c r="CV99" s="14">
        <f t="shared" si="95"/>
        <v>61.480193498274794</v>
      </c>
      <c r="CW99" s="22">
        <f t="shared" si="67"/>
        <v>549.77511567616205</v>
      </c>
      <c r="CX99" s="60">
        <f t="shared" si="68"/>
        <v>843.10844900949542</v>
      </c>
      <c r="CY99" s="60">
        <f ca="1">AVERAGE(OFFSET($CX$3,0,0,'Données projet'!$E$13+1,1))-AVERAGE(OFFSET($H$3,0,0,'Données projet'!$E$13+1,1))</f>
        <v>394.8445842828649</v>
      </c>
      <c r="CZ99" s="60">
        <f t="shared" si="96"/>
        <v>246.54010105494143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2.3812458145308197E-9</v>
      </c>
      <c r="DI99" s="24">
        <f t="shared" si="69"/>
        <v>2.3812458145308197E-9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5.6843418860808015E-14</v>
      </c>
      <c r="DP99" s="18">
        <f>DO99*VLOOKUP('Données projet'!$B$14,Paramètres!$A$1:$I$89,3,0)*VLOOKUP('Données projet'!$B$14,Paramètres!$A$1:$I$89,5,0)</f>
        <v>4.9658410716801891E-14</v>
      </c>
      <c r="DQ99" s="14">
        <f t="shared" si="97"/>
        <v>8.0934058173791862E-13</v>
      </c>
      <c r="DR99" s="22">
        <f t="shared" si="70"/>
        <v>1.4960899118586383E-12</v>
      </c>
      <c r="DS99" s="60">
        <f t="shared" si="71"/>
        <v>293.33333333333479</v>
      </c>
      <c r="DT99" s="60">
        <f ca="1">AVERAGE(OFFSET($DS$3,0,0,'Données projet'!$E$14+1,1))-AVERAGE(OFFSET($H$3,0,0,'Données projet'!$E$14+1,1))</f>
        <v>266.98113257513319</v>
      </c>
      <c r="DU99" s="60">
        <f t="shared" si="98"/>
        <v>275.73257102713393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1.7861784175742623</v>
      </c>
      <c r="EC99" s="23">
        <f>EXP(-LN(2)/2)*EC98+(1-EXP(-LN(2)/2))/(LN(2)/2)*DW99*DZ99*VLOOKUP('Données projet'!$B$14,Paramètres!$A$1:$I$89,3,0)*0.475*44/12</f>
        <v>1.2184724194846705E-9</v>
      </c>
      <c r="ED99" s="24">
        <f t="shared" si="72"/>
        <v>1.7861784187927348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4.8</v>
      </c>
      <c r="EJ99" s="13">
        <f>IF('Données projet'!$A$192&gt;35,EJ98+EI99-ER98,IF(A99&lt;'Données projet'!$A$192,$EG$205^A99,IF(A99='Données projet'!$A$192,'Données projet'!$B$192,EJ98+EI99-ER98)))</f>
        <v>262.80000000000007</v>
      </c>
      <c r="EK99" s="18">
        <f>EJ99*VLOOKUP('Données projet'!$B$15,Paramètres!$A$1:$I$89,3,0)*VLOOKUP('Données projet'!$B$15,Paramètres!$A$1:$I$89,5,0)</f>
        <v>299.2766400000001</v>
      </c>
      <c r="EL99" s="14">
        <f t="shared" si="99"/>
        <v>71.024798135517841</v>
      </c>
      <c r="EM99" s="22">
        <f t="shared" si="73"/>
        <v>644.94167141936043</v>
      </c>
      <c r="EN99" s="60">
        <f t="shared" si="74"/>
        <v>938.2750047526938</v>
      </c>
      <c r="EO99" s="60">
        <f ca="1">AVERAGE(OFFSET($EN$3,0,0,'Données projet'!$E$15+1,1))-AVERAGE(OFFSET($H$3,0,0,'Données projet'!$E$15+1,1))</f>
        <v>457.62828850677369</v>
      </c>
      <c r="EP99" s="60">
        <f t="shared" si="100"/>
        <v>282.78263556175563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4.8</v>
      </c>
      <c r="FE99" s="13">
        <f>IF('Données projet'!$A$218&gt;35,FE98+FD99-FM98,IF(A99&lt;'Données projet'!$A$218,$FB$205^A99,IF(A99='Données projet'!$A$218,'Données projet'!$B$218,FE98+FD99-FM98)))</f>
        <v>262.80000000000007</v>
      </c>
      <c r="FF99" s="18">
        <f>FE99*VLOOKUP('Données projet'!$B$16,Paramètres!$A$1:$I$89,3,0)*VLOOKUP('Données projet'!$B$16,Paramètres!$A$1:$I$89,5,0)</f>
        <v>286.97760000000005</v>
      </c>
      <c r="FG99" s="14">
        <f t="shared" si="101"/>
        <v>68.43945728851196</v>
      </c>
      <c r="FH99" s="22">
        <f t="shared" si="76"/>
        <v>619.01804144415848</v>
      </c>
      <c r="FI99" s="60">
        <f t="shared" si="77"/>
        <v>912.35137477749186</v>
      </c>
      <c r="FJ99" s="60">
        <f ca="1">AVERAGE(OFFSET($FI$3,0,0,'Données projet'!$E$16+1,1))-AVERAGE(OFFSET($H$3,0,0,'Données projet'!$E$16+1,1))</f>
        <v>440.52623925652182</v>
      </c>
      <c r="FK99" s="60">
        <f t="shared" si="102"/>
        <v>272.91122662088918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>
        <f>VLOOKUP(A99,'Données projet'!$A$243:$I$263,2,0)</f>
        <v>280</v>
      </c>
      <c r="FX99" s="13">
        <f>VLOOKUP(A99,'Données projet'!$A$243:$I$263,9,0)</f>
        <v>11</v>
      </c>
      <c r="FY99" s="13">
        <f t="array" ref="FY99">INDEX(FX:FX,MIN(IF(ISNUMBER(FX99:FX295),ROW(FX99:FX295),"")))</f>
        <v>11</v>
      </c>
      <c r="FZ99" s="13">
        <f>IF('Données projet'!$A$244&gt;35,FZ98+FY99-GH98,IF(A99&lt;'Données projet'!$A$244,$FW$205^A99,IF(A99='Données projet'!$A$244,'Données projet'!$B$244,FZ98+FY99-GH98)))</f>
        <v>280.00000000000045</v>
      </c>
      <c r="GA99" s="18">
        <f>FZ99*VLOOKUP('Données projet'!$B$17,Paramètres!$A$1:$I$89,3,0)*VLOOKUP('Données projet'!$B$17,Paramètres!$A$1:$I$89,5,0)</f>
        <v>131.04000000000019</v>
      </c>
      <c r="GB99" s="14">
        <f t="shared" si="103"/>
        <v>34.236561238949953</v>
      </c>
      <c r="GC99" s="22">
        <f t="shared" si="79"/>
        <v>287.85667749117147</v>
      </c>
      <c r="GD99" s="60">
        <f t="shared" si="80"/>
        <v>581.19001082450472</v>
      </c>
      <c r="GE99" s="60">
        <f ca="1">AVERAGE(OFFSET($GD$3,0,0,'Données projet'!$E$17+1,1))-AVERAGE(OFFSET($H$3,0,0,'Données projet'!$E$17+1,1))</f>
        <v>317.54276561627643</v>
      </c>
      <c r="GF99" s="60">
        <f t="shared" si="104"/>
        <v>238.92443174298893</v>
      </c>
      <c r="GG99" s="16">
        <f>IF(ISNA(VLOOKUP(A99,'Données projet'!$A$243:$I$263,3,0)),0,VLOOKUP(A99,'Données projet'!$A$243:$I$263,3,0))</f>
        <v>19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>
        <f>GU99*VLOOKUP('Données projet'!$B$18,Paramètres!$A$1:$I$89,3,0)*VLOOKUP('Données projet'!$B$18,Paramètres!$A$1:$I$89,5,0)</f>
        <v>0</v>
      </c>
      <c r="GW99" s="14" t="e">
        <f t="shared" si="105"/>
        <v>#NUM!</v>
      </c>
      <c r="GX99" s="22" t="e">
        <f t="shared" si="82"/>
        <v>#NUM!</v>
      </c>
      <c r="GY99" s="60" t="e">
        <f t="shared" si="83"/>
        <v>#NUM!</v>
      </c>
      <c r="GZ99" s="60">
        <f ca="1">AVERAGE(OFFSET($GY$3,0,0,'Données projet'!$E$18+1,1))-AVERAGE(OFFSET($H$3,0,0,'Données projet'!$E$18+1,1))</f>
        <v>79.868679770907136</v>
      </c>
      <c r="HA99" s="60">
        <f t="shared" si="106"/>
        <v>370.47471103028312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16.813591727530387</v>
      </c>
      <c r="HH99" s="23">
        <f>EXP(-LN(2)/25)*HH98+(1-EXP(-LN(2)/25))/(LN(2)/25)*Calculateur!HC99*Calculateur!HE99*VLOOKUP('Données projet'!$B$18,Paramètres!$A$1:$I$89,3,0)*0.475*44/12</f>
        <v>2.4235293542920786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19.237121081822465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0">
        <f t="shared" si="55"/>
        <v>293.33333333333439</v>
      </c>
      <c r="S100" s="60">
        <f ca="1">AVERAGE(OFFSET($R$3,0,0,'Données projet'!$E$9+1,1))-AVERAGE(OFFSET($H$3,0,0,'Données projet'!$E$9+1,1))</f>
        <v>206.5885410269899</v>
      </c>
      <c r="T100" s="60">
        <f t="shared" si="88"/>
        <v>347.41156847586302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3.3992364478763198E-14</v>
      </c>
      <c r="AK100" s="14">
        <f t="shared" si="89"/>
        <v>5.790027782444094E-13</v>
      </c>
      <c r="AL100" s="22">
        <f t="shared" si="58"/>
        <v>1.0676332069095257E-12</v>
      </c>
      <c r="AM100" s="60">
        <f t="shared" si="59"/>
        <v>293.33333333333439</v>
      </c>
      <c r="AN100" s="60">
        <f ca="1">AVERAGE(OFFSET($AM$3,0,0,'Données projet'!$E$10+1,1))-AVERAGE(OFFSET($H$3,0,0,'Données projet'!$E$10+1,1))</f>
        <v>206.5885410269899</v>
      </c>
      <c r="AO100" s="60">
        <f t="shared" si="90"/>
        <v>347.41156847586302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29.021495134005313</v>
      </c>
      <c r="AV100" s="23">
        <f>EXP(-LN(2)/25)*AV99+(1-EXP(-LN(2)/25))/(LN(2)/25)*Calculateur!AQ100*Calculateur!AS100*VLOOKUP('Données projet'!$B$10,Paramètres!$A$1:$I$89,3,0)*0.475*44/12</f>
        <v>0.52165823067753281</v>
      </c>
      <c r="AW100" s="23">
        <f>EXP(-LN(2)/2)*AW99+(1-EXP(-LN(2)/2))/(LN(2)/2)*AQ100*AT100*VLOOKUP('Données projet'!$B$10,Paramètres!$A$1:$I$89,3,0)*0.475*44/12</f>
        <v>9.0674881243658531E-8</v>
      </c>
      <c r="AX100" s="23">
        <f t="shared" si="60"/>
        <v>29.543153455357729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267.60000000000008</v>
      </c>
      <c r="BE100" s="14">
        <f>BD100*VLOOKUP('Données projet'!$B$11,Paramètres!$A$1:$I$89,3,0)*VLOOKUP('Données projet'!$B$11,Paramètres!$A$1:$I$89,5,0)</f>
        <v>254.64816000000008</v>
      </c>
      <c r="BF100" s="14">
        <f t="shared" si="91"/>
        <v>61.580204695956198</v>
      </c>
      <c r="BG100" s="22">
        <f t="shared" si="61"/>
        <v>550.76440184545709</v>
      </c>
      <c r="BH100" s="60">
        <f t="shared" si="62"/>
        <v>844.09773517879034</v>
      </c>
      <c r="BI100" s="60">
        <f ca="1">AVERAGE(OFFSET($BH$3,0,0,'Données projet'!$E$11+1,1))-AVERAGE(OFFSET($H$3,0,0,'Données projet'!$E$11+1,1))</f>
        <v>389.12604446638119</v>
      </c>
      <c r="BJ100" s="60">
        <f t="shared" si="92"/>
        <v>243.23852967152732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4.8</v>
      </c>
      <c r="BY100" s="13">
        <f>IF('Données projet'!$A$114&gt;35,BY99+BX100-CG99,IF(A100&lt;'Données projet'!$A$114,$BV$205^A100,IF(A100='Données projet'!$A$114,'Données projet'!$B$114,BY99+BX100-CG99)))</f>
        <v>267.60000000000008</v>
      </c>
      <c r="BZ100" s="14">
        <f>BY100*VLOOKUP('Données projet'!$B$12,Paramètres!$A$1:$I$89,3,0)*VLOOKUP('Données projet'!$B$12,Paramètres!$A$1:$I$89,5,0)</f>
        <v>242.12448000000006</v>
      </c>
      <c r="CA100" s="14">
        <f t="shared" si="93"/>
        <v>58.896387987806008</v>
      </c>
      <c r="CB100" s="22">
        <f t="shared" si="64"/>
        <v>524.2780117454289</v>
      </c>
      <c r="CC100" s="60">
        <f t="shared" si="65"/>
        <v>817.61134507876227</v>
      </c>
      <c r="CD100" s="60">
        <f ca="1">AVERAGE(OFFSET($CC$3,0,0,'Données projet'!$E$12+1,1))-AVERAGE(OFFSET($H$3,0,0,'Données projet'!$E$12+1,1))</f>
        <v>371.95849973474657</v>
      </c>
      <c r="CE100" s="60">
        <f t="shared" si="94"/>
        <v>233.32640143610547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1.5751631235702561E-9</v>
      </c>
      <c r="CN100" s="24">
        <f t="shared" si="66"/>
        <v>1.5751631235702561E-9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4.8</v>
      </c>
      <c r="CT100" s="13">
        <f>IF('Données projet'!$A$140&gt;35,CT99+CS100-DB99,IF(A100&lt;'Données projet'!$A$140,$CQ$205^A100,IF(A100='Données projet'!$A$140,'Données projet'!$B$140,CT99+CS100-DB99)))</f>
        <v>267.60000000000008</v>
      </c>
      <c r="CU100" s="18">
        <f>CT100*VLOOKUP('Données projet'!$B$13,Paramètres!$A$1:$I$89,3,0)*VLOOKUP('Données projet'!$B$13,Paramètres!$A$1:$I$89,5,0)</f>
        <v>258.82272000000006</v>
      </c>
      <c r="CV100" s="14">
        <f t="shared" si="95"/>
        <v>62.471363191059453</v>
      </c>
      <c r="CW100" s="22">
        <f t="shared" si="67"/>
        <v>559.58719489109524</v>
      </c>
      <c r="CX100" s="60">
        <f t="shared" si="68"/>
        <v>852.92052822442861</v>
      </c>
      <c r="CY100" s="60">
        <f ca="1">AVERAGE(OFFSET($CX$3,0,0,'Données projet'!$E$13+1,1))-AVERAGE(OFFSET($H$3,0,0,'Données projet'!$E$13+1,1))</f>
        <v>394.8445842828649</v>
      </c>
      <c r="CZ100" s="60">
        <f t="shared" si="96"/>
        <v>246.54010105494143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1.6837950631268265E-9</v>
      </c>
      <c r="DI100" s="24">
        <f t="shared" si="69"/>
        <v>1.6837950631268265E-9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5.6843418860808015E-14</v>
      </c>
      <c r="DP100" s="18">
        <f>DO100*VLOOKUP('Données projet'!$B$14,Paramètres!$A$1:$I$89,3,0)*VLOOKUP('Données projet'!$B$14,Paramètres!$A$1:$I$89,5,0)</f>
        <v>4.9658410716801891E-14</v>
      </c>
      <c r="DQ100" s="14">
        <f t="shared" si="97"/>
        <v>8.0934058173791862E-13</v>
      </c>
      <c r="DR100" s="22">
        <f t="shared" si="70"/>
        <v>1.4960899118586383E-12</v>
      </c>
      <c r="DS100" s="60">
        <f t="shared" si="71"/>
        <v>293.33333333333479</v>
      </c>
      <c r="DT100" s="60">
        <f ca="1">AVERAGE(OFFSET($DS$3,0,0,'Données projet'!$E$14+1,1))-AVERAGE(OFFSET($H$3,0,0,'Données projet'!$E$14+1,1))</f>
        <v>266.98113257513319</v>
      </c>
      <c r="DU100" s="60">
        <f t="shared" si="98"/>
        <v>275.73257102713393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1.7373352748146536</v>
      </c>
      <c r="EC100" s="23">
        <f>EXP(-LN(2)/2)*EC99+(1-EXP(-LN(2)/2))/(LN(2)/2)*DW100*DZ100*VLOOKUP('Données projet'!$B$14,Paramètres!$A$1:$I$89,3,0)*0.475*44/12</f>
        <v>8.6159011050639004E-10</v>
      </c>
      <c r="ED100" s="24">
        <f t="shared" si="72"/>
        <v>1.7373352756762437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4.8</v>
      </c>
      <c r="EJ100" s="13">
        <f>IF('Données projet'!$A$192&gt;35,EJ99+EI100-ER99,IF(A100&lt;'Données projet'!$A$192,$EG$205^A100,IF(A100='Données projet'!$A$192,'Données projet'!$B$192,EJ99+EI100-ER99)))</f>
        <v>267.60000000000008</v>
      </c>
      <c r="EK100" s="18">
        <f>EJ100*VLOOKUP('Données projet'!$B$15,Paramètres!$A$1:$I$89,3,0)*VLOOKUP('Données projet'!$B$15,Paramètres!$A$1:$I$89,5,0)</f>
        <v>304.74288000000007</v>
      </c>
      <c r="EL100" s="14">
        <f t="shared" si="99"/>
        <v>72.169843772858741</v>
      </c>
      <c r="EM100" s="22">
        <f t="shared" si="73"/>
        <v>656.45632723772906</v>
      </c>
      <c r="EN100" s="60">
        <f t="shared" si="74"/>
        <v>949.78966057106231</v>
      </c>
      <c r="EO100" s="60">
        <f ca="1">AVERAGE(OFFSET($EN$3,0,0,'Données projet'!$E$15+1,1))-AVERAGE(OFFSET($H$3,0,0,'Données projet'!$E$15+1,1))</f>
        <v>457.62828850677369</v>
      </c>
      <c r="EP100" s="60">
        <f t="shared" si="100"/>
        <v>282.78263556175563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4.8</v>
      </c>
      <c r="FE100" s="13">
        <f>IF('Données projet'!$A$218&gt;35,FE99+FD100-FM99,IF(A100&lt;'Données projet'!$A$218,$FB$205^A100,IF(A100='Données projet'!$A$218,'Données projet'!$B$218,FE99+FD100-FM99)))</f>
        <v>267.60000000000008</v>
      </c>
      <c r="FF100" s="18">
        <f>FE100*VLOOKUP('Données projet'!$B$16,Paramètres!$A$1:$I$89,3,0)*VLOOKUP('Données projet'!$B$16,Paramètres!$A$1:$I$89,5,0)</f>
        <v>292.21920000000011</v>
      </c>
      <c r="FG100" s="14">
        <f t="shared" si="101"/>
        <v>69.542822648884666</v>
      </c>
      <c r="FH100" s="22">
        <f t="shared" si="76"/>
        <v>630.06885611347434</v>
      </c>
      <c r="FI100" s="60">
        <f t="shared" si="77"/>
        <v>923.4021894468076</v>
      </c>
      <c r="FJ100" s="60">
        <f ca="1">AVERAGE(OFFSET($FI$3,0,0,'Données projet'!$E$16+1,1))-AVERAGE(OFFSET($H$3,0,0,'Données projet'!$E$16+1,1))</f>
        <v>440.52623925652182</v>
      </c>
      <c r="FK100" s="60">
        <f t="shared" si="102"/>
        <v>272.91122662088918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8.5555555555555554</v>
      </c>
      <c r="FZ100" s="13">
        <f>IF('Données projet'!$A$244&gt;35,FZ99+FY100-GH99,IF(A100&lt;'Données projet'!$A$244,$FW$205^A100,IF(A100='Données projet'!$A$244,'Données projet'!$B$244,FZ99+FY100-GH99)))</f>
        <v>288.555555555556</v>
      </c>
      <c r="GA100" s="18">
        <f>FZ100*VLOOKUP('Données projet'!$B$17,Paramètres!$A$1:$I$89,3,0)*VLOOKUP('Données projet'!$B$17,Paramètres!$A$1:$I$89,5,0)</f>
        <v>135.04400000000021</v>
      </c>
      <c r="GB100" s="14">
        <f t="shared" si="103"/>
        <v>35.159284945629004</v>
      </c>
      <c r="GC100" s="22">
        <f t="shared" si="79"/>
        <v>296.43738794697089</v>
      </c>
      <c r="GD100" s="60">
        <f t="shared" si="80"/>
        <v>589.7707212803042</v>
      </c>
      <c r="GE100" s="60">
        <f ca="1">AVERAGE(OFFSET($GD$3,0,0,'Données projet'!$E$17+1,1))-AVERAGE(OFFSET($H$3,0,0,'Données projet'!$E$17+1,1))</f>
        <v>317.54276561627643</v>
      </c>
      <c r="GF100" s="60">
        <f t="shared" si="104"/>
        <v>238.92443174298893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>
        <f>GU100*VLOOKUP('Données projet'!$B$18,Paramètres!$A$1:$I$89,3,0)*VLOOKUP('Données projet'!$B$18,Paramètres!$A$1:$I$89,5,0)</f>
        <v>0</v>
      </c>
      <c r="GW100" s="14" t="e">
        <f t="shared" si="105"/>
        <v>#NUM!</v>
      </c>
      <c r="GX100" s="22" t="e">
        <f t="shared" si="82"/>
        <v>#NUM!</v>
      </c>
      <c r="GY100" s="60" t="e">
        <f t="shared" si="83"/>
        <v>#NUM!</v>
      </c>
      <c r="GZ100" s="60">
        <f ca="1">AVERAGE(OFFSET($GY$3,0,0,'Données projet'!$E$18+1,1))-AVERAGE(OFFSET($H$3,0,0,'Données projet'!$E$18+1,1))</f>
        <v>79.868679770907136</v>
      </c>
      <c r="HA100" s="60">
        <f t="shared" si="106"/>
        <v>370.47471103028312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16.483887449031844</v>
      </c>
      <c r="HH100" s="23">
        <f>EXP(-LN(2)/25)*HH99+(1-EXP(-LN(2)/25))/(LN(2)/25)*Calculateur!HC100*Calculateur!HE100*VLOOKUP('Données projet'!$B$18,Paramètres!$A$1:$I$89,3,0)*0.475*44/12</f>
        <v>2.3572578166510922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18.841145265682936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0">
        <f t="shared" si="55"/>
        <v>293.33333333333439</v>
      </c>
      <c r="S101" s="60">
        <f ca="1">AVERAGE(OFFSET($R$3,0,0,'Données projet'!$E$9+1,1))-AVERAGE(OFFSET($H$3,0,0,'Données projet'!$E$9+1,1))</f>
        <v>206.5885410269899</v>
      </c>
      <c r="T101" s="60">
        <f t="shared" si="88"/>
        <v>347.41156847586302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3.3992364478763198E-14</v>
      </c>
      <c r="AK101" s="14">
        <f t="shared" si="89"/>
        <v>5.790027782444094E-13</v>
      </c>
      <c r="AL101" s="22">
        <f t="shared" si="58"/>
        <v>1.0676332069095257E-12</v>
      </c>
      <c r="AM101" s="60">
        <f t="shared" si="59"/>
        <v>293.33333333333439</v>
      </c>
      <c r="AN101" s="60">
        <f ca="1">AVERAGE(OFFSET($AM$3,0,0,'Données projet'!$E$10+1,1))-AVERAGE(OFFSET($H$3,0,0,'Données projet'!$E$10+1,1))</f>
        <v>206.5885410269899</v>
      </c>
      <c r="AO101" s="60">
        <f t="shared" si="90"/>
        <v>347.41156847586302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28.452401315791636</v>
      </c>
      <c r="AV101" s="23">
        <f>EXP(-LN(2)/25)*AV100+(1-EXP(-LN(2)/25))/(LN(2)/25)*Calculateur!AQ101*Calculateur!AS101*VLOOKUP('Données projet'!$B$10,Paramètres!$A$1:$I$89,3,0)*0.475*44/12</f>
        <v>0.50739345892684162</v>
      </c>
      <c r="AW101" s="23">
        <f>EXP(-LN(2)/2)*AW100+(1-EXP(-LN(2)/2))/(LN(2)/2)*AQ101*AT101*VLOOKUP('Données projet'!$B$10,Paramètres!$A$1:$I$89,3,0)*0.475*44/12</f>
        <v>6.4116823410675835E-8</v>
      </c>
      <c r="AX101" s="23">
        <f t="shared" si="60"/>
        <v>28.9597948388353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272.40000000000009</v>
      </c>
      <c r="BE101" s="14">
        <f>BD101*VLOOKUP('Données projet'!$B$11,Paramètres!$A$1:$I$89,3,0)*VLOOKUP('Données projet'!$B$11,Paramètres!$A$1:$I$89,5,0)</f>
        <v>259.21584000000007</v>
      </c>
      <c r="BF101" s="14">
        <f t="shared" si="91"/>
        <v>62.555197359548295</v>
      </c>
      <c r="BG101" s="22">
        <f t="shared" si="61"/>
        <v>560.41789006787997</v>
      </c>
      <c r="BH101" s="60">
        <f t="shared" si="62"/>
        <v>853.75122340121334</v>
      </c>
      <c r="BI101" s="60">
        <f ca="1">AVERAGE(OFFSET($BH$3,0,0,'Données projet'!$E$11+1,1))-AVERAGE(OFFSET($H$3,0,0,'Données projet'!$E$11+1,1))</f>
        <v>389.12604446638119</v>
      </c>
      <c r="BJ101" s="60">
        <f t="shared" si="92"/>
        <v>243.23852967152732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4.8</v>
      </c>
      <c r="BY101" s="13">
        <f>IF('Données projet'!$A$114&gt;35,BY100+BX101-CG100,IF(A101&lt;'Données projet'!$A$114,$BV$205^A101,IF(A101='Données projet'!$A$114,'Données projet'!$B$114,BY100+BX101-CG100)))</f>
        <v>272.40000000000009</v>
      </c>
      <c r="BZ101" s="14">
        <f>BY101*VLOOKUP('Données projet'!$B$12,Paramètres!$A$1:$I$89,3,0)*VLOOKUP('Données projet'!$B$12,Paramètres!$A$1:$I$89,5,0)</f>
        <v>246.46752000000009</v>
      </c>
      <c r="CA101" s="14">
        <f t="shared" si="93"/>
        <v>59.828888074217033</v>
      </c>
      <c r="CB101" s="22">
        <f t="shared" si="64"/>
        <v>533.4662440625948</v>
      </c>
      <c r="CC101" s="60">
        <f t="shared" si="65"/>
        <v>826.79957739592805</v>
      </c>
      <c r="CD101" s="60">
        <f ca="1">AVERAGE(OFFSET($CC$3,0,0,'Données projet'!$E$12+1,1))-AVERAGE(OFFSET($H$3,0,0,'Données projet'!$E$12+1,1))</f>
        <v>371.95849973474657</v>
      </c>
      <c r="CE101" s="60">
        <f t="shared" si="94"/>
        <v>233.32640143610547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1.1138085261515118E-9</v>
      </c>
      <c r="CN101" s="24">
        <f t="shared" si="66"/>
        <v>1.1138085261515118E-9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4.8</v>
      </c>
      <c r="CT101" s="13">
        <f>IF('Données projet'!$A$140&gt;35,CT100+CS101-DB100,IF(A101&lt;'Données projet'!$A$140,$CQ$205^A101,IF(A101='Données projet'!$A$140,'Données projet'!$B$140,CT100+CS101-DB100)))</f>
        <v>272.40000000000009</v>
      </c>
      <c r="CU101" s="18">
        <f>CT101*VLOOKUP('Données projet'!$B$13,Paramètres!$A$1:$I$89,3,0)*VLOOKUP('Données projet'!$B$13,Paramètres!$A$1:$I$89,5,0)</f>
        <v>263.46528000000012</v>
      </c>
      <c r="CV101" s="14">
        <f t="shared" si="95"/>
        <v>63.460465469894196</v>
      </c>
      <c r="CW101" s="22">
        <f t="shared" si="67"/>
        <v>569.39567336006587</v>
      </c>
      <c r="CX101" s="60">
        <f t="shared" si="68"/>
        <v>862.72900669339924</v>
      </c>
      <c r="CY101" s="60">
        <f ca="1">AVERAGE(OFFSET($CX$3,0,0,'Données projet'!$E$13+1,1))-AVERAGE(OFFSET($H$3,0,0,'Données projet'!$E$13+1,1))</f>
        <v>394.8445842828649</v>
      </c>
      <c r="CZ101" s="60">
        <f t="shared" si="96"/>
        <v>246.54010105494143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1.1906229072654099E-9</v>
      </c>
      <c r="DI101" s="24">
        <f t="shared" si="69"/>
        <v>1.1906229072654099E-9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5.6843418860808015E-14</v>
      </c>
      <c r="DP101" s="18">
        <f>DO101*VLOOKUP('Données projet'!$B$14,Paramètres!$A$1:$I$89,3,0)*VLOOKUP('Données projet'!$B$14,Paramètres!$A$1:$I$89,5,0)</f>
        <v>4.9658410716801891E-14</v>
      </c>
      <c r="DQ101" s="14">
        <f t="shared" si="97"/>
        <v>8.0934058173791862E-13</v>
      </c>
      <c r="DR101" s="22">
        <f t="shared" si="70"/>
        <v>1.4960899118586383E-12</v>
      </c>
      <c r="DS101" s="60">
        <f t="shared" si="71"/>
        <v>293.33333333333479</v>
      </c>
      <c r="DT101" s="60">
        <f ca="1">AVERAGE(OFFSET($DS$3,0,0,'Données projet'!$E$14+1,1))-AVERAGE(OFFSET($H$3,0,0,'Données projet'!$E$14+1,1))</f>
        <v>266.98113257513319</v>
      </c>
      <c r="DU101" s="60">
        <f t="shared" si="98"/>
        <v>275.73257102713393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1.6898277503623556</v>
      </c>
      <c r="EC101" s="23">
        <f>EXP(-LN(2)/2)*EC100+(1-EXP(-LN(2)/2))/(LN(2)/2)*DW101*DZ101*VLOOKUP('Données projet'!$B$14,Paramètres!$A$1:$I$89,3,0)*0.475*44/12</f>
        <v>6.0923620974233523E-10</v>
      </c>
      <c r="ED101" s="24">
        <f t="shared" si="72"/>
        <v>1.6898277509715918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4.8</v>
      </c>
      <c r="EJ101" s="13">
        <f>IF('Données projet'!$A$192&gt;35,EJ100+EI101-ER100,IF(A101&lt;'Données projet'!$A$192,$EG$205^A101,IF(A101='Données projet'!$A$192,'Données projet'!$B$192,EJ100+EI101-ER100)))</f>
        <v>272.40000000000009</v>
      </c>
      <c r="EK101" s="18">
        <f>EJ101*VLOOKUP('Données projet'!$B$15,Paramètres!$A$1:$I$89,3,0)*VLOOKUP('Données projet'!$B$15,Paramètres!$A$1:$I$89,5,0)</f>
        <v>310.2091200000001</v>
      </c>
      <c r="EL101" s="14">
        <f t="shared" si="99"/>
        <v>73.312501036804889</v>
      </c>
      <c r="EM101" s="22">
        <f t="shared" si="73"/>
        <v>667.96682330576868</v>
      </c>
      <c r="EN101" s="60">
        <f t="shared" si="74"/>
        <v>961.30015663910194</v>
      </c>
      <c r="EO101" s="60">
        <f ca="1">AVERAGE(OFFSET($EN$3,0,0,'Données projet'!$E$15+1,1))-AVERAGE(OFFSET($H$3,0,0,'Données projet'!$E$15+1,1))</f>
        <v>457.62828850677369</v>
      </c>
      <c r="EP101" s="60">
        <f t="shared" si="100"/>
        <v>282.78263556175563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4.8</v>
      </c>
      <c r="FE101" s="13">
        <f>IF('Données projet'!$A$218&gt;35,FE100+FD101-FM100,IF(A101&lt;'Données projet'!$A$218,$FB$205^A101,IF(A101='Données projet'!$A$218,'Données projet'!$B$218,FE100+FD101-FM100)))</f>
        <v>272.40000000000009</v>
      </c>
      <c r="FF101" s="18">
        <f>FE101*VLOOKUP('Données projet'!$B$16,Paramètres!$A$1:$I$89,3,0)*VLOOKUP('Données projet'!$B$16,Paramètres!$A$1:$I$89,5,0)</f>
        <v>297.46080000000012</v>
      </c>
      <c r="FG101" s="14">
        <f t="shared" si="101"/>
        <v>70.643886573938502</v>
      </c>
      <c r="FH101" s="22">
        <f t="shared" si="76"/>
        <v>641.11566244960977</v>
      </c>
      <c r="FI101" s="60">
        <f t="shared" si="77"/>
        <v>934.44899578294303</v>
      </c>
      <c r="FJ101" s="60">
        <f ca="1">AVERAGE(OFFSET($FI$3,0,0,'Données projet'!$E$16+1,1))-AVERAGE(OFFSET($H$3,0,0,'Données projet'!$E$16+1,1))</f>
        <v>440.52623925652182</v>
      </c>
      <c r="FK101" s="60">
        <f t="shared" si="102"/>
        <v>272.91122662088918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8.5555555555555554</v>
      </c>
      <c r="FZ101" s="13">
        <f>IF('Données projet'!$A$244&gt;35,FZ100+FY101-GH100,IF(A101&lt;'Données projet'!$A$244,$FW$205^A101,IF(A101='Données projet'!$A$244,'Données projet'!$B$244,FZ100+FY101-GH100)))</f>
        <v>297.11111111111154</v>
      </c>
      <c r="GA101" s="18">
        <f>FZ101*VLOOKUP('Données projet'!$B$17,Paramètres!$A$1:$I$89,3,0)*VLOOKUP('Données projet'!$B$17,Paramètres!$A$1:$I$89,5,0)</f>
        <v>139.0480000000002</v>
      </c>
      <c r="GB101" s="14">
        <f t="shared" si="103"/>
        <v>36.078829132999324</v>
      </c>
      <c r="GC101" s="22">
        <f t="shared" si="79"/>
        <v>305.01256073997416</v>
      </c>
      <c r="GD101" s="60">
        <f t="shared" si="80"/>
        <v>598.34589407330748</v>
      </c>
      <c r="GE101" s="60">
        <f ca="1">AVERAGE(OFFSET($GD$3,0,0,'Données projet'!$E$17+1,1))-AVERAGE(OFFSET($H$3,0,0,'Données projet'!$E$17+1,1))</f>
        <v>317.54276561627643</v>
      </c>
      <c r="GF101" s="60">
        <f t="shared" si="104"/>
        <v>238.92443174298893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>
        <f>GU101*VLOOKUP('Données projet'!$B$18,Paramètres!$A$1:$I$89,3,0)*VLOOKUP('Données projet'!$B$18,Paramètres!$A$1:$I$89,5,0)</f>
        <v>0</v>
      </c>
      <c r="GW101" s="14" t="e">
        <f t="shared" si="105"/>
        <v>#NUM!</v>
      </c>
      <c r="GX101" s="22" t="e">
        <f t="shared" si="82"/>
        <v>#NUM!</v>
      </c>
      <c r="GY101" s="60" t="e">
        <f t="shared" si="83"/>
        <v>#NUM!</v>
      </c>
      <c r="GZ101" s="60">
        <f ca="1">AVERAGE(OFFSET($GY$3,0,0,'Données projet'!$E$18+1,1))-AVERAGE(OFFSET($H$3,0,0,'Données projet'!$E$18+1,1))</f>
        <v>79.868679770907136</v>
      </c>
      <c r="HA101" s="60">
        <f t="shared" si="106"/>
        <v>370.47471103028312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16.160648470334905</v>
      </c>
      <c r="HH101" s="23">
        <f>EXP(-LN(2)/25)*HH100+(1-EXP(-LN(2)/25))/(LN(2)/25)*Calculateur!HC101*Calculateur!HE101*VLOOKUP('Données projet'!$B$18,Paramètres!$A$1:$I$89,3,0)*0.475*44/12</f>
        <v>2.2927984776919672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18.453446948026873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0">
        <f t="shared" si="55"/>
        <v>293.33333333333439</v>
      </c>
      <c r="S102" s="60">
        <f ca="1">AVERAGE(OFFSET($R$3,0,0,'Données projet'!$E$9+1,1))-AVERAGE(OFFSET($H$3,0,0,'Données projet'!$E$9+1,1))</f>
        <v>206.5885410269899</v>
      </c>
      <c r="T102" s="60">
        <f t="shared" si="88"/>
        <v>347.41156847586302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3.3992364478763198E-14</v>
      </c>
      <c r="AK102" s="14">
        <f t="shared" si="89"/>
        <v>5.790027782444094E-13</v>
      </c>
      <c r="AL102" s="22">
        <f t="shared" si="58"/>
        <v>1.0676332069095257E-12</v>
      </c>
      <c r="AM102" s="60">
        <f t="shared" si="59"/>
        <v>293.33333333333439</v>
      </c>
      <c r="AN102" s="60">
        <f ca="1">AVERAGE(OFFSET($AM$3,0,0,'Données projet'!$E$10+1,1))-AVERAGE(OFFSET($H$3,0,0,'Données projet'!$E$10+1,1))</f>
        <v>206.5885410269899</v>
      </c>
      <c r="AO102" s="60">
        <f t="shared" si="90"/>
        <v>347.41156847586302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27.894467080240176</v>
      </c>
      <c r="AV102" s="23">
        <f>EXP(-LN(2)/25)*AV101+(1-EXP(-LN(2)/25))/(LN(2)/25)*Calculateur!AQ102*Calculateur!AS102*VLOOKUP('Données projet'!$B$10,Paramètres!$A$1:$I$89,3,0)*0.475*44/12</f>
        <v>0.49351875810982482</v>
      </c>
      <c r="AW102" s="23">
        <f>EXP(-LN(2)/2)*AW101+(1-EXP(-LN(2)/2))/(LN(2)/2)*AQ102*AT102*VLOOKUP('Données projet'!$B$10,Paramètres!$A$1:$I$89,3,0)*0.475*44/12</f>
        <v>4.5337440621829266E-8</v>
      </c>
      <c r="AX102" s="23">
        <f t="shared" si="60"/>
        <v>28.387985883687442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277.2000000000001</v>
      </c>
      <c r="BE102" s="14">
        <f>BD102*VLOOKUP('Données projet'!$B$11,Paramètres!$A$1:$I$89,3,0)*VLOOKUP('Données projet'!$B$11,Paramètres!$A$1:$I$89,5,0)</f>
        <v>263.78352000000012</v>
      </c>
      <c r="BF102" s="14">
        <f t="shared" si="91"/>
        <v>63.5281921545985</v>
      </c>
      <c r="BG102" s="22">
        <f t="shared" si="61"/>
        <v>570.06789866925931</v>
      </c>
      <c r="BH102" s="60">
        <f t="shared" si="62"/>
        <v>863.40123200259268</v>
      </c>
      <c r="BI102" s="60">
        <f ca="1">AVERAGE(OFFSET($BH$3,0,0,'Données projet'!$E$11+1,1))-AVERAGE(OFFSET($H$3,0,0,'Données projet'!$E$11+1,1))</f>
        <v>389.12604446638119</v>
      </c>
      <c r="BJ102" s="60">
        <f t="shared" si="92"/>
        <v>243.23852967152732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4.8</v>
      </c>
      <c r="BY102" s="13">
        <f>IF('Données projet'!$A$114&gt;35,BY101+BX102-CG101,IF(A102&lt;'Données projet'!$A$114,$BV$205^A102,IF(A102='Données projet'!$A$114,'Données projet'!$B$114,BY101+BX102-CG101)))</f>
        <v>277.2000000000001</v>
      </c>
      <c r="BZ102" s="14">
        <f>BY102*VLOOKUP('Données projet'!$B$12,Paramètres!$A$1:$I$89,3,0)*VLOOKUP('Données projet'!$B$12,Paramètres!$A$1:$I$89,5,0)</f>
        <v>250.81056000000007</v>
      </c>
      <c r="CA102" s="14">
        <f t="shared" si="93"/>
        <v>60.75947736410874</v>
      </c>
      <c r="CB102" s="22">
        <f t="shared" si="64"/>
        <v>542.65114840915612</v>
      </c>
      <c r="CC102" s="60">
        <f t="shared" si="65"/>
        <v>835.98448174248938</v>
      </c>
      <c r="CD102" s="60">
        <f ca="1">AVERAGE(OFFSET($CC$3,0,0,'Données projet'!$E$12+1,1))-AVERAGE(OFFSET($H$3,0,0,'Données projet'!$E$12+1,1))</f>
        <v>371.95849973474657</v>
      </c>
      <c r="CE102" s="60">
        <f t="shared" si="94"/>
        <v>233.32640143610547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7.8758156178512804E-10</v>
      </c>
      <c r="CN102" s="24">
        <f t="shared" si="66"/>
        <v>7.8758156178512804E-10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4.8</v>
      </c>
      <c r="CT102" s="13">
        <f>IF('Données projet'!$A$140&gt;35,CT101+CS102-DB101,IF(A102&lt;'Données projet'!$A$140,$CQ$205^A102,IF(A102='Données projet'!$A$140,'Données projet'!$B$140,CT101+CS102-DB101)))</f>
        <v>277.2000000000001</v>
      </c>
      <c r="CU102" s="18">
        <f>CT102*VLOOKUP('Données projet'!$B$13,Paramètres!$A$1:$I$89,3,0)*VLOOKUP('Données projet'!$B$13,Paramètres!$A$1:$I$89,5,0)</f>
        <v>268.10784000000012</v>
      </c>
      <c r="CV102" s="14">
        <f t="shared" si="95"/>
        <v>64.447540968014238</v>
      </c>
      <c r="CW102" s="22">
        <f t="shared" si="67"/>
        <v>579.20062185262486</v>
      </c>
      <c r="CX102" s="60">
        <f t="shared" si="68"/>
        <v>872.53395518595812</v>
      </c>
      <c r="CY102" s="60">
        <f ca="1">AVERAGE(OFFSET($CX$3,0,0,'Données projet'!$E$13+1,1))-AVERAGE(OFFSET($H$3,0,0,'Données projet'!$E$13+1,1))</f>
        <v>394.8445842828649</v>
      </c>
      <c r="CZ102" s="60">
        <f t="shared" si="96"/>
        <v>246.54010105494143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8.4189753156341325E-10</v>
      </c>
      <c r="DI102" s="24">
        <f t="shared" si="69"/>
        <v>8.4189753156341325E-10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5.6843418860808015E-14</v>
      </c>
      <c r="DP102" s="18">
        <f>DO102*VLOOKUP('Données projet'!$B$14,Paramètres!$A$1:$I$89,3,0)*VLOOKUP('Données projet'!$B$14,Paramètres!$A$1:$I$89,5,0)</f>
        <v>4.9658410716801891E-14</v>
      </c>
      <c r="DQ102" s="14">
        <f t="shared" si="97"/>
        <v>8.0934058173791862E-13</v>
      </c>
      <c r="DR102" s="22">
        <f t="shared" si="70"/>
        <v>1.4960899118586383E-12</v>
      </c>
      <c r="DS102" s="60">
        <f t="shared" si="71"/>
        <v>293.33333333333479</v>
      </c>
      <c r="DT102" s="60">
        <f ca="1">AVERAGE(OFFSET($DS$3,0,0,'Données projet'!$E$14+1,1))-AVERAGE(OFFSET($H$3,0,0,'Données projet'!$E$14+1,1))</f>
        <v>266.98113257513319</v>
      </c>
      <c r="DU102" s="60">
        <f t="shared" si="98"/>
        <v>275.73257102713393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1.6436193216645176</v>
      </c>
      <c r="EC102" s="23">
        <f>EXP(-LN(2)/2)*EC101+(1-EXP(-LN(2)/2))/(LN(2)/2)*DW102*DZ102*VLOOKUP('Données projet'!$B$14,Paramètres!$A$1:$I$89,3,0)*0.475*44/12</f>
        <v>4.3079505525319502E-10</v>
      </c>
      <c r="ED102" s="24">
        <f t="shared" si="72"/>
        <v>1.6436193220953126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4.8</v>
      </c>
      <c r="EJ102" s="13">
        <f>IF('Données projet'!$A$192&gt;35,EJ101+EI102-ER101,IF(A102&lt;'Données projet'!$A$192,$EG$205^A102,IF(A102='Données projet'!$A$192,'Données projet'!$B$192,EJ101+EI102-ER101)))</f>
        <v>277.2000000000001</v>
      </c>
      <c r="EK102" s="18">
        <f>EJ102*VLOOKUP('Données projet'!$B$15,Paramètres!$A$1:$I$89,3,0)*VLOOKUP('Données projet'!$B$15,Paramètres!$A$1:$I$89,5,0)</f>
        <v>315.67536000000013</v>
      </c>
      <c r="EL102" s="14">
        <f t="shared" si="99"/>
        <v>74.452816868772132</v>
      </c>
      <c r="EM102" s="22">
        <f t="shared" si="73"/>
        <v>679.4732413797783</v>
      </c>
      <c r="EN102" s="60">
        <f t="shared" si="74"/>
        <v>972.80657471311156</v>
      </c>
      <c r="EO102" s="60">
        <f ca="1">AVERAGE(OFFSET($EN$3,0,0,'Données projet'!$E$15+1,1))-AVERAGE(OFFSET($H$3,0,0,'Données projet'!$E$15+1,1))</f>
        <v>457.62828850677369</v>
      </c>
      <c r="EP102" s="60">
        <f t="shared" si="100"/>
        <v>282.78263556175563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4.8</v>
      </c>
      <c r="FE102" s="13">
        <f>IF('Données projet'!$A$218&gt;35,FE101+FD102-FM101,IF(A102&lt;'Données projet'!$A$218,$FB$205^A102,IF(A102='Données projet'!$A$218,'Données projet'!$B$218,FE101+FD102-FM101)))</f>
        <v>277.2000000000001</v>
      </c>
      <c r="FF102" s="18">
        <f>FE102*VLOOKUP('Données projet'!$B$16,Paramètres!$A$1:$I$89,3,0)*VLOOKUP('Données projet'!$B$16,Paramètres!$A$1:$I$89,5,0)</f>
        <v>302.70240000000007</v>
      </c>
      <c r="FG102" s="14">
        <f t="shared" si="101"/>
        <v>71.742694296396621</v>
      </c>
      <c r="FH102" s="22">
        <f t="shared" si="76"/>
        <v>652.15853923289092</v>
      </c>
      <c r="FI102" s="60">
        <f t="shared" si="77"/>
        <v>945.49187256622417</v>
      </c>
      <c r="FJ102" s="60">
        <f ca="1">AVERAGE(OFFSET($FI$3,0,0,'Données projet'!$E$16+1,1))-AVERAGE(OFFSET($H$3,0,0,'Données projet'!$E$16+1,1))</f>
        <v>440.52623925652182</v>
      </c>
      <c r="FK102" s="60">
        <f t="shared" si="102"/>
        <v>272.91122662088918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8.5555555555555554</v>
      </c>
      <c r="FZ102" s="13">
        <f>IF('Données projet'!$A$244&gt;35,FZ101+FY102-GH101,IF(A102&lt;'Données projet'!$A$244,$FW$205^A102,IF(A102='Données projet'!$A$244,'Données projet'!$B$244,FZ101+FY102-GH101)))</f>
        <v>305.66666666666708</v>
      </c>
      <c r="GA102" s="18">
        <f>FZ102*VLOOKUP('Données projet'!$B$17,Paramètres!$A$1:$I$89,3,0)*VLOOKUP('Données projet'!$B$17,Paramètres!$A$1:$I$89,5,0)</f>
        <v>143.05200000000019</v>
      </c>
      <c r="GB102" s="14">
        <f t="shared" si="103"/>
        <v>36.995295872593921</v>
      </c>
      <c r="GC102" s="22">
        <f t="shared" si="79"/>
        <v>313.58237364476804</v>
      </c>
      <c r="GD102" s="60">
        <f t="shared" si="80"/>
        <v>606.9157069781013</v>
      </c>
      <c r="GE102" s="60">
        <f ca="1">AVERAGE(OFFSET($GD$3,0,0,'Données projet'!$E$17+1,1))-AVERAGE(OFFSET($H$3,0,0,'Données projet'!$E$17+1,1))</f>
        <v>317.54276561627643</v>
      </c>
      <c r="GF102" s="60">
        <f t="shared" si="104"/>
        <v>238.92443174298893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>
        <f>GU102*VLOOKUP('Données projet'!$B$18,Paramètres!$A$1:$I$89,3,0)*VLOOKUP('Données projet'!$B$18,Paramètres!$A$1:$I$89,5,0)</f>
        <v>0</v>
      </c>
      <c r="GW102" s="14" t="e">
        <f t="shared" si="105"/>
        <v>#NUM!</v>
      </c>
      <c r="GX102" s="22" t="e">
        <f t="shared" si="82"/>
        <v>#NUM!</v>
      </c>
      <c r="GY102" s="60" t="e">
        <f t="shared" si="83"/>
        <v>#NUM!</v>
      </c>
      <c r="GZ102" s="60">
        <f ca="1">AVERAGE(OFFSET($GY$3,0,0,'Données projet'!$E$18+1,1))-AVERAGE(OFFSET($H$3,0,0,'Données projet'!$E$18+1,1))</f>
        <v>79.868679770907136</v>
      </c>
      <c r="HA102" s="60">
        <f t="shared" si="106"/>
        <v>370.47471103028312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15.843748010853904</v>
      </c>
      <c r="HH102" s="23">
        <f>EXP(-LN(2)/25)*HH101+(1-EXP(-LN(2)/25))/(LN(2)/25)*Calculateur!HC102*Calculateur!HE102*VLOOKUP('Données projet'!$B$18,Paramètres!$A$1:$I$89,3,0)*0.475*44/12</f>
        <v>2.2301017827464489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18.073849793600353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0">
        <f t="shared" si="55"/>
        <v>293.33333333333439</v>
      </c>
      <c r="S103" s="60">
        <f ca="1">AVERAGE(OFFSET($R$3,0,0,'Données projet'!$E$9+1,1))-AVERAGE(OFFSET($H$3,0,0,'Données projet'!$E$9+1,1))</f>
        <v>206.5885410269899</v>
      </c>
      <c r="T103" s="60">
        <f t="shared" si="88"/>
        <v>347.41156847586302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3.3992364478763198E-14</v>
      </c>
      <c r="AK103" s="14">
        <f t="shared" si="89"/>
        <v>5.790027782444094E-13</v>
      </c>
      <c r="AL103" s="22">
        <f t="shared" si="58"/>
        <v>1.0676332069095257E-12</v>
      </c>
      <c r="AM103" s="60">
        <f t="shared" si="59"/>
        <v>293.33333333333439</v>
      </c>
      <c r="AN103" s="60">
        <f ca="1">AVERAGE(OFFSET($AM$3,0,0,'Données projet'!$E$10+1,1))-AVERAGE(OFFSET($H$3,0,0,'Données projet'!$E$10+1,1))</f>
        <v>206.5885410269899</v>
      </c>
      <c r="AO103" s="60">
        <f t="shared" si="90"/>
        <v>347.41156847586302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27.347473594741597</v>
      </c>
      <c r="AV103" s="23">
        <f>EXP(-LN(2)/25)*AV102+(1-EXP(-LN(2)/25))/(LN(2)/25)*Calculateur!AQ103*Calculateur!AS103*VLOOKUP('Données projet'!$B$10,Paramètres!$A$1:$I$89,3,0)*0.475*44/12</f>
        <v>0.48002346171628812</v>
      </c>
      <c r="AW103" s="23">
        <f>EXP(-LN(2)/2)*AW102+(1-EXP(-LN(2)/2))/(LN(2)/2)*AQ103*AT103*VLOOKUP('Données projet'!$B$10,Paramètres!$A$1:$I$89,3,0)*0.475*44/12</f>
        <v>3.2058411705337918E-8</v>
      </c>
      <c r="AX103" s="23">
        <f t="shared" si="60"/>
        <v>27.827497088516299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282.00000000000011</v>
      </c>
      <c r="BE103" s="14">
        <f>BD103*VLOOKUP('Données projet'!$B$11,Paramètres!$A$1:$I$89,3,0)*VLOOKUP('Données projet'!$B$11,Paramètres!$A$1:$I$89,5,0)</f>
        <v>268.35120000000012</v>
      </c>
      <c r="BF103" s="14">
        <f t="shared" si="91"/>
        <v>64.499227668096125</v>
      </c>
      <c r="BG103" s="22">
        <f t="shared" si="61"/>
        <v>579.71449485526762</v>
      </c>
      <c r="BH103" s="60">
        <f t="shared" si="62"/>
        <v>873.04782818860099</v>
      </c>
      <c r="BI103" s="60">
        <f ca="1">AVERAGE(OFFSET($BH$3,0,0,'Données projet'!$E$11+1,1))-AVERAGE(OFFSET($H$3,0,0,'Données projet'!$E$11+1,1))</f>
        <v>389.12604446638119</v>
      </c>
      <c r="BJ103" s="60">
        <f t="shared" si="92"/>
        <v>243.23852967152732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282</v>
      </c>
      <c r="BW103" s="13">
        <f>VLOOKUP(A103,'Données projet'!$A$113:$I$133,9,0)</f>
        <v>4.8</v>
      </c>
      <c r="BX103" s="13">
        <f t="array" ref="BX103">INDEX(BW:BW,MIN(IF(ISNUMBER(BW103:BW299),ROW(BW103:BW299),"")))</f>
        <v>4.8</v>
      </c>
      <c r="BY103" s="13">
        <f>IF('Données projet'!$A$114&gt;35,BY102+BX103-CG102,IF(A103&lt;'Données projet'!$A$114,$BV$205^A103,IF(A103='Données projet'!$A$114,'Données projet'!$B$114,BY102+BX103-CG102)))</f>
        <v>282.00000000000011</v>
      </c>
      <c r="BZ103" s="14">
        <f>BY103*VLOOKUP('Données projet'!$B$12,Paramètres!$A$1:$I$89,3,0)*VLOOKUP('Données projet'!$B$12,Paramètres!$A$1:$I$89,5,0)</f>
        <v>255.1536000000001</v>
      </c>
      <c r="CA103" s="14">
        <f t="shared" si="93"/>
        <v>61.688192762754426</v>
      </c>
      <c r="CB103" s="22">
        <f t="shared" si="64"/>
        <v>551.83278906179737</v>
      </c>
      <c r="CC103" s="60">
        <f t="shared" si="65"/>
        <v>845.16612239513074</v>
      </c>
      <c r="CD103" s="60">
        <f ca="1">AVERAGE(OFFSET($CC$3,0,0,'Données projet'!$E$12+1,1))-AVERAGE(OFFSET($H$3,0,0,'Données projet'!$E$12+1,1))</f>
        <v>371.95849973474657</v>
      </c>
      <c r="CE103" s="60">
        <f t="shared" si="94"/>
        <v>233.32640143610547</v>
      </c>
      <c r="CF103" s="16">
        <f>IF(ISNA(VLOOKUP(A103,'Données projet'!$A$113:$I$133,3,0)),0,VLOOKUP(A103,'Données projet'!$A$113:$I$133,3,0))</f>
        <v>16</v>
      </c>
      <c r="CG103" s="16">
        <f>IF(ISNA(VLOOKUP(A103,'Données projet'!$A$113:$I$133,4,0)),0,VLOOKUP(A103,'Données projet'!$A$113:$I$133,4,0))</f>
        <v>21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5.5690426307575589E-10</v>
      </c>
      <c r="CN103" s="24">
        <f t="shared" si="66"/>
        <v>5.5690426307575589E-10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282</v>
      </c>
      <c r="CR103" s="13">
        <f>VLOOKUP(A103,'Données projet'!$A$139:$I$159,9,0)</f>
        <v>4.8</v>
      </c>
      <c r="CS103" s="13">
        <f t="array" ref="CS103">INDEX(CR:CR,MIN(IF(ISNUMBER(CR103:CR299),ROW(CR103:CR299),"")))</f>
        <v>4.8</v>
      </c>
      <c r="CT103" s="13">
        <f>IF('Données projet'!$A$140&gt;35,CT102+CS103-DB102,IF(A103&lt;'Données projet'!$A$140,$CQ$205^A103,IF(A103='Données projet'!$A$140,'Données projet'!$B$140,CT102+CS103-DB102)))</f>
        <v>282.00000000000011</v>
      </c>
      <c r="CU103" s="18">
        <f>CT103*VLOOKUP('Données projet'!$B$13,Paramètres!$A$1:$I$89,3,0)*VLOOKUP('Données projet'!$B$13,Paramètres!$A$1:$I$89,5,0)</f>
        <v>272.75040000000013</v>
      </c>
      <c r="CV103" s="14">
        <f t="shared" si="95"/>
        <v>65.43262883082069</v>
      </c>
      <c r="CW103" s="22">
        <f t="shared" si="67"/>
        <v>589.00210854701288</v>
      </c>
      <c r="CX103" s="60">
        <f t="shared" si="68"/>
        <v>882.33544188034625</v>
      </c>
      <c r="CY103" s="60">
        <f ca="1">AVERAGE(OFFSET($CX$3,0,0,'Données projet'!$E$13+1,1))-AVERAGE(OFFSET($H$3,0,0,'Données projet'!$E$13+1,1))</f>
        <v>394.8445842828649</v>
      </c>
      <c r="CZ103" s="60">
        <f t="shared" si="96"/>
        <v>246.54010105494143</v>
      </c>
      <c r="DA103" s="16">
        <f>IF(ISNA(VLOOKUP(A103,'Données projet'!$A$139:$I$159,3,0)),0,VLOOKUP(A103,'Données projet'!$A$139:$I$159,3,0))</f>
        <v>16</v>
      </c>
      <c r="DB103" s="16">
        <f>IF(ISNA(VLOOKUP(A103,'Données projet'!$A$139:$I$159,4,0)),0,VLOOKUP(A103,'Données projet'!$A$139:$I$159,4,0))</f>
        <v>21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5.9531145363270493E-10</v>
      </c>
      <c r="DI103" s="24">
        <f t="shared" si="69"/>
        <v>5.9531145363270493E-10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5.6843418860808015E-14</v>
      </c>
      <c r="DP103" s="18">
        <f>DO103*VLOOKUP('Données projet'!$B$14,Paramètres!$A$1:$I$89,3,0)*VLOOKUP('Données projet'!$B$14,Paramètres!$A$1:$I$89,5,0)</f>
        <v>4.9658410716801891E-14</v>
      </c>
      <c r="DQ103" s="14">
        <f t="shared" si="97"/>
        <v>8.0934058173791862E-13</v>
      </c>
      <c r="DR103" s="22">
        <f t="shared" si="70"/>
        <v>1.4960899118586383E-12</v>
      </c>
      <c r="DS103" s="60">
        <f t="shared" si="71"/>
        <v>293.33333333333479</v>
      </c>
      <c r="DT103" s="60">
        <f ca="1">AVERAGE(OFFSET($DS$3,0,0,'Données projet'!$E$14+1,1))-AVERAGE(OFFSET($H$3,0,0,'Données projet'!$E$14+1,1))</f>
        <v>266.98113257513319</v>
      </c>
      <c r="DU103" s="60">
        <f t="shared" si="98"/>
        <v>275.73257102713393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1.5986744648794178</v>
      </c>
      <c r="EC103" s="23">
        <f>EXP(-LN(2)/2)*EC102+(1-EXP(-LN(2)/2))/(LN(2)/2)*DW103*DZ103*VLOOKUP('Données projet'!$B$14,Paramètres!$A$1:$I$89,3,0)*0.475*44/12</f>
        <v>3.0461810487116762E-10</v>
      </c>
      <c r="ED103" s="24">
        <f t="shared" si="72"/>
        <v>1.5986744651840359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282</v>
      </c>
      <c r="EH103" s="13">
        <f>VLOOKUP(A103,'Données projet'!$A$191:$I$211,9,0)</f>
        <v>4.8</v>
      </c>
      <c r="EI103" s="13">
        <f t="array" ref="EI103">INDEX(EH:EH,MIN(IF(ISNUMBER(EH103:EH299),ROW(EH103:EH299),"")))</f>
        <v>4.8</v>
      </c>
      <c r="EJ103" s="13">
        <f>IF('Données projet'!$A$192&gt;35,EJ102+EI103-ER102,IF(A103&lt;'Données projet'!$A$192,$EG$205^A103,IF(A103='Données projet'!$A$192,'Données projet'!$B$192,EJ102+EI103-ER102)))</f>
        <v>282.00000000000011</v>
      </c>
      <c r="EK103" s="18">
        <f>EJ103*VLOOKUP('Données projet'!$B$15,Paramètres!$A$1:$I$89,3,0)*VLOOKUP('Données projet'!$B$15,Paramètres!$A$1:$I$89,5,0)</f>
        <v>321.1416000000001</v>
      </c>
      <c r="EL103" s="14">
        <f t="shared" si="99"/>
        <v>75.590836491360662</v>
      </c>
      <c r="EM103" s="22">
        <f t="shared" si="73"/>
        <v>690.97566022245337</v>
      </c>
      <c r="EN103" s="60">
        <f t="shared" si="74"/>
        <v>984.30899355578663</v>
      </c>
      <c r="EO103" s="60">
        <f ca="1">AVERAGE(OFFSET($EN$3,0,0,'Données projet'!$E$15+1,1))-AVERAGE(OFFSET($H$3,0,0,'Données projet'!$E$15+1,1))</f>
        <v>457.62828850677369</v>
      </c>
      <c r="EP103" s="60">
        <f t="shared" si="100"/>
        <v>282.78263556175563</v>
      </c>
      <c r="EQ103" s="16">
        <f>IF(ISNA(VLOOKUP(A103,'Données projet'!$A$191:$I$211,3,0)),0,VLOOKUP(A103,'Données projet'!$A$191:$I$211,3,0))</f>
        <v>16</v>
      </c>
      <c r="ER103" s="16">
        <f>IF(ISNA(VLOOKUP(A103,'Données projet'!$A$191:$I$211,4,0)),0,VLOOKUP(A103,'Données projet'!$A$191:$I$211,4,0))</f>
        <v>21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282</v>
      </c>
      <c r="FC103" s="13">
        <f>VLOOKUP(A103,'Données projet'!$A$217:$I$237,9,0)</f>
        <v>4.8</v>
      </c>
      <c r="FD103" s="13">
        <f t="array" ref="FD103">INDEX(FC:FC,MIN(IF(ISNUMBER(FC103:FC299),ROW(FC103:FC299),"")))</f>
        <v>4.8</v>
      </c>
      <c r="FE103" s="13">
        <f>IF('Données projet'!$A$218&gt;35,FE102+FD103-FM102,IF(A103&lt;'Données projet'!$A$218,$FB$205^A103,IF(A103='Données projet'!$A$218,'Données projet'!$B$218,FE102+FD103-FM102)))</f>
        <v>282.00000000000011</v>
      </c>
      <c r="FF103" s="18">
        <f>FE103*VLOOKUP('Données projet'!$B$16,Paramètres!$A$1:$I$89,3,0)*VLOOKUP('Données projet'!$B$16,Paramètres!$A$1:$I$89,5,0)</f>
        <v>307.94400000000013</v>
      </c>
      <c r="FG103" s="14">
        <f t="shared" si="101"/>
        <v>72.839289392732255</v>
      </c>
      <c r="FH103" s="22">
        <f t="shared" si="76"/>
        <v>663.19756235900888</v>
      </c>
      <c r="FI103" s="60">
        <f t="shared" si="77"/>
        <v>956.53089569234226</v>
      </c>
      <c r="FJ103" s="60">
        <f ca="1">AVERAGE(OFFSET($FI$3,0,0,'Données projet'!$E$16+1,1))-AVERAGE(OFFSET($H$3,0,0,'Données projet'!$E$16+1,1))</f>
        <v>440.52623925652182</v>
      </c>
      <c r="FK103" s="60">
        <f t="shared" si="102"/>
        <v>272.91122662088918</v>
      </c>
      <c r="FL103" s="16">
        <f>IF(ISNA(VLOOKUP(A103,'Données projet'!$A$217:$I$237,3,0)),0,VLOOKUP(A103,'Données projet'!$A$217:$I$237,3,0))</f>
        <v>16</v>
      </c>
      <c r="FM103" s="16">
        <f>IF(ISNA(VLOOKUP(A103,'Données projet'!$A$217:$I$237,4,0)),0,VLOOKUP(A103,'Données projet'!$A$217:$I$237,4,0))</f>
        <v>21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8.5555555555555554</v>
      </c>
      <c r="FZ103" s="13">
        <f>IF('Données projet'!$A$244&gt;35,FZ102+FY103-GH102,IF(A103&lt;'Données projet'!$A$244,$FW$205^A103,IF(A103='Données projet'!$A$244,'Données projet'!$B$244,FZ102+FY103-GH102)))</f>
        <v>314.22222222222263</v>
      </c>
      <c r="GA103" s="18">
        <f>FZ103*VLOOKUP('Données projet'!$B$17,Paramètres!$A$1:$I$89,3,0)*VLOOKUP('Données projet'!$B$17,Paramètres!$A$1:$I$89,5,0)</f>
        <v>147.05600000000018</v>
      </c>
      <c r="GB103" s="14">
        <f t="shared" si="103"/>
        <v>37.908781196921652</v>
      </c>
      <c r="GC103" s="22">
        <f t="shared" si="79"/>
        <v>322.14699391797217</v>
      </c>
      <c r="GD103" s="60">
        <f t="shared" si="80"/>
        <v>615.48032725130543</v>
      </c>
      <c r="GE103" s="60">
        <f ca="1">AVERAGE(OFFSET($GD$3,0,0,'Données projet'!$E$17+1,1))-AVERAGE(OFFSET($H$3,0,0,'Données projet'!$E$17+1,1))</f>
        <v>317.54276561627643</v>
      </c>
      <c r="GF103" s="60">
        <f t="shared" si="104"/>
        <v>238.92443174298893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>
        <f>GU103*VLOOKUP('Données projet'!$B$18,Paramètres!$A$1:$I$89,3,0)*VLOOKUP('Données projet'!$B$18,Paramètres!$A$1:$I$89,5,0)</f>
        <v>0</v>
      </c>
      <c r="GW103" s="14" t="e">
        <f t="shared" si="105"/>
        <v>#NUM!</v>
      </c>
      <c r="GX103" s="22" t="e">
        <f t="shared" si="82"/>
        <v>#NUM!</v>
      </c>
      <c r="GY103" s="60" t="e">
        <f t="shared" si="83"/>
        <v>#NUM!</v>
      </c>
      <c r="GZ103" s="60">
        <f ca="1">AVERAGE(OFFSET($GY$3,0,0,'Données projet'!$E$18+1,1))-AVERAGE(OFFSET($H$3,0,0,'Données projet'!$E$18+1,1))</f>
        <v>79.868679770907136</v>
      </c>
      <c r="HA103" s="60">
        <f t="shared" si="106"/>
        <v>370.47471103028312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15.533061776093131</v>
      </c>
      <c r="HH103" s="23">
        <f>EXP(-LN(2)/25)*HH102+(1-EXP(-LN(2)/25))/(LN(2)/25)*Calculateur!HC103*Calculateur!HE103*VLOOKUP('Données projet'!$B$18,Paramètres!$A$1:$I$89,3,0)*0.475*44/12</f>
        <v>2.1691195322212913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17.702181308314422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0">
        <f t="shared" si="55"/>
        <v>293.33333333333439</v>
      </c>
      <c r="S104" s="60">
        <f ca="1">AVERAGE(OFFSET($R$3,0,0,'Données projet'!$E$9+1,1))-AVERAGE(OFFSET($H$3,0,0,'Données projet'!$E$9+1,1))</f>
        <v>206.5885410269899</v>
      </c>
      <c r="T104" s="60">
        <f t="shared" si="88"/>
        <v>347.41156847586302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3.3992364478763198E-14</v>
      </c>
      <c r="AK104" s="14">
        <f t="shared" si="89"/>
        <v>5.790027782444094E-13</v>
      </c>
      <c r="AL104" s="22">
        <f t="shared" si="58"/>
        <v>1.0676332069095257E-12</v>
      </c>
      <c r="AM104" s="60">
        <f t="shared" si="59"/>
        <v>293.33333333333439</v>
      </c>
      <c r="AN104" s="60">
        <f ca="1">AVERAGE(OFFSET($AM$3,0,0,'Données projet'!$E$10+1,1))-AVERAGE(OFFSET($H$3,0,0,'Données projet'!$E$10+1,1))</f>
        <v>206.5885410269899</v>
      </c>
      <c r="AO104" s="60">
        <f t="shared" si="90"/>
        <v>347.41156847586302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26.811206317860563</v>
      </c>
      <c r="AV104" s="23">
        <f>EXP(-LN(2)/25)*AV103+(1-EXP(-LN(2)/25))/(LN(2)/25)*Calculateur!AQ104*Calculateur!AS104*VLOOKUP('Données projet'!$B$10,Paramètres!$A$1:$I$89,3,0)*0.475*44/12</f>
        <v>0.46689719491231946</v>
      </c>
      <c r="AW104" s="23">
        <f>EXP(-LN(2)/2)*AW103+(1-EXP(-LN(2)/2))/(LN(2)/2)*AQ104*AT104*VLOOKUP('Données projet'!$B$10,Paramètres!$A$1:$I$89,3,0)*0.475*44/12</f>
        <v>2.2668720310914633E-8</v>
      </c>
      <c r="AX104" s="23">
        <f t="shared" si="60"/>
        <v>27.278103535441605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265.40000000000009</v>
      </c>
      <c r="BE104" s="14">
        <f>BD104*VLOOKUP('Données projet'!$B$11,Paramètres!$A$1:$I$89,3,0)*VLOOKUP('Données projet'!$B$11,Paramètres!$A$1:$I$89,5,0)</f>
        <v>252.55464000000012</v>
      </c>
      <c r="BF104" s="14">
        <f t="shared" si="91"/>
        <v>61.132654455470124</v>
      </c>
      <c r="BG104" s="22">
        <f t="shared" si="61"/>
        <v>546.33870450994402</v>
      </c>
      <c r="BH104" s="60">
        <f t="shared" si="62"/>
        <v>839.67203784327739</v>
      </c>
      <c r="BI104" s="60">
        <f ca="1">AVERAGE(OFFSET($BH$3,0,0,'Données projet'!$E$11+1,1))-AVERAGE(OFFSET($H$3,0,0,'Données projet'!$E$11+1,1))</f>
        <v>389.12604446638119</v>
      </c>
      <c r="BJ104" s="60">
        <f t="shared" si="92"/>
        <v>243.23852967152732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265.40000000000009</v>
      </c>
      <c r="BZ104" s="14">
        <f>BY104*VLOOKUP('Données projet'!$B$12,Paramètres!$A$1:$I$89,3,0)*VLOOKUP('Données projet'!$B$12,Paramètres!$A$1:$I$89,5,0)</f>
        <v>240.13392000000007</v>
      </c>
      <c r="CA104" s="14">
        <f t="shared" si="93"/>
        <v>58.468343087048616</v>
      </c>
      <c r="CB104" s="22">
        <f t="shared" si="64"/>
        <v>520.06560820994309</v>
      </c>
      <c r="CC104" s="60">
        <f t="shared" si="65"/>
        <v>813.39894154327635</v>
      </c>
      <c r="CD104" s="60">
        <f ca="1">AVERAGE(OFFSET($CC$3,0,0,'Données projet'!$E$12+1,1))-AVERAGE(OFFSET($H$3,0,0,'Données projet'!$E$12+1,1))</f>
        <v>371.95849973474657</v>
      </c>
      <c r="CE104" s="60">
        <f t="shared" si="94"/>
        <v>233.32640143610547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3.9379078089256402E-10</v>
      </c>
      <c r="CN104" s="24">
        <f t="shared" si="66"/>
        <v>3.9379078089256402E-10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265.40000000000009</v>
      </c>
      <c r="CU104" s="18">
        <f>CT104*VLOOKUP('Données projet'!$B$13,Paramètres!$A$1:$I$89,3,0)*VLOOKUP('Données projet'!$B$13,Paramètres!$A$1:$I$89,5,0)</f>
        <v>256.69488000000013</v>
      </c>
      <c r="CV104" s="14">
        <f t="shared" si="95"/>
        <v>62.017336223177551</v>
      </c>
      <c r="CW104" s="22">
        <f t="shared" si="67"/>
        <v>555.09044325536786</v>
      </c>
      <c r="CX104" s="60">
        <f t="shared" si="68"/>
        <v>848.42377658870123</v>
      </c>
      <c r="CY104" s="60">
        <f ca="1">AVERAGE(OFFSET($CX$3,0,0,'Données projet'!$E$13+1,1))-AVERAGE(OFFSET($H$3,0,0,'Données projet'!$E$13+1,1))</f>
        <v>394.8445842828649</v>
      </c>
      <c r="CZ104" s="60">
        <f t="shared" si="96"/>
        <v>246.54010105494143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4.2094876578170663E-10</v>
      </c>
      <c r="DI104" s="24">
        <f t="shared" si="69"/>
        <v>4.2094876578170663E-10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5.6843418860808015E-14</v>
      </c>
      <c r="DP104" s="18">
        <f>DO104*VLOOKUP('Données projet'!$B$14,Paramètres!$A$1:$I$89,3,0)*VLOOKUP('Données projet'!$B$14,Paramètres!$A$1:$I$89,5,0)</f>
        <v>4.9658410716801891E-14</v>
      </c>
      <c r="DQ104" s="14">
        <f t="shared" si="97"/>
        <v>8.0934058173791862E-13</v>
      </c>
      <c r="DR104" s="22">
        <f t="shared" si="70"/>
        <v>1.4960899118586383E-12</v>
      </c>
      <c r="DS104" s="60">
        <f t="shared" si="71"/>
        <v>293.33333333333479</v>
      </c>
      <c r="DT104" s="60">
        <f ca="1">AVERAGE(OFFSET($DS$3,0,0,'Données projet'!$E$14+1,1))-AVERAGE(OFFSET($H$3,0,0,'Données projet'!$E$14+1,1))</f>
        <v>266.98113257513319</v>
      </c>
      <c r="DU104" s="60">
        <f t="shared" si="98"/>
        <v>275.73257102713393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1.5549586275666538</v>
      </c>
      <c r="EC104" s="23">
        <f>EXP(-LN(2)/2)*EC103+(1-EXP(-LN(2)/2))/(LN(2)/2)*DW104*DZ104*VLOOKUP('Données projet'!$B$14,Paramètres!$A$1:$I$89,3,0)*0.475*44/12</f>
        <v>2.1539752762659751E-10</v>
      </c>
      <c r="ED104" s="24">
        <f t="shared" si="72"/>
        <v>1.5549586277820513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4.4000000000000004</v>
      </c>
      <c r="EJ104" s="13">
        <f>IF('Données projet'!$A$192&gt;35,EJ103+EI104-ER103,IF(A104&lt;'Données projet'!$A$192,$EG$205^A104,IF(A104='Données projet'!$A$192,'Données projet'!$B$192,EJ103+EI104-ER103)))</f>
        <v>265.40000000000009</v>
      </c>
      <c r="EK104" s="18">
        <f>EJ104*VLOOKUP('Données projet'!$B$15,Paramètres!$A$1:$I$89,3,0)*VLOOKUP('Données projet'!$B$15,Paramètres!$A$1:$I$89,5,0)</f>
        <v>302.23752000000013</v>
      </c>
      <c r="EL104" s="14">
        <f t="shared" si="99"/>
        <v>71.645330561253473</v>
      </c>
      <c r="EM104" s="22">
        <f t="shared" si="73"/>
        <v>651.17929806084999</v>
      </c>
      <c r="EN104" s="60">
        <f t="shared" si="74"/>
        <v>944.51263139418324</v>
      </c>
      <c r="EO104" s="60">
        <f ca="1">AVERAGE(OFFSET($EN$3,0,0,'Données projet'!$E$15+1,1))-AVERAGE(OFFSET($H$3,0,0,'Données projet'!$E$15+1,1))</f>
        <v>457.62828850677369</v>
      </c>
      <c r="EP104" s="60">
        <f t="shared" si="100"/>
        <v>282.78263556175563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4.4000000000000004</v>
      </c>
      <c r="FE104" s="13">
        <f>IF('Données projet'!$A$218&gt;35,FE103+FD104-FM103,IF(A104&lt;'Données projet'!$A$218,$FB$205^A104,IF(A104='Données projet'!$A$218,'Données projet'!$B$218,FE103+FD104-FM103)))</f>
        <v>265.40000000000009</v>
      </c>
      <c r="FF104" s="18">
        <f>FE104*VLOOKUP('Données projet'!$B$16,Paramètres!$A$1:$I$89,3,0)*VLOOKUP('Données projet'!$B$16,Paramètres!$A$1:$I$89,5,0)</f>
        <v>289.81680000000011</v>
      </c>
      <c r="FG104" s="14">
        <f t="shared" si="101"/>
        <v>69.037402000248321</v>
      </c>
      <c r="FH104" s="22">
        <f t="shared" si="76"/>
        <v>625.00440181709939</v>
      </c>
      <c r="FI104" s="60">
        <f t="shared" si="77"/>
        <v>918.33773515043276</v>
      </c>
      <c r="FJ104" s="60">
        <f ca="1">AVERAGE(OFFSET($FI$3,0,0,'Données projet'!$E$16+1,1))-AVERAGE(OFFSET($H$3,0,0,'Données projet'!$E$16+1,1))</f>
        <v>440.52623925652182</v>
      </c>
      <c r="FK104" s="60">
        <f t="shared" si="102"/>
        <v>272.91122662088918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8.5555555555555554</v>
      </c>
      <c r="FZ104" s="13">
        <f>IF('Données projet'!$A$244&gt;35,FZ103+FY104-GH103,IF(A104&lt;'Données projet'!$A$244,$FW$205^A104,IF(A104='Données projet'!$A$244,'Données projet'!$B$244,FZ103+FY104-GH103)))</f>
        <v>322.77777777777817</v>
      </c>
      <c r="GA104" s="18">
        <f>FZ104*VLOOKUP('Données projet'!$B$17,Paramètres!$A$1:$I$89,3,0)*VLOOKUP('Données projet'!$B$17,Paramètres!$A$1:$I$89,5,0)</f>
        <v>151.06000000000017</v>
      </c>
      <c r="GB104" s="14">
        <f t="shared" si="103"/>
        <v>38.819375611338231</v>
      </c>
      <c r="GC104" s="22">
        <f t="shared" si="79"/>
        <v>330.70657918974769</v>
      </c>
      <c r="GD104" s="60">
        <f t="shared" si="80"/>
        <v>624.03991252308106</v>
      </c>
      <c r="GE104" s="60">
        <f ca="1">AVERAGE(OFFSET($GD$3,0,0,'Données projet'!$E$17+1,1))-AVERAGE(OFFSET($H$3,0,0,'Données projet'!$E$17+1,1))</f>
        <v>317.54276561627643</v>
      </c>
      <c r="GF104" s="60">
        <f t="shared" si="104"/>
        <v>238.92443174298893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>
        <f>GU104*VLOOKUP('Données projet'!$B$18,Paramètres!$A$1:$I$89,3,0)*VLOOKUP('Données projet'!$B$18,Paramètres!$A$1:$I$89,5,0)</f>
        <v>0</v>
      </c>
      <c r="GW104" s="14" t="e">
        <f t="shared" si="105"/>
        <v>#NUM!</v>
      </c>
      <c r="GX104" s="22" t="e">
        <f t="shared" si="82"/>
        <v>#NUM!</v>
      </c>
      <c r="GY104" s="60" t="e">
        <f t="shared" si="83"/>
        <v>#NUM!</v>
      </c>
      <c r="GZ104" s="60">
        <f ca="1">AVERAGE(OFFSET($GY$3,0,0,'Données projet'!$E$18+1,1))-AVERAGE(OFFSET($H$3,0,0,'Données projet'!$E$18+1,1))</f>
        <v>79.868679770907136</v>
      </c>
      <c r="HA104" s="60">
        <f t="shared" si="106"/>
        <v>370.47471103028312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15.228467908896125</v>
      </c>
      <c r="HH104" s="23">
        <f>EXP(-LN(2)/25)*HH103+(1-EXP(-LN(2)/25))/(LN(2)/25)*Calculateur!HC104*Calculateur!HE104*VLOOKUP('Données projet'!$B$18,Paramètres!$A$1:$I$89,3,0)*0.475*44/12</f>
        <v>2.1098048445436612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17.338272753439785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0">
        <f t="shared" si="55"/>
        <v>293.33333333333439</v>
      </c>
      <c r="S105" s="60">
        <f ca="1">AVERAGE(OFFSET($R$3,0,0,'Données projet'!$E$9+1,1))-AVERAGE(OFFSET($H$3,0,0,'Données projet'!$E$9+1,1))</f>
        <v>206.5885410269899</v>
      </c>
      <c r="T105" s="60">
        <f t="shared" si="88"/>
        <v>347.41156847586302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3.3992364478763198E-14</v>
      </c>
      <c r="AK105" s="14">
        <f t="shared" si="89"/>
        <v>5.790027782444094E-13</v>
      </c>
      <c r="AL105" s="22">
        <f t="shared" si="58"/>
        <v>1.0676332069095257E-12</v>
      </c>
      <c r="AM105" s="60">
        <f t="shared" si="59"/>
        <v>293.33333333333439</v>
      </c>
      <c r="AN105" s="60">
        <f ca="1">AVERAGE(OFFSET($AM$3,0,0,'Données projet'!$E$10+1,1))-AVERAGE(OFFSET($H$3,0,0,'Données projet'!$E$10+1,1))</f>
        <v>206.5885410269899</v>
      </c>
      <c r="AO105" s="60">
        <f t="shared" si="90"/>
        <v>347.41156847586302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26.285454915188424</v>
      </c>
      <c r="AV105" s="23">
        <f>EXP(-LN(2)/25)*AV104+(1-EXP(-LN(2)/25))/(LN(2)/25)*Calculateur!AQ105*Calculateur!AS105*VLOOKUP('Données projet'!$B$10,Paramètres!$A$1:$I$89,3,0)*0.475*44/12</f>
        <v>0.4541298665643857</v>
      </c>
      <c r="AW105" s="23">
        <f>EXP(-LN(2)/2)*AW104+(1-EXP(-LN(2)/2))/(LN(2)/2)*AQ105*AT105*VLOOKUP('Données projet'!$B$10,Paramètres!$A$1:$I$89,3,0)*0.475*44/12</f>
        <v>1.6029205852668959E-8</v>
      </c>
      <c r="AX105" s="23">
        <f t="shared" si="60"/>
        <v>26.739584797782015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269.80000000000007</v>
      </c>
      <c r="BE105" s="14">
        <f>BD105*VLOOKUP('Données projet'!$B$11,Paramètres!$A$1:$I$89,3,0)*VLOOKUP('Données projet'!$B$11,Paramètres!$A$1:$I$89,5,0)</f>
        <v>256.74168000000003</v>
      </c>
      <c r="BF105" s="14">
        <f t="shared" si="91"/>
        <v>62.027326852695715</v>
      </c>
      <c r="BG105" s="22">
        <f t="shared" si="61"/>
        <v>555.18935360177841</v>
      </c>
      <c r="BH105" s="60">
        <f t="shared" si="62"/>
        <v>848.52268693511178</v>
      </c>
      <c r="BI105" s="60">
        <f ca="1">AVERAGE(OFFSET($BH$3,0,0,'Données projet'!$E$11+1,1))-AVERAGE(OFFSET($H$3,0,0,'Données projet'!$E$11+1,1))</f>
        <v>389.12604446638119</v>
      </c>
      <c r="BJ105" s="60">
        <f t="shared" si="92"/>
        <v>243.23852967152732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269.80000000000007</v>
      </c>
      <c r="BZ105" s="14">
        <f>BY105*VLOOKUP('Données projet'!$B$12,Paramètres!$A$1:$I$89,3,0)*VLOOKUP('Données projet'!$B$12,Paramètres!$A$1:$I$89,5,0)</f>
        <v>244.11504000000008</v>
      </c>
      <c r="CA105" s="14">
        <f t="shared" si="93"/>
        <v>59.324023461759062</v>
      </c>
      <c r="CB105" s="22">
        <f t="shared" si="64"/>
        <v>528.48970219589717</v>
      </c>
      <c r="CC105" s="60">
        <f t="shared" si="65"/>
        <v>821.82303552923054</v>
      </c>
      <c r="CD105" s="60">
        <f ca="1">AVERAGE(OFFSET($CC$3,0,0,'Données projet'!$E$12+1,1))-AVERAGE(OFFSET($H$3,0,0,'Données projet'!$E$12+1,1))</f>
        <v>371.95849973474657</v>
      </c>
      <c r="CE105" s="60">
        <f t="shared" si="94"/>
        <v>233.32640143610547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2.7845213153787794E-10</v>
      </c>
      <c r="CN105" s="24">
        <f t="shared" si="66"/>
        <v>2.7845213153787794E-10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269.80000000000007</v>
      </c>
      <c r="CU105" s="18">
        <f>CT105*VLOOKUP('Données projet'!$B$13,Paramètres!$A$1:$I$89,3,0)*VLOOKUP('Données projet'!$B$13,Paramètres!$A$1:$I$89,5,0)</f>
        <v>260.95056000000005</v>
      </c>
      <c r="CV105" s="14">
        <f t="shared" si="95"/>
        <v>62.924955880176938</v>
      </c>
      <c r="CW105" s="22">
        <f t="shared" si="67"/>
        <v>564.08319015797485</v>
      </c>
      <c r="CX105" s="60">
        <f t="shared" si="68"/>
        <v>857.41652349130823</v>
      </c>
      <c r="CY105" s="60">
        <f ca="1">AVERAGE(OFFSET($CX$3,0,0,'Données projet'!$E$13+1,1))-AVERAGE(OFFSET($H$3,0,0,'Données projet'!$E$13+1,1))</f>
        <v>394.8445842828649</v>
      </c>
      <c r="CZ105" s="60">
        <f t="shared" si="96"/>
        <v>246.54010105494143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2.9765572681635247E-10</v>
      </c>
      <c r="DI105" s="24">
        <f t="shared" si="69"/>
        <v>2.9765572681635247E-10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5.6843418860808015E-14</v>
      </c>
      <c r="DP105" s="18">
        <f>DO105*VLOOKUP('Données projet'!$B$14,Paramètres!$A$1:$I$89,3,0)*VLOOKUP('Données projet'!$B$14,Paramètres!$A$1:$I$89,5,0)</f>
        <v>4.9658410716801891E-14</v>
      </c>
      <c r="DQ105" s="14">
        <f t="shared" si="97"/>
        <v>8.0934058173791862E-13</v>
      </c>
      <c r="DR105" s="22">
        <f t="shared" si="70"/>
        <v>1.4960899118586383E-12</v>
      </c>
      <c r="DS105" s="60">
        <f t="shared" si="71"/>
        <v>293.33333333333479</v>
      </c>
      <c r="DT105" s="60">
        <f ca="1">AVERAGE(OFFSET($DS$3,0,0,'Données projet'!$E$14+1,1))-AVERAGE(OFFSET($H$3,0,0,'Données projet'!$E$14+1,1))</f>
        <v>266.98113257513319</v>
      </c>
      <c r="DU105" s="60">
        <f t="shared" si="98"/>
        <v>275.73257102713393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1.5124382021241234</v>
      </c>
      <c r="EC105" s="23">
        <f>EXP(-LN(2)/2)*EC104+(1-EXP(-LN(2)/2))/(LN(2)/2)*DW105*DZ105*VLOOKUP('Données projet'!$B$14,Paramètres!$A$1:$I$89,3,0)*0.475*44/12</f>
        <v>1.5230905243558381E-10</v>
      </c>
      <c r="ED105" s="24">
        <f t="shared" si="72"/>
        <v>1.5124382022764324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4.4000000000000004</v>
      </c>
      <c r="EJ105" s="13">
        <f>IF('Données projet'!$A$192&gt;35,EJ104+EI105-ER104,IF(A105&lt;'Données projet'!$A$192,$EG$205^A105,IF(A105='Données projet'!$A$192,'Données projet'!$B$192,EJ104+EI105-ER104)))</f>
        <v>269.80000000000007</v>
      </c>
      <c r="EK105" s="18">
        <f>EJ105*VLOOKUP('Données projet'!$B$15,Paramètres!$A$1:$I$89,3,0)*VLOOKUP('Données projet'!$B$15,Paramètres!$A$1:$I$89,5,0)</f>
        <v>307.24824000000007</v>
      </c>
      <c r="EL105" s="14">
        <f t="shared" si="99"/>
        <v>72.693855285301751</v>
      </c>
      <c r="EM105" s="22">
        <f t="shared" si="73"/>
        <v>661.73248262190066</v>
      </c>
      <c r="EN105" s="60">
        <f t="shared" si="74"/>
        <v>955.06581595523403</v>
      </c>
      <c r="EO105" s="60">
        <f ca="1">AVERAGE(OFFSET($EN$3,0,0,'Données projet'!$E$15+1,1))-AVERAGE(OFFSET($H$3,0,0,'Données projet'!$E$15+1,1))</f>
        <v>457.62828850677369</v>
      </c>
      <c r="EP105" s="60">
        <f t="shared" si="100"/>
        <v>282.78263556175563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4.4000000000000004</v>
      </c>
      <c r="FE105" s="13">
        <f>IF('Données projet'!$A$218&gt;35,FE104+FD105-FM104,IF(A105&lt;'Données projet'!$A$218,$FB$205^A105,IF(A105='Données projet'!$A$218,'Données projet'!$B$218,FE104+FD105-FM104)))</f>
        <v>269.80000000000007</v>
      </c>
      <c r="FF105" s="18">
        <f>FE105*VLOOKUP('Données projet'!$B$16,Paramètres!$A$1:$I$89,3,0)*VLOOKUP('Données projet'!$B$16,Paramètres!$A$1:$I$89,5,0)</f>
        <v>294.62160000000006</v>
      </c>
      <c r="FG105" s="14">
        <f t="shared" si="101"/>
        <v>70.047759860478052</v>
      </c>
      <c r="FH105" s="22">
        <f t="shared" si="76"/>
        <v>635.13246842366596</v>
      </c>
      <c r="FI105" s="60">
        <f t="shared" si="77"/>
        <v>928.46580175699933</v>
      </c>
      <c r="FJ105" s="60">
        <f ca="1">AVERAGE(OFFSET($FI$3,0,0,'Données projet'!$E$16+1,1))-AVERAGE(OFFSET($H$3,0,0,'Données projet'!$E$16+1,1))</f>
        <v>440.52623925652182</v>
      </c>
      <c r="FK105" s="60">
        <f t="shared" si="102"/>
        <v>272.91122662088918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8.5555555555555554</v>
      </c>
      <c r="FZ105" s="13">
        <f>IF('Données projet'!$A$244&gt;35,FZ104+FY105-GH104,IF(A105&lt;'Données projet'!$A$244,$FW$205^A105,IF(A105='Données projet'!$A$244,'Données projet'!$B$244,FZ104+FY105-GH104)))</f>
        <v>331.33333333333371</v>
      </c>
      <c r="GA105" s="18">
        <f>FZ105*VLOOKUP('Données projet'!$B$17,Paramètres!$A$1:$I$89,3,0)*VLOOKUP('Données projet'!$B$17,Paramètres!$A$1:$I$89,5,0)</f>
        <v>155.06400000000016</v>
      </c>
      <c r="GB105" s="14">
        <f t="shared" si="103"/>
        <v>39.727164550120129</v>
      </c>
      <c r="GC105" s="22">
        <f t="shared" si="79"/>
        <v>339.2612782581262</v>
      </c>
      <c r="GD105" s="60">
        <f t="shared" si="80"/>
        <v>632.59461159145951</v>
      </c>
      <c r="GE105" s="60">
        <f ca="1">AVERAGE(OFFSET($GD$3,0,0,'Données projet'!$E$17+1,1))-AVERAGE(OFFSET($H$3,0,0,'Données projet'!$E$17+1,1))</f>
        <v>317.54276561627643</v>
      </c>
      <c r="GF105" s="60">
        <f t="shared" si="104"/>
        <v>238.92443174298893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>
        <f>GU105*VLOOKUP('Données projet'!$B$18,Paramètres!$A$1:$I$89,3,0)*VLOOKUP('Données projet'!$B$18,Paramètres!$A$1:$I$89,5,0)</f>
        <v>0</v>
      </c>
      <c r="GW105" s="14" t="e">
        <f t="shared" si="105"/>
        <v>#NUM!</v>
      </c>
      <c r="GX105" s="22" t="e">
        <f t="shared" si="82"/>
        <v>#NUM!</v>
      </c>
      <c r="GY105" s="60" t="e">
        <f t="shared" si="83"/>
        <v>#NUM!</v>
      </c>
      <c r="GZ105" s="60">
        <f ca="1">AVERAGE(OFFSET($GY$3,0,0,'Données projet'!$E$18+1,1))-AVERAGE(OFFSET($H$3,0,0,'Données projet'!$E$18+1,1))</f>
        <v>79.868679770907136</v>
      </c>
      <c r="HA105" s="60">
        <f t="shared" si="106"/>
        <v>370.47471103028312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14.929846941650938</v>
      </c>
      <c r="HH105" s="23">
        <f>EXP(-LN(2)/25)*HH104+(1-EXP(-LN(2)/25))/(LN(2)/25)*Calculateur!HC105*Calculateur!HE105*VLOOKUP('Données projet'!$B$18,Paramètres!$A$1:$I$89,3,0)*0.475*44/12</f>
        <v>2.0521121201198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16.981959061770738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0">
        <f t="shared" si="55"/>
        <v>293.33333333333439</v>
      </c>
      <c r="S106" s="60">
        <f ca="1">AVERAGE(OFFSET($R$3,0,0,'Données projet'!$E$9+1,1))-AVERAGE(OFFSET($H$3,0,0,'Données projet'!$E$9+1,1))</f>
        <v>206.5885410269899</v>
      </c>
      <c r="T106" s="60">
        <f t="shared" si="88"/>
        <v>347.41156847586302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3.3992364478763198E-14</v>
      </c>
      <c r="AK106" s="14">
        <f t="shared" si="89"/>
        <v>5.790027782444094E-13</v>
      </c>
      <c r="AL106" s="22">
        <f t="shared" si="58"/>
        <v>1.0676332069095257E-12</v>
      </c>
      <c r="AM106" s="60">
        <f t="shared" si="59"/>
        <v>293.33333333333439</v>
      </c>
      <c r="AN106" s="60">
        <f ca="1">AVERAGE(OFFSET($AM$3,0,0,'Données projet'!$E$10+1,1))-AVERAGE(OFFSET($H$3,0,0,'Données projet'!$E$10+1,1))</f>
        <v>206.5885410269899</v>
      </c>
      <c r="AO106" s="60">
        <f t="shared" si="90"/>
        <v>347.41156847586302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25.770013176845996</v>
      </c>
      <c r="AV106" s="23">
        <f>EXP(-LN(2)/25)*AV105+(1-EXP(-LN(2)/25))/(LN(2)/25)*Calculateur!AQ106*Calculateur!AS106*VLOOKUP('Données projet'!$B$10,Paramètres!$A$1:$I$89,3,0)*0.475*44/12</f>
        <v>0.44171166148153079</v>
      </c>
      <c r="AW106" s="23">
        <f>EXP(-LN(2)/2)*AW105+(1-EXP(-LN(2)/2))/(LN(2)/2)*AQ106*AT106*VLOOKUP('Données projet'!$B$10,Paramètres!$A$1:$I$89,3,0)*0.475*44/12</f>
        <v>1.1334360155457316E-8</v>
      </c>
      <c r="AX106" s="23">
        <f t="shared" si="60"/>
        <v>26.211724849661888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274.20000000000005</v>
      </c>
      <c r="BE106" s="14">
        <f>BD106*VLOOKUP('Données projet'!$B$11,Paramètres!$A$1:$I$89,3,0)*VLOOKUP('Données projet'!$B$11,Paramètres!$A$1:$I$89,5,0)</f>
        <v>260.92872000000006</v>
      </c>
      <c r="BF106" s="14">
        <f t="shared" si="91"/>
        <v>62.920302429198031</v>
      </c>
      <c r="BG106" s="22">
        <f t="shared" si="61"/>
        <v>564.03704739752004</v>
      </c>
      <c r="BH106" s="60">
        <f t="shared" si="62"/>
        <v>857.37038073085341</v>
      </c>
      <c r="BI106" s="60">
        <f ca="1">AVERAGE(OFFSET($BH$3,0,0,'Données projet'!$E$11+1,1))-AVERAGE(OFFSET($H$3,0,0,'Données projet'!$E$11+1,1))</f>
        <v>389.12604446638119</v>
      </c>
      <c r="BJ106" s="60">
        <f t="shared" si="92"/>
        <v>243.23852967152732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274.20000000000005</v>
      </c>
      <c r="BZ106" s="14">
        <f>BY106*VLOOKUP('Données projet'!$B$12,Paramètres!$A$1:$I$89,3,0)*VLOOKUP('Données projet'!$B$12,Paramètres!$A$1:$I$89,5,0)</f>
        <v>248.09616</v>
      </c>
      <c r="CA106" s="14">
        <f t="shared" si="93"/>
        <v>60.178080967364686</v>
      </c>
      <c r="CB106" s="22">
        <f t="shared" si="64"/>
        <v>536.91096968482668</v>
      </c>
      <c r="CC106" s="60">
        <f t="shared" si="65"/>
        <v>830.24430301816005</v>
      </c>
      <c r="CD106" s="60">
        <f ca="1">AVERAGE(OFFSET($CC$3,0,0,'Données projet'!$E$12+1,1))-AVERAGE(OFFSET($H$3,0,0,'Données projet'!$E$12+1,1))</f>
        <v>371.95849973474657</v>
      </c>
      <c r="CE106" s="60">
        <f t="shared" si="94"/>
        <v>233.32640143610547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1.9689539044628201E-10</v>
      </c>
      <c r="CN106" s="24">
        <f t="shared" si="66"/>
        <v>1.9689539044628201E-10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274.20000000000005</v>
      </c>
      <c r="CU106" s="18">
        <f>CT106*VLOOKUP('Données projet'!$B$13,Paramètres!$A$1:$I$89,3,0)*VLOOKUP('Données projet'!$B$13,Paramètres!$A$1:$I$89,5,0)</f>
        <v>265.20624000000004</v>
      </c>
      <c r="CV106" s="14">
        <f t="shared" si="95"/>
        <v>63.830854160896443</v>
      </c>
      <c r="CW106" s="22">
        <f t="shared" si="67"/>
        <v>573.07293899689466</v>
      </c>
      <c r="CX106" s="60">
        <f t="shared" si="68"/>
        <v>866.40627233022792</v>
      </c>
      <c r="CY106" s="60">
        <f ca="1">AVERAGE(OFFSET($CX$3,0,0,'Données projet'!$E$13+1,1))-AVERAGE(OFFSET($H$3,0,0,'Données projet'!$E$13+1,1))</f>
        <v>394.8445842828649</v>
      </c>
      <c r="CZ106" s="60">
        <f t="shared" si="96"/>
        <v>246.54010105494143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2.1047438289085331E-10</v>
      </c>
      <c r="DI106" s="24">
        <f t="shared" si="69"/>
        <v>2.1047438289085331E-10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5.6843418860808015E-14</v>
      </c>
      <c r="DP106" s="18">
        <f>DO106*VLOOKUP('Données projet'!$B$14,Paramètres!$A$1:$I$89,3,0)*VLOOKUP('Données projet'!$B$14,Paramètres!$A$1:$I$89,5,0)</f>
        <v>4.9658410716801891E-14</v>
      </c>
      <c r="DQ106" s="14">
        <f t="shared" si="97"/>
        <v>8.0934058173791862E-13</v>
      </c>
      <c r="DR106" s="22">
        <f t="shared" si="70"/>
        <v>1.4960899118586383E-12</v>
      </c>
      <c r="DS106" s="60">
        <f t="shared" si="71"/>
        <v>293.33333333333479</v>
      </c>
      <c r="DT106" s="60">
        <f ca="1">AVERAGE(OFFSET($DS$3,0,0,'Données projet'!$E$14+1,1))-AVERAGE(OFFSET($H$3,0,0,'Données projet'!$E$14+1,1))</f>
        <v>266.98113257513319</v>
      </c>
      <c r="DU106" s="60">
        <f t="shared" si="98"/>
        <v>275.73257102713393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1.4710804999513709</v>
      </c>
      <c r="EC106" s="23">
        <f>EXP(-LN(2)/2)*EC105+(1-EXP(-LN(2)/2))/(LN(2)/2)*DW106*DZ106*VLOOKUP('Données projet'!$B$14,Paramètres!$A$1:$I$89,3,0)*0.475*44/12</f>
        <v>1.0769876381329875E-10</v>
      </c>
      <c r="ED106" s="24">
        <f t="shared" si="72"/>
        <v>1.4710805000590697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4.4000000000000004</v>
      </c>
      <c r="EJ106" s="13">
        <f>IF('Données projet'!$A$192&gt;35,EJ105+EI106-ER105,IF(A106&lt;'Données projet'!$A$192,$EG$205^A106,IF(A106='Données projet'!$A$192,'Données projet'!$B$192,EJ105+EI106-ER105)))</f>
        <v>274.20000000000005</v>
      </c>
      <c r="EK106" s="18">
        <f>EJ106*VLOOKUP('Données projet'!$B$15,Paramètres!$A$1:$I$89,3,0)*VLOOKUP('Données projet'!$B$15,Paramètres!$A$1:$I$89,5,0)</f>
        <v>312.25896000000006</v>
      </c>
      <c r="EL106" s="14">
        <f t="shared" si="99"/>
        <v>73.740391394873711</v>
      </c>
      <c r="EM106" s="22">
        <f t="shared" si="73"/>
        <v>672.28220367940514</v>
      </c>
      <c r="EN106" s="60">
        <f t="shared" si="74"/>
        <v>965.61553701273851</v>
      </c>
      <c r="EO106" s="60">
        <f ca="1">AVERAGE(OFFSET($EN$3,0,0,'Données projet'!$E$15+1,1))-AVERAGE(OFFSET($H$3,0,0,'Données projet'!$E$15+1,1))</f>
        <v>457.62828850677369</v>
      </c>
      <c r="EP106" s="60">
        <f t="shared" si="100"/>
        <v>282.78263556175563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4.4000000000000004</v>
      </c>
      <c r="FE106" s="13">
        <f>IF('Données projet'!$A$218&gt;35,FE105+FD106-FM105,IF(A106&lt;'Données projet'!$A$218,$FB$205^A106,IF(A106='Données projet'!$A$218,'Données projet'!$B$218,FE105+FD106-FM105)))</f>
        <v>274.20000000000005</v>
      </c>
      <c r="FF106" s="18">
        <f>FE106*VLOOKUP('Données projet'!$B$16,Paramètres!$A$1:$I$89,3,0)*VLOOKUP('Données projet'!$B$16,Paramètres!$A$1:$I$89,5,0)</f>
        <v>299.42640000000006</v>
      </c>
      <c r="FG106" s="14">
        <f t="shared" si="101"/>
        <v>71.056201492867757</v>
      </c>
      <c r="FH106" s="22">
        <f t="shared" si="76"/>
        <v>645.25719760007814</v>
      </c>
      <c r="FI106" s="60">
        <f t="shared" si="77"/>
        <v>938.5905309334114</v>
      </c>
      <c r="FJ106" s="60">
        <f ca="1">AVERAGE(OFFSET($FI$3,0,0,'Données projet'!$E$16+1,1))-AVERAGE(OFFSET($H$3,0,0,'Données projet'!$E$16+1,1))</f>
        <v>440.52623925652182</v>
      </c>
      <c r="FK106" s="60">
        <f t="shared" si="102"/>
        <v>272.91122662088918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8.5555555555555554</v>
      </c>
      <c r="FZ106" s="13">
        <f>IF('Données projet'!$A$244&gt;35,FZ105+FY106-GH105,IF(A106&lt;'Données projet'!$A$244,$FW$205^A106,IF(A106='Données projet'!$A$244,'Données projet'!$B$244,FZ105+FY106-GH105)))</f>
        <v>339.88888888888926</v>
      </c>
      <c r="GA106" s="18">
        <f>FZ106*VLOOKUP('Données projet'!$B$17,Paramètres!$A$1:$I$89,3,0)*VLOOKUP('Données projet'!$B$17,Paramètres!$A$1:$I$89,5,0)</f>
        <v>159.06800000000018</v>
      </c>
      <c r="GB106" s="14">
        <f t="shared" si="103"/>
        <v>40.632228784106786</v>
      </c>
      <c r="GC106" s="22">
        <f t="shared" si="79"/>
        <v>347.81123179898628</v>
      </c>
      <c r="GD106" s="60">
        <f t="shared" si="80"/>
        <v>641.1445651323196</v>
      </c>
      <c r="GE106" s="60">
        <f ca="1">AVERAGE(OFFSET($GD$3,0,0,'Données projet'!$E$17+1,1))-AVERAGE(OFFSET($H$3,0,0,'Données projet'!$E$17+1,1))</f>
        <v>317.54276561627643</v>
      </c>
      <c r="GF106" s="60">
        <f t="shared" si="104"/>
        <v>238.92443174298893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>
        <f>GU106*VLOOKUP('Données projet'!$B$18,Paramètres!$A$1:$I$89,3,0)*VLOOKUP('Données projet'!$B$18,Paramètres!$A$1:$I$89,5,0)</f>
        <v>0</v>
      </c>
      <c r="GW106" s="14" t="e">
        <f t="shared" si="105"/>
        <v>#NUM!</v>
      </c>
      <c r="GX106" s="22" t="e">
        <f t="shared" si="82"/>
        <v>#NUM!</v>
      </c>
      <c r="GY106" s="60" t="e">
        <f t="shared" si="83"/>
        <v>#NUM!</v>
      </c>
      <c r="GZ106" s="60">
        <f ca="1">AVERAGE(OFFSET($GY$3,0,0,'Données projet'!$E$18+1,1))-AVERAGE(OFFSET($H$3,0,0,'Données projet'!$E$18+1,1))</f>
        <v>79.868679770907136</v>
      </c>
      <c r="HA106" s="60">
        <f t="shared" si="106"/>
        <v>370.47471103028312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14.637081749432625</v>
      </c>
      <c r="HH106" s="23">
        <f>EXP(-LN(2)/25)*HH105+(1-EXP(-LN(2)/25))/(LN(2)/25)*Calculateur!HC106*Calculateur!HE106*VLOOKUP('Données projet'!$B$18,Paramètres!$A$1:$I$89,3,0)*0.475*44/12</f>
        <v>1.9959970062792378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16.633078755711864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0">
        <f t="shared" si="55"/>
        <v>293.33333333333439</v>
      </c>
      <c r="S107" s="60">
        <f ca="1">AVERAGE(OFFSET($R$3,0,0,'Données projet'!$E$9+1,1))-AVERAGE(OFFSET($H$3,0,0,'Données projet'!$E$9+1,1))</f>
        <v>206.5885410269899</v>
      </c>
      <c r="T107" s="60">
        <f t="shared" si="88"/>
        <v>347.41156847586302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3.3992364478763198E-14</v>
      </c>
      <c r="AK107" s="14">
        <f t="shared" si="89"/>
        <v>5.790027782444094E-13</v>
      </c>
      <c r="AL107" s="22">
        <f t="shared" si="58"/>
        <v>1.0676332069095257E-12</v>
      </c>
      <c r="AM107" s="60">
        <f t="shared" si="59"/>
        <v>293.33333333333439</v>
      </c>
      <c r="AN107" s="60">
        <f ca="1">AVERAGE(OFFSET($AM$3,0,0,'Données projet'!$E$10+1,1))-AVERAGE(OFFSET($H$3,0,0,'Données projet'!$E$10+1,1))</f>
        <v>206.5885410269899</v>
      </c>
      <c r="AO107" s="60">
        <f t="shared" si="90"/>
        <v>347.41156847586302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25.264678936604046</v>
      </c>
      <c r="AV107" s="23">
        <f>EXP(-LN(2)/25)*AV106+(1-EXP(-LN(2)/25))/(LN(2)/25)*Calculateur!AQ107*Calculateur!AS107*VLOOKUP('Données projet'!$B$10,Paramètres!$A$1:$I$89,3,0)*0.475*44/12</f>
        <v>0.42963303286971161</v>
      </c>
      <c r="AW107" s="23">
        <f>EXP(-LN(2)/2)*AW106+(1-EXP(-LN(2)/2))/(LN(2)/2)*AQ107*AT107*VLOOKUP('Données projet'!$B$10,Paramètres!$A$1:$I$89,3,0)*0.475*44/12</f>
        <v>8.0146029263344794E-9</v>
      </c>
      <c r="AX107" s="23">
        <f t="shared" si="60"/>
        <v>25.694311977488361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278.60000000000002</v>
      </c>
      <c r="BE107" s="14">
        <f>BD107*VLOOKUP('Données projet'!$B$11,Paramètres!$A$1:$I$89,3,0)*VLOOKUP('Données projet'!$B$11,Paramètres!$A$1:$I$89,5,0)</f>
        <v>265.11576000000002</v>
      </c>
      <c r="BF107" s="14">
        <f t="shared" si="91"/>
        <v>63.811611556951746</v>
      </c>
      <c r="BG107" s="22">
        <f t="shared" si="61"/>
        <v>572.88183879502435</v>
      </c>
      <c r="BH107" s="60">
        <f t="shared" si="62"/>
        <v>866.21517212835761</v>
      </c>
      <c r="BI107" s="60">
        <f ca="1">AVERAGE(OFFSET($BH$3,0,0,'Données projet'!$E$11+1,1))-AVERAGE(OFFSET($H$3,0,0,'Données projet'!$E$11+1,1))</f>
        <v>389.12604446638119</v>
      </c>
      <c r="BJ107" s="60">
        <f t="shared" si="92"/>
        <v>243.23852967152732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278.60000000000002</v>
      </c>
      <c r="BZ107" s="14">
        <f>BY107*VLOOKUP('Données projet'!$B$12,Paramètres!$A$1:$I$89,3,0)*VLOOKUP('Données projet'!$B$12,Paramètres!$A$1:$I$89,5,0)</f>
        <v>252.07728</v>
      </c>
      <c r="CA107" s="14">
        <f t="shared" si="93"/>
        <v>61.030544652154987</v>
      </c>
      <c r="CB107" s="22">
        <f t="shared" si="64"/>
        <v>545.32946126916988</v>
      </c>
      <c r="CC107" s="60">
        <f t="shared" si="65"/>
        <v>838.66279460250325</v>
      </c>
      <c r="CD107" s="60">
        <f ca="1">AVERAGE(OFFSET($CC$3,0,0,'Données projet'!$E$12+1,1))-AVERAGE(OFFSET($H$3,0,0,'Données projet'!$E$12+1,1))</f>
        <v>371.95849973474657</v>
      </c>
      <c r="CE107" s="60">
        <f t="shared" si="94"/>
        <v>233.32640143610547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1.3922606576893897E-10</v>
      </c>
      <c r="CN107" s="24">
        <f t="shared" si="66"/>
        <v>1.3922606576893897E-10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278.60000000000002</v>
      </c>
      <c r="CU107" s="18">
        <f>CT107*VLOOKUP('Données projet'!$B$13,Paramètres!$A$1:$I$89,3,0)*VLOOKUP('Données projet'!$B$13,Paramètres!$A$1:$I$89,5,0)</f>
        <v>269.46192000000002</v>
      </c>
      <c r="CV107" s="14">
        <f t="shared" si="95"/>
        <v>64.735061876839112</v>
      </c>
      <c r="CW107" s="22">
        <f t="shared" si="67"/>
        <v>582.05974343549485</v>
      </c>
      <c r="CX107" s="60">
        <f t="shared" si="68"/>
        <v>875.39307676882822</v>
      </c>
      <c r="CY107" s="60">
        <f ca="1">AVERAGE(OFFSET($CX$3,0,0,'Données projet'!$E$13+1,1))-AVERAGE(OFFSET($H$3,0,0,'Données projet'!$E$13+1,1))</f>
        <v>394.8445842828649</v>
      </c>
      <c r="CZ107" s="60">
        <f t="shared" si="96"/>
        <v>246.54010105494143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1.4882786340817623E-10</v>
      </c>
      <c r="DI107" s="24">
        <f t="shared" si="69"/>
        <v>1.4882786340817623E-10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5.6843418860808015E-14</v>
      </c>
      <c r="DP107" s="18">
        <f>DO107*VLOOKUP('Données projet'!$B$14,Paramètres!$A$1:$I$89,3,0)*VLOOKUP('Données projet'!$B$14,Paramètres!$A$1:$I$89,5,0)</f>
        <v>4.9658410716801891E-14</v>
      </c>
      <c r="DQ107" s="14">
        <f t="shared" si="97"/>
        <v>8.0934058173791862E-13</v>
      </c>
      <c r="DR107" s="22">
        <f t="shared" si="70"/>
        <v>1.4960899118586383E-12</v>
      </c>
      <c r="DS107" s="60">
        <f t="shared" si="71"/>
        <v>293.33333333333479</v>
      </c>
      <c r="DT107" s="60">
        <f ca="1">AVERAGE(OFFSET($DS$3,0,0,'Données projet'!$E$14+1,1))-AVERAGE(OFFSET($H$3,0,0,'Données projet'!$E$14+1,1))</f>
        <v>266.98113257513319</v>
      </c>
      <c r="DU107" s="60">
        <f t="shared" si="98"/>
        <v>275.73257102713393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1.4308537263194394</v>
      </c>
      <c r="EC107" s="23">
        <f>EXP(-LN(2)/2)*EC106+(1-EXP(-LN(2)/2))/(LN(2)/2)*DW107*DZ107*VLOOKUP('Données projet'!$B$14,Paramètres!$A$1:$I$89,3,0)*0.475*44/12</f>
        <v>7.6154526217791904E-11</v>
      </c>
      <c r="ED107" s="24">
        <f t="shared" si="72"/>
        <v>1.4308537263955938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4.4000000000000004</v>
      </c>
      <c r="EJ107" s="13">
        <f>IF('Données projet'!$A$192&gt;35,EJ106+EI107-ER106,IF(A107&lt;'Données projet'!$A$192,$EG$205^A107,IF(A107='Données projet'!$A$192,'Données projet'!$B$192,EJ106+EI107-ER106)))</f>
        <v>278.60000000000002</v>
      </c>
      <c r="EK107" s="18">
        <f>EJ107*VLOOKUP('Données projet'!$B$15,Paramètres!$A$1:$I$89,3,0)*VLOOKUP('Données projet'!$B$15,Paramètres!$A$1:$I$89,5,0)</f>
        <v>317.26968000000005</v>
      </c>
      <c r="EL107" s="14">
        <f t="shared" si="99"/>
        <v>74.784974484860228</v>
      </c>
      <c r="EM107" s="22">
        <f t="shared" si="73"/>
        <v>682.82852322779843</v>
      </c>
      <c r="EN107" s="60">
        <f t="shared" si="74"/>
        <v>976.1618565611318</v>
      </c>
      <c r="EO107" s="60">
        <f ca="1">AVERAGE(OFFSET($EN$3,0,0,'Données projet'!$E$15+1,1))-AVERAGE(OFFSET($H$3,0,0,'Données projet'!$E$15+1,1))</f>
        <v>457.62828850677369</v>
      </c>
      <c r="EP107" s="60">
        <f t="shared" si="100"/>
        <v>282.78263556175563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4.4000000000000004</v>
      </c>
      <c r="FE107" s="13">
        <f>IF('Données projet'!$A$218&gt;35,FE106+FD107-FM106,IF(A107&lt;'Données projet'!$A$218,$FB$205^A107,IF(A107='Données projet'!$A$218,'Données projet'!$B$218,FE106+FD107-FM106)))</f>
        <v>278.60000000000002</v>
      </c>
      <c r="FF107" s="18">
        <f>FE107*VLOOKUP('Données projet'!$B$16,Paramètres!$A$1:$I$89,3,0)*VLOOKUP('Données projet'!$B$16,Paramètres!$A$1:$I$89,5,0)</f>
        <v>304.2312</v>
      </c>
      <c r="FG107" s="14">
        <f t="shared" si="101"/>
        <v>72.062761196635407</v>
      </c>
      <c r="FH107" s="22">
        <f t="shared" si="76"/>
        <v>655.37864908413997</v>
      </c>
      <c r="FI107" s="60">
        <f t="shared" si="77"/>
        <v>948.71198241747334</v>
      </c>
      <c r="FJ107" s="60">
        <f ca="1">AVERAGE(OFFSET($FI$3,0,0,'Données projet'!$E$16+1,1))-AVERAGE(OFFSET($H$3,0,0,'Données projet'!$E$16+1,1))</f>
        <v>440.52623925652182</v>
      </c>
      <c r="FK107" s="60">
        <f t="shared" si="102"/>
        <v>272.91122662088918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8.5555555555555554</v>
      </c>
      <c r="FZ107" s="13">
        <f>IF('Données projet'!$A$244&gt;35,FZ106+FY107-GH106,IF(A107&lt;'Données projet'!$A$244,$FW$205^A107,IF(A107='Données projet'!$A$244,'Données projet'!$B$244,FZ106+FY107-GH106)))</f>
        <v>348.4444444444448</v>
      </c>
      <c r="GA107" s="18">
        <f>FZ107*VLOOKUP('Données projet'!$B$17,Paramètres!$A$1:$I$89,3,0)*VLOOKUP('Données projet'!$B$17,Paramètres!$A$1:$I$89,5,0)</f>
        <v>163.07200000000017</v>
      </c>
      <c r="GB107" s="14">
        <f t="shared" si="103"/>
        <v>41.53464478614341</v>
      </c>
      <c r="GC107" s="22">
        <f t="shared" si="79"/>
        <v>356.35657300253342</v>
      </c>
      <c r="GD107" s="60">
        <f t="shared" si="80"/>
        <v>649.68990633586668</v>
      </c>
      <c r="GE107" s="60">
        <f ca="1">AVERAGE(OFFSET($GD$3,0,0,'Données projet'!$E$17+1,1))-AVERAGE(OFFSET($H$3,0,0,'Données projet'!$E$17+1,1))</f>
        <v>317.54276561627643</v>
      </c>
      <c r="GF107" s="60">
        <f t="shared" si="104"/>
        <v>238.92443174298893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>
        <f>GU107*VLOOKUP('Données projet'!$B$18,Paramètres!$A$1:$I$89,3,0)*VLOOKUP('Données projet'!$B$18,Paramètres!$A$1:$I$89,5,0)</f>
        <v>0</v>
      </c>
      <c r="GW107" s="14" t="e">
        <f t="shared" si="105"/>
        <v>#NUM!</v>
      </c>
      <c r="GX107" s="22" t="e">
        <f t="shared" si="82"/>
        <v>#NUM!</v>
      </c>
      <c r="GY107" s="60" t="e">
        <f t="shared" si="83"/>
        <v>#NUM!</v>
      </c>
      <c r="GZ107" s="60">
        <f ca="1">AVERAGE(OFFSET($GY$3,0,0,'Données projet'!$E$18+1,1))-AVERAGE(OFFSET($H$3,0,0,'Données projet'!$E$18+1,1))</f>
        <v>79.868679770907136</v>
      </c>
      <c r="HA107" s="60">
        <f t="shared" si="106"/>
        <v>370.47471103028312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14.350057504064576</v>
      </c>
      <c r="HH107" s="23">
        <f>EXP(-LN(2)/25)*HH106+(1-EXP(-LN(2)/25))/(LN(2)/25)*Calculateur!HC107*Calculateur!HE107*VLOOKUP('Données projet'!$B$18,Paramètres!$A$1:$I$89,3,0)*0.475*44/12</f>
        <v>1.9414163631776113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16.291473867242189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0">
        <f t="shared" si="55"/>
        <v>293.33333333333439</v>
      </c>
      <c r="S108" s="60">
        <f ca="1">AVERAGE(OFFSET($R$3,0,0,'Données projet'!$E$9+1,1))-AVERAGE(OFFSET($H$3,0,0,'Données projet'!$E$9+1,1))</f>
        <v>206.5885410269899</v>
      </c>
      <c r="T108" s="60">
        <f t="shared" si="88"/>
        <v>347.41156847586302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3.3992364478763198E-14</v>
      </c>
      <c r="AK108" s="14">
        <f t="shared" si="89"/>
        <v>5.790027782444094E-13</v>
      </c>
      <c r="AL108" s="22">
        <f t="shared" si="58"/>
        <v>1.0676332069095257E-12</v>
      </c>
      <c r="AM108" s="60">
        <f t="shared" si="59"/>
        <v>293.33333333333439</v>
      </c>
      <c r="AN108" s="60">
        <f ca="1">AVERAGE(OFFSET($AM$3,0,0,'Données projet'!$E$10+1,1))-AVERAGE(OFFSET($H$3,0,0,'Données projet'!$E$10+1,1))</f>
        <v>206.5885410269899</v>
      </c>
      <c r="AO108" s="60">
        <f t="shared" si="90"/>
        <v>347.41156847586302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24.769253992589789</v>
      </c>
      <c r="AV108" s="23">
        <f>EXP(-LN(2)/25)*AV107+(1-EXP(-LN(2)/25))/(LN(2)/25)*Calculateur!AQ108*Calculateur!AS108*VLOOKUP('Données projet'!$B$10,Paramètres!$A$1:$I$89,3,0)*0.475*44/12</f>
        <v>0.41788469499247011</v>
      </c>
      <c r="AW108" s="23">
        <f>EXP(-LN(2)/2)*AW107+(1-EXP(-LN(2)/2))/(LN(2)/2)*AQ108*AT108*VLOOKUP('Données projet'!$B$10,Paramètres!$A$1:$I$89,3,0)*0.475*44/12</f>
        <v>5.6671800777286582E-9</v>
      </c>
      <c r="AX108" s="23">
        <f t="shared" si="60"/>
        <v>25.187138693249437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283</v>
      </c>
      <c r="BB108" s="13">
        <f>VLOOKUP(A108,'Données projet'!$A$87:$I$107,9,0)</f>
        <v>4.4000000000000004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283</v>
      </c>
      <c r="BE108" s="14">
        <f>BD108*VLOOKUP('Données projet'!$B$11,Paramètres!$A$1:$I$89,3,0)*VLOOKUP('Données projet'!$B$11,Paramètres!$A$1:$I$89,5,0)</f>
        <v>269.30279999999999</v>
      </c>
      <c r="BF108" s="14">
        <f t="shared" si="91"/>
        <v>64.70128359355995</v>
      </c>
      <c r="BG108" s="22">
        <f t="shared" si="61"/>
        <v>581.72377892545023</v>
      </c>
      <c r="BH108" s="60">
        <f t="shared" si="62"/>
        <v>875.05711225878349</v>
      </c>
      <c r="BI108" s="60">
        <f ca="1">AVERAGE(OFFSET($BH$3,0,0,'Données projet'!$E$11+1,1))-AVERAGE(OFFSET($H$3,0,0,'Données projet'!$E$11+1,1))</f>
        <v>389.12604446638119</v>
      </c>
      <c r="BJ108" s="60">
        <f t="shared" si="92"/>
        <v>243.23852967152732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283</v>
      </c>
      <c r="BW108" s="13">
        <f>VLOOKUP(A108,'Données projet'!$A$113:$I$133,9,0)</f>
        <v>4.4000000000000004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283</v>
      </c>
      <c r="BZ108" s="14">
        <f>BY108*VLOOKUP('Données projet'!$B$12,Paramètres!$A$1:$I$89,3,0)*VLOOKUP('Données projet'!$B$12,Paramètres!$A$1:$I$89,5,0)</f>
        <v>256.05840000000001</v>
      </c>
      <c r="CA108" s="14">
        <f t="shared" si="93"/>
        <v>61.881442594256484</v>
      </c>
      <c r="CB108" s="22">
        <f t="shared" si="64"/>
        <v>553.74522585166335</v>
      </c>
      <c r="CC108" s="60">
        <f t="shared" si="65"/>
        <v>847.07855918499672</v>
      </c>
      <c r="CD108" s="60">
        <f ca="1">AVERAGE(OFFSET($CC$3,0,0,'Données projet'!$E$12+1,1))-AVERAGE(OFFSET($H$3,0,0,'Données projet'!$E$12+1,1))</f>
        <v>371.95849973474657</v>
      </c>
      <c r="CE108" s="60">
        <f t="shared" si="94"/>
        <v>233.32640143610547</v>
      </c>
      <c r="CF108" s="16">
        <f>IF(ISNA(VLOOKUP(A108,'Données projet'!$A$113:$I$133,3,0)),0,VLOOKUP(A108,'Données projet'!$A$113:$I$133,3,0))</f>
        <v>17</v>
      </c>
      <c r="CG108" s="16">
        <f>IF(ISNA(VLOOKUP(A108,'Données projet'!$A$113:$I$133,4,0)),0,VLOOKUP(A108,'Données projet'!$A$113:$I$133,4,0))</f>
        <v>20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9.8447695223141005E-11</v>
      </c>
      <c r="CN108" s="24">
        <f t="shared" si="66"/>
        <v>9.8447695223141005E-11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283</v>
      </c>
      <c r="CR108" s="13">
        <f>VLOOKUP(A108,'Données projet'!$A$139:$I$159,9,0)</f>
        <v>4.4000000000000004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283</v>
      </c>
      <c r="CU108" s="18">
        <f>CT108*VLOOKUP('Données projet'!$B$13,Paramètres!$A$1:$I$89,3,0)*VLOOKUP('Données projet'!$B$13,Paramètres!$A$1:$I$89,5,0)</f>
        <v>273.7176</v>
      </c>
      <c r="CV108" s="14">
        <f t="shared" si="95"/>
        <v>65.637608810456669</v>
      </c>
      <c r="CW108" s="22">
        <f t="shared" si="67"/>
        <v>591.04365534487874</v>
      </c>
      <c r="CX108" s="60">
        <f t="shared" si="68"/>
        <v>884.376988678212</v>
      </c>
      <c r="CY108" s="60">
        <f ca="1">AVERAGE(OFFSET($CX$3,0,0,'Données projet'!$E$13+1,1))-AVERAGE(OFFSET($H$3,0,0,'Données projet'!$E$13+1,1))</f>
        <v>394.8445842828649</v>
      </c>
      <c r="CZ108" s="60">
        <f t="shared" si="96"/>
        <v>246.54010105494143</v>
      </c>
      <c r="DA108" s="16">
        <f>IF(ISNA(VLOOKUP(A108,'Données projet'!$A$139:$I$159,3,0)),0,VLOOKUP(A108,'Données projet'!$A$139:$I$159,3,0))</f>
        <v>17</v>
      </c>
      <c r="DB108" s="16">
        <f>IF(ISNA(VLOOKUP(A108,'Données projet'!$A$139:$I$159,4,0)),0,VLOOKUP(A108,'Données projet'!$A$139:$I$159,4,0))</f>
        <v>20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1.0523719144542666E-10</v>
      </c>
      <c r="DI108" s="24">
        <f t="shared" si="69"/>
        <v>1.0523719144542666E-10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5.6843418860808015E-14</v>
      </c>
      <c r="DP108" s="18">
        <f>DO108*VLOOKUP('Données projet'!$B$14,Paramètres!$A$1:$I$89,3,0)*VLOOKUP('Données projet'!$B$14,Paramètres!$A$1:$I$89,5,0)</f>
        <v>4.9658410716801891E-14</v>
      </c>
      <c r="DQ108" s="14">
        <f t="shared" si="97"/>
        <v>8.0934058173791862E-13</v>
      </c>
      <c r="DR108" s="22">
        <f t="shared" si="70"/>
        <v>1.4960899118586383E-12</v>
      </c>
      <c r="DS108" s="60">
        <f t="shared" si="71"/>
        <v>293.33333333333479</v>
      </c>
      <c r="DT108" s="60">
        <f ca="1">AVERAGE(OFFSET($DS$3,0,0,'Données projet'!$E$14+1,1))-AVERAGE(OFFSET($H$3,0,0,'Données projet'!$E$14+1,1))</f>
        <v>266.98113257513319</v>
      </c>
      <c r="DU108" s="60">
        <f t="shared" si="98"/>
        <v>275.73257102713393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1.3917269559279071</v>
      </c>
      <c r="EC108" s="23">
        <f>EXP(-LN(2)/2)*EC107+(1-EXP(-LN(2)/2))/(LN(2)/2)*DW108*DZ108*VLOOKUP('Données projet'!$B$14,Paramètres!$A$1:$I$89,3,0)*0.475*44/12</f>
        <v>5.3849381906649377E-11</v>
      </c>
      <c r="ED108" s="24">
        <f t="shared" si="72"/>
        <v>1.3917269559817564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283</v>
      </c>
      <c r="EH108" s="13">
        <f>VLOOKUP(A108,'Données projet'!$A$191:$I$211,9,0)</f>
        <v>4.4000000000000004</v>
      </c>
      <c r="EI108" s="13">
        <f t="array" ref="EI108">INDEX(EH:EH,MIN(IF(ISNUMBER(EH108:EH304),ROW(EH108:EH304),"")))</f>
        <v>4.4000000000000004</v>
      </c>
      <c r="EJ108" s="13">
        <f>IF('Données projet'!$A$192&gt;35,EJ107+EI108-ER107,IF(A108&lt;'Données projet'!$A$192,$EG$205^A108,IF(A108='Données projet'!$A$192,'Données projet'!$B$192,EJ107+EI108-ER107)))</f>
        <v>283</v>
      </c>
      <c r="EK108" s="18">
        <f>EJ108*VLOOKUP('Données projet'!$B$15,Paramètres!$A$1:$I$89,3,0)*VLOOKUP('Données projet'!$B$15,Paramètres!$A$1:$I$89,5,0)</f>
        <v>322.28040000000004</v>
      </c>
      <c r="EL108" s="14">
        <f t="shared" si="99"/>
        <v>75.827638961344363</v>
      </c>
      <c r="EM108" s="22">
        <f t="shared" si="73"/>
        <v>693.37150119100806</v>
      </c>
      <c r="EN108" s="60">
        <f t="shared" si="74"/>
        <v>986.70483452434132</v>
      </c>
      <c r="EO108" s="60">
        <f ca="1">AVERAGE(OFFSET($EN$3,0,0,'Données projet'!$E$15+1,1))-AVERAGE(OFFSET($H$3,0,0,'Données projet'!$E$15+1,1))</f>
        <v>457.62828850677369</v>
      </c>
      <c r="EP108" s="60">
        <f t="shared" si="100"/>
        <v>282.78263556175563</v>
      </c>
      <c r="EQ108" s="16">
        <f>IF(ISNA(VLOOKUP(A108,'Données projet'!$A$191:$I$211,3,0)),0,VLOOKUP(A108,'Données projet'!$A$191:$I$211,3,0))</f>
        <v>17</v>
      </c>
      <c r="ER108" s="16">
        <f>IF(ISNA(VLOOKUP(A108,'Données projet'!$A$191:$I$211,4,0)),0,VLOOKUP(A108,'Données projet'!$A$191:$I$211,4,0))</f>
        <v>20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>
        <f>VLOOKUP(A108,'Données projet'!$A$217:$I$237,2,0)</f>
        <v>283</v>
      </c>
      <c r="FC108" s="13">
        <f>VLOOKUP(A108,'Données projet'!$A$217:$I$237,9,0)</f>
        <v>4.4000000000000004</v>
      </c>
      <c r="FD108" s="13">
        <f t="array" ref="FD108">INDEX(FC:FC,MIN(IF(ISNUMBER(FC108:FC304),ROW(FC108:FC304),"")))</f>
        <v>4.4000000000000004</v>
      </c>
      <c r="FE108" s="13">
        <f>IF('Données projet'!$A$218&gt;35,FE107+FD108-FM107,IF(A108&lt;'Données projet'!$A$218,$FB$205^A108,IF(A108='Données projet'!$A$218,'Données projet'!$B$218,FE107+FD108-FM107)))</f>
        <v>283</v>
      </c>
      <c r="FF108" s="18">
        <f>FE108*VLOOKUP('Données projet'!$B$16,Paramètres!$A$1:$I$89,3,0)*VLOOKUP('Données projet'!$B$16,Paramètres!$A$1:$I$89,5,0)</f>
        <v>309.036</v>
      </c>
      <c r="FG108" s="14">
        <f t="shared" si="101"/>
        <v>73.067472125463723</v>
      </c>
      <c r="FH108" s="22">
        <f t="shared" si="76"/>
        <v>665.496880618516</v>
      </c>
      <c r="FI108" s="60">
        <f t="shared" si="77"/>
        <v>958.83021395184937</v>
      </c>
      <c r="FJ108" s="60">
        <f ca="1">AVERAGE(OFFSET($FI$3,0,0,'Données projet'!$E$16+1,1))-AVERAGE(OFFSET($H$3,0,0,'Données projet'!$E$16+1,1))</f>
        <v>440.52623925652182</v>
      </c>
      <c r="FK108" s="60">
        <f t="shared" si="102"/>
        <v>272.91122662088918</v>
      </c>
      <c r="FL108" s="16">
        <f>IF(ISNA(VLOOKUP(A108,'Données projet'!$A$217:$I$237,3,0)),0,VLOOKUP(A108,'Données projet'!$A$217:$I$237,3,0))</f>
        <v>17</v>
      </c>
      <c r="FM108" s="16">
        <f>IF(ISNA(VLOOKUP(A108,'Données projet'!$A$217:$I$237,4,0)),0,VLOOKUP(A108,'Données projet'!$A$217:$I$237,4,0))</f>
        <v>20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>
        <f>VLOOKUP(A108,'Données projet'!$A$243:$I$263,2,0)</f>
        <v>357</v>
      </c>
      <c r="FX108" s="13">
        <f>VLOOKUP(A108,'Données projet'!$A$243:$I$263,9,0)</f>
        <v>8.5555555555555554</v>
      </c>
      <c r="FY108" s="13">
        <f t="array" ref="FY108">INDEX(FX:FX,MIN(IF(ISNUMBER(FX108:FX304),ROW(FX108:FX304),"")))</f>
        <v>8.5555555555555554</v>
      </c>
      <c r="FZ108" s="13">
        <f>IF('Données projet'!$A$244&gt;35,FZ107+FY108-GH107,IF(A108&lt;'Données projet'!$A$244,$FW$205^A108,IF(A108='Données projet'!$A$244,'Données projet'!$B$244,FZ107+FY108-GH107)))</f>
        <v>357.00000000000034</v>
      </c>
      <c r="GA108" s="18">
        <f>FZ108*VLOOKUP('Données projet'!$B$17,Paramètres!$A$1:$I$89,3,0)*VLOOKUP('Données projet'!$B$17,Paramètres!$A$1:$I$89,5,0)</f>
        <v>167.07600000000016</v>
      </c>
      <c r="GB108" s="14">
        <f t="shared" si="103"/>
        <v>42.434485059621714</v>
      </c>
      <c r="GC108" s="22">
        <f t="shared" si="79"/>
        <v>364.89742814550806</v>
      </c>
      <c r="GD108" s="60">
        <f t="shared" si="80"/>
        <v>658.23076147884137</v>
      </c>
      <c r="GE108" s="60">
        <f ca="1">AVERAGE(OFFSET($GD$3,0,0,'Données projet'!$E$17+1,1))-AVERAGE(OFFSET($H$3,0,0,'Données projet'!$E$17+1,1))</f>
        <v>317.54276561627643</v>
      </c>
      <c r="GF108" s="60">
        <f t="shared" si="104"/>
        <v>238.92443174298893</v>
      </c>
      <c r="GG108" s="16">
        <f>IF(ISNA(VLOOKUP(A108,'Données projet'!$A$243:$I$263,3,0)),0,VLOOKUP(A108,'Données projet'!$A$243:$I$263,3,0))</f>
        <v>20</v>
      </c>
      <c r="GH108" s="16">
        <f>IF(ISNA(VLOOKUP(A108,'Données projet'!$A$243:$I$263,4,0)),0,VLOOKUP(A108,'Données projet'!$A$243:$I$263,4,0))</f>
        <v>357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>
        <f>GU108*VLOOKUP('Données projet'!$B$18,Paramètres!$A$1:$I$89,3,0)*VLOOKUP('Données projet'!$B$18,Paramètres!$A$1:$I$89,5,0)</f>
        <v>0</v>
      </c>
      <c r="GW108" s="14" t="e">
        <f t="shared" si="105"/>
        <v>#NUM!</v>
      </c>
      <c r="GX108" s="22" t="e">
        <f t="shared" si="82"/>
        <v>#NUM!</v>
      </c>
      <c r="GY108" s="60" t="e">
        <f t="shared" si="83"/>
        <v>#NUM!</v>
      </c>
      <c r="GZ108" s="60">
        <f ca="1">AVERAGE(OFFSET($GY$3,0,0,'Données projet'!$E$18+1,1))-AVERAGE(OFFSET($H$3,0,0,'Données projet'!$E$18+1,1))</f>
        <v>79.868679770907136</v>
      </c>
      <c r="HA108" s="60">
        <f t="shared" si="106"/>
        <v>370.47471103028312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14.068661629080694</v>
      </c>
      <c r="HH108" s="23">
        <f>EXP(-LN(2)/25)*HH107+(1-EXP(-LN(2)/25))/(LN(2)/25)*Calculateur!HC108*Calculateur!HE108*VLOOKUP('Données projet'!$B$18,Paramètres!$A$1:$I$89,3,0)*0.475*44/12</f>
        <v>1.8883282306318703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15.956989859712564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0">
        <f t="shared" si="55"/>
        <v>293.33333333333439</v>
      </c>
      <c r="S109" s="60">
        <f ca="1">AVERAGE(OFFSET($R$3,0,0,'Données projet'!$E$9+1,1))-AVERAGE(OFFSET($H$3,0,0,'Données projet'!$E$9+1,1))</f>
        <v>206.5885410269899</v>
      </c>
      <c r="T109" s="60">
        <f t="shared" si="88"/>
        <v>347.41156847586302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3.3992364478763198E-14</v>
      </c>
      <c r="AK109" s="14">
        <f t="shared" si="89"/>
        <v>5.790027782444094E-13</v>
      </c>
      <c r="AL109" s="22">
        <f t="shared" si="58"/>
        <v>1.0676332069095257E-12</v>
      </c>
      <c r="AM109" s="60">
        <f t="shared" si="59"/>
        <v>293.33333333333439</v>
      </c>
      <c r="AN109" s="60">
        <f ca="1">AVERAGE(OFFSET($AM$3,0,0,'Données projet'!$E$10+1,1))-AVERAGE(OFFSET($H$3,0,0,'Données projet'!$E$10+1,1))</f>
        <v>206.5885410269899</v>
      </c>
      <c r="AO109" s="60">
        <f t="shared" si="90"/>
        <v>347.41156847586302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24.283544029548271</v>
      </c>
      <c r="AV109" s="23">
        <f>EXP(-LN(2)/25)*AV108+(1-EXP(-LN(2)/25))/(LN(2)/25)*Calculateur!AQ109*Calculateur!AS109*VLOOKUP('Données projet'!$B$10,Paramètres!$A$1:$I$89,3,0)*0.475*44/12</f>
        <v>0.40645761603230002</v>
      </c>
      <c r="AW109" s="23">
        <f>EXP(-LN(2)/2)*AW108+(1-EXP(-LN(2)/2))/(LN(2)/2)*AQ109*AT109*VLOOKUP('Données projet'!$B$10,Paramètres!$A$1:$I$89,3,0)*0.475*44/12</f>
        <v>4.0073014631672397E-9</v>
      </c>
      <c r="AX109" s="23">
        <f t="shared" si="60"/>
        <v>24.69000164958787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267.2</v>
      </c>
      <c r="BE109" s="14">
        <f>BD109*VLOOKUP('Données projet'!$B$11,Paramètres!$A$1:$I$89,3,0)*VLOOKUP('Données projet'!$B$11,Paramètres!$A$1:$I$89,5,0)</f>
        <v>254.26751999999999</v>
      </c>
      <c r="BF109" s="14">
        <f t="shared" si="91"/>
        <v>61.498863881116201</v>
      </c>
      <c r="BG109" s="22">
        <f t="shared" si="61"/>
        <v>549.95978525961073</v>
      </c>
      <c r="BH109" s="60">
        <f t="shared" si="62"/>
        <v>843.29311859294398</v>
      </c>
      <c r="BI109" s="60">
        <f ca="1">AVERAGE(OFFSET($BH$3,0,0,'Données projet'!$E$11+1,1))-AVERAGE(OFFSET($H$3,0,0,'Données projet'!$E$11+1,1))</f>
        <v>389.12604446638119</v>
      </c>
      <c r="BJ109" s="60">
        <f t="shared" si="92"/>
        <v>243.23852967152732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4.2</v>
      </c>
      <c r="BY109" s="13">
        <f>IF('Données projet'!$A$114&gt;35,BY108+BX109-CG108,IF(A109&lt;'Données projet'!$A$114,$BV$205^A109,IF(A109='Données projet'!$A$114,'Données projet'!$B$114,BY108+BX109-CG108)))</f>
        <v>267.2</v>
      </c>
      <c r="BZ109" s="14">
        <f>BY109*VLOOKUP('Données projet'!$B$12,Paramètres!$A$1:$I$89,3,0)*VLOOKUP('Données projet'!$B$12,Paramètres!$A$1:$I$89,5,0)</f>
        <v>241.76255999999995</v>
      </c>
      <c r="CA109" s="14">
        <f t="shared" si="93"/>
        <v>58.818592205643363</v>
      </c>
      <c r="CB109" s="22">
        <f t="shared" si="64"/>
        <v>523.5121734248288</v>
      </c>
      <c r="CC109" s="60">
        <f t="shared" si="65"/>
        <v>816.84550675816217</v>
      </c>
      <c r="CD109" s="60">
        <f ca="1">AVERAGE(OFFSET($CC$3,0,0,'Données projet'!$E$12+1,1))-AVERAGE(OFFSET($H$3,0,0,'Données projet'!$E$12+1,1))</f>
        <v>371.95849973474657</v>
      </c>
      <c r="CE109" s="60">
        <f t="shared" si="94"/>
        <v>233.32640143610547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6.9613032884469486E-11</v>
      </c>
      <c r="CN109" s="24">
        <f t="shared" si="66"/>
        <v>6.9613032884469486E-11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4.2</v>
      </c>
      <c r="CT109" s="13">
        <f>IF('Données projet'!$A$140&gt;35,CT108+CS109-DB108,IF(A109&lt;'Données projet'!$A$140,$CQ$205^A109,IF(A109='Données projet'!$A$140,'Données projet'!$B$140,CT108+CS109-DB108)))</f>
        <v>267.2</v>
      </c>
      <c r="CU109" s="18">
        <f>CT109*VLOOKUP('Données projet'!$B$13,Paramètres!$A$1:$I$89,3,0)*VLOOKUP('Données projet'!$B$13,Paramètres!$A$1:$I$89,5,0)</f>
        <v>258.43583999999998</v>
      </c>
      <c r="CV109" s="14">
        <f t="shared" si="95"/>
        <v>62.388845251874031</v>
      </c>
      <c r="CW109" s="22">
        <f t="shared" si="67"/>
        <v>558.76966014701395</v>
      </c>
      <c r="CX109" s="60">
        <f t="shared" si="68"/>
        <v>852.10299348034732</v>
      </c>
      <c r="CY109" s="60">
        <f ca="1">AVERAGE(OFFSET($CX$3,0,0,'Données projet'!$E$13+1,1))-AVERAGE(OFFSET($H$3,0,0,'Données projet'!$E$13+1,1))</f>
        <v>394.8445842828649</v>
      </c>
      <c r="CZ109" s="60">
        <f t="shared" si="96"/>
        <v>246.54010105494143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7.4413931704088117E-11</v>
      </c>
      <c r="DI109" s="24">
        <f t="shared" si="69"/>
        <v>7.4413931704088117E-11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5.6843418860808015E-14</v>
      </c>
      <c r="DP109" s="18">
        <f>DO109*VLOOKUP('Données projet'!$B$14,Paramètres!$A$1:$I$89,3,0)*VLOOKUP('Données projet'!$B$14,Paramètres!$A$1:$I$89,5,0)</f>
        <v>4.9658410716801891E-14</v>
      </c>
      <c r="DQ109" s="14">
        <f t="shared" si="97"/>
        <v>8.0934058173791862E-13</v>
      </c>
      <c r="DR109" s="22">
        <f t="shared" si="70"/>
        <v>1.4960899118586383E-12</v>
      </c>
      <c r="DS109" s="60">
        <f t="shared" si="71"/>
        <v>293.33333333333479</v>
      </c>
      <c r="DT109" s="60">
        <f ca="1">AVERAGE(OFFSET($DS$3,0,0,'Données projet'!$E$14+1,1))-AVERAGE(OFFSET($H$3,0,0,'Données projet'!$E$14+1,1))</f>
        <v>266.98113257513319</v>
      </c>
      <c r="DU109" s="60">
        <f t="shared" si="98"/>
        <v>275.73257102713393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1.3536701091303187</v>
      </c>
      <c r="EC109" s="23">
        <f>EXP(-LN(2)/2)*EC108+(1-EXP(-LN(2)/2))/(LN(2)/2)*DW109*DZ109*VLOOKUP('Données projet'!$B$14,Paramètres!$A$1:$I$89,3,0)*0.475*44/12</f>
        <v>3.8077263108895952E-11</v>
      </c>
      <c r="ED109" s="24">
        <f t="shared" si="72"/>
        <v>1.353670109168396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4.2</v>
      </c>
      <c r="EJ109" s="13">
        <f>IF('Données projet'!$A$192&gt;35,EJ108+EI109-ER108,IF(A109&lt;'Données projet'!$A$192,$EG$205^A109,IF(A109='Données projet'!$A$192,'Données projet'!$B$192,EJ108+EI109-ER108)))</f>
        <v>267.2</v>
      </c>
      <c r="EK109" s="18">
        <f>EJ109*VLOOKUP('Données projet'!$B$15,Paramètres!$A$1:$I$89,3,0)*VLOOKUP('Données projet'!$B$15,Paramètres!$A$1:$I$89,5,0)</f>
        <v>304.28735999999998</v>
      </c>
      <c r="EL109" s="14">
        <f t="shared" si="99"/>
        <v>72.074515185882774</v>
      </c>
      <c r="EM109" s="22">
        <f t="shared" si="73"/>
        <v>655.49693261541245</v>
      </c>
      <c r="EN109" s="60">
        <f t="shared" si="74"/>
        <v>948.83026594874582</v>
      </c>
      <c r="EO109" s="60">
        <f ca="1">AVERAGE(OFFSET($EN$3,0,0,'Données projet'!$E$15+1,1))-AVERAGE(OFFSET($H$3,0,0,'Données projet'!$E$15+1,1))</f>
        <v>457.62828850677369</v>
      </c>
      <c r="EP109" s="60">
        <f t="shared" si="100"/>
        <v>282.78263556175563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4.2</v>
      </c>
      <c r="FE109" s="13">
        <f>IF('Données projet'!$A$218&gt;35,FE108+FD109-FM108,IF(A109&lt;'Données projet'!$A$218,$FB$205^A109,IF(A109='Données projet'!$A$218,'Données projet'!$B$218,FE108+FD109-FM108)))</f>
        <v>267.2</v>
      </c>
      <c r="FF109" s="18">
        <f>FE109*VLOOKUP('Données projet'!$B$16,Paramètres!$A$1:$I$89,3,0)*VLOOKUP('Données projet'!$B$16,Paramètres!$A$1:$I$89,5,0)</f>
        <v>291.7824</v>
      </c>
      <c r="FG109" s="14">
        <f t="shared" si="101"/>
        <v>69.4509640737393</v>
      </c>
      <c r="FH109" s="22">
        <f t="shared" si="76"/>
        <v>629.14810909509595</v>
      </c>
      <c r="FI109" s="60">
        <f t="shared" si="77"/>
        <v>922.48144242842932</v>
      </c>
      <c r="FJ109" s="60">
        <f ca="1">AVERAGE(OFFSET($FI$3,0,0,'Données projet'!$E$16+1,1))-AVERAGE(OFFSET($H$3,0,0,'Données projet'!$E$16+1,1))</f>
        <v>440.52623925652182</v>
      </c>
      <c r="FK109" s="60">
        <f t="shared" si="102"/>
        <v>272.91122662088918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3.4106051316484809E-13</v>
      </c>
      <c r="GA109" s="18">
        <f>FZ109*VLOOKUP('Données projet'!$B$17,Paramètres!$A$1:$I$89,3,0)*VLOOKUP('Données projet'!$B$17,Paramètres!$A$1:$I$89,5,0)</f>
        <v>1.5961632016114892E-13</v>
      </c>
      <c r="GB109" s="14">
        <f t="shared" si="103"/>
        <v>2.2708641912150958E-12</v>
      </c>
      <c r="GC109" s="22">
        <f t="shared" si="79"/>
        <v>4.2330868906469593E-12</v>
      </c>
      <c r="GD109" s="60">
        <f t="shared" si="80"/>
        <v>293.33333333333752</v>
      </c>
      <c r="GE109" s="60">
        <f ca="1">AVERAGE(OFFSET($GD$3,0,0,'Données projet'!$E$17+1,1))-AVERAGE(OFFSET($H$3,0,0,'Données projet'!$E$17+1,1))</f>
        <v>317.54276561627643</v>
      </c>
      <c r="GF109" s="60">
        <f t="shared" si="104"/>
        <v>238.92443174298893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>
        <f>GU109*VLOOKUP('Données projet'!$B$18,Paramètres!$A$1:$I$89,3,0)*VLOOKUP('Données projet'!$B$18,Paramètres!$A$1:$I$89,5,0)</f>
        <v>0</v>
      </c>
      <c r="GW109" s="14" t="e">
        <f t="shared" si="105"/>
        <v>#NUM!</v>
      </c>
      <c r="GX109" s="22" t="e">
        <f t="shared" si="82"/>
        <v>#NUM!</v>
      </c>
      <c r="GY109" s="60" t="e">
        <f t="shared" si="83"/>
        <v>#NUM!</v>
      </c>
      <c r="GZ109" s="60">
        <f ca="1">AVERAGE(OFFSET($GY$3,0,0,'Données projet'!$E$18+1,1))-AVERAGE(OFFSET($H$3,0,0,'Données projet'!$E$18+1,1))</f>
        <v>79.868679770907136</v>
      </c>
      <c r="HA109" s="60">
        <f t="shared" si="106"/>
        <v>370.47471103028312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13.792783755570708</v>
      </c>
      <c r="HH109" s="23">
        <f>EXP(-LN(2)/25)*HH108+(1-EXP(-LN(2)/25))/(LN(2)/25)*Calculateur!HC109*Calculateur!HE109*VLOOKUP('Données projet'!$B$18,Paramètres!$A$1:$I$89,3,0)*0.475*44/12</f>
        <v>1.8366917958623761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15.629475551433085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0">
        <f t="shared" si="55"/>
        <v>293.33333333333439</v>
      </c>
      <c r="S110" s="60">
        <f ca="1">AVERAGE(OFFSET($R$3,0,0,'Données projet'!$E$9+1,1))-AVERAGE(OFFSET($H$3,0,0,'Données projet'!$E$9+1,1))</f>
        <v>206.5885410269899</v>
      </c>
      <c r="T110" s="60">
        <f t="shared" si="88"/>
        <v>347.41156847586302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3.3992364478763198E-14</v>
      </c>
      <c r="AK110" s="14">
        <f t="shared" si="89"/>
        <v>5.790027782444094E-13</v>
      </c>
      <c r="AL110" s="22">
        <f t="shared" si="58"/>
        <v>1.0676332069095257E-12</v>
      </c>
      <c r="AM110" s="60">
        <f t="shared" si="59"/>
        <v>293.33333333333439</v>
      </c>
      <c r="AN110" s="60">
        <f ca="1">AVERAGE(OFFSET($AM$3,0,0,'Données projet'!$E$10+1,1))-AVERAGE(OFFSET($H$3,0,0,'Données projet'!$E$10+1,1))</f>
        <v>206.5885410269899</v>
      </c>
      <c r="AO110" s="60">
        <f t="shared" si="90"/>
        <v>347.41156847586302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23.807358542628172</v>
      </c>
      <c r="AV110" s="23">
        <f>EXP(-LN(2)/25)*AV109+(1-EXP(-LN(2)/25))/(LN(2)/25)*Calculateur!AQ110*Calculateur!AS110*VLOOKUP('Données projet'!$B$10,Paramètres!$A$1:$I$89,3,0)*0.475*44/12</f>
        <v>0.3953430111472197</v>
      </c>
      <c r="AW110" s="23">
        <f>EXP(-LN(2)/2)*AW109+(1-EXP(-LN(2)/2))/(LN(2)/2)*AQ110*AT110*VLOOKUP('Données projet'!$B$10,Paramètres!$A$1:$I$89,3,0)*0.475*44/12</f>
        <v>2.8335900388643291E-9</v>
      </c>
      <c r="AX110" s="23">
        <f t="shared" si="60"/>
        <v>24.202701556608982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271.39999999999998</v>
      </c>
      <c r="BE110" s="14">
        <f>BD110*VLOOKUP('Données projet'!$B$11,Paramètres!$A$1:$I$89,3,0)*VLOOKUP('Données projet'!$B$11,Paramètres!$A$1:$I$89,5,0)</f>
        <v>258.26423999999997</v>
      </c>
      <c r="BF110" s="14">
        <f t="shared" si="91"/>
        <v>62.352239950788103</v>
      </c>
      <c r="BG110" s="22">
        <f t="shared" si="61"/>
        <v>558.40703591428917</v>
      </c>
      <c r="BH110" s="60">
        <f t="shared" si="62"/>
        <v>851.74036924762254</v>
      </c>
      <c r="BI110" s="60">
        <f ca="1">AVERAGE(OFFSET($BH$3,0,0,'Données projet'!$E$11+1,1))-AVERAGE(OFFSET($H$3,0,0,'Données projet'!$E$11+1,1))</f>
        <v>389.12604446638119</v>
      </c>
      <c r="BJ110" s="60">
        <f t="shared" si="92"/>
        <v>243.23852967152732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4.2</v>
      </c>
      <c r="BY110" s="13">
        <f>IF('Données projet'!$A$114&gt;35,BY109+BX110-CG109,IF(A110&lt;'Données projet'!$A$114,$BV$205^A110,IF(A110='Données projet'!$A$114,'Données projet'!$B$114,BY109+BX110-CG109)))</f>
        <v>271.39999999999998</v>
      </c>
      <c r="BZ110" s="14">
        <f>BY110*VLOOKUP('Données projet'!$B$12,Paramètres!$A$1:$I$89,3,0)*VLOOKUP('Données projet'!$B$12,Paramètres!$A$1:$I$89,5,0)</f>
        <v>245.56271999999998</v>
      </c>
      <c r="CA110" s="14">
        <f t="shared" si="93"/>
        <v>59.634776048276898</v>
      </c>
      <c r="CB110" s="22">
        <f t="shared" si="64"/>
        <v>531.55230561741564</v>
      </c>
      <c r="CC110" s="60">
        <f t="shared" si="65"/>
        <v>824.8856389507489</v>
      </c>
      <c r="CD110" s="60">
        <f ca="1">AVERAGE(OFFSET($CC$3,0,0,'Données projet'!$E$12+1,1))-AVERAGE(OFFSET($H$3,0,0,'Données projet'!$E$12+1,1))</f>
        <v>371.95849973474657</v>
      </c>
      <c r="CE110" s="60">
        <f t="shared" si="94"/>
        <v>233.32640143610547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4.9223847611570503E-11</v>
      </c>
      <c r="CN110" s="24">
        <f t="shared" si="66"/>
        <v>4.9223847611570503E-11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4.2</v>
      </c>
      <c r="CT110" s="13">
        <f>IF('Données projet'!$A$140&gt;35,CT109+CS110-DB109,IF(A110&lt;'Données projet'!$A$140,$CQ$205^A110,IF(A110='Données projet'!$A$140,'Données projet'!$B$140,CT109+CS110-DB109)))</f>
        <v>271.39999999999998</v>
      </c>
      <c r="CU110" s="18">
        <f>CT110*VLOOKUP('Données projet'!$B$13,Paramètres!$A$1:$I$89,3,0)*VLOOKUP('Données projet'!$B$13,Paramètres!$A$1:$I$89,5,0)</f>
        <v>262.49807999999996</v>
      </c>
      <c r="CV110" s="14">
        <f t="shared" si="95"/>
        <v>63.254570961138086</v>
      </c>
      <c r="CW110" s="22">
        <f t="shared" si="67"/>
        <v>567.35253375731543</v>
      </c>
      <c r="CX110" s="60">
        <f t="shared" si="68"/>
        <v>860.6858670906488</v>
      </c>
      <c r="CY110" s="60">
        <f ca="1">AVERAGE(OFFSET($CX$3,0,0,'Données projet'!$E$13+1,1))-AVERAGE(OFFSET($H$3,0,0,'Données projet'!$E$13+1,1))</f>
        <v>394.8445842828649</v>
      </c>
      <c r="CZ110" s="60">
        <f t="shared" si="96"/>
        <v>246.54010105494143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5.2618595722713328E-11</v>
      </c>
      <c r="DI110" s="24">
        <f t="shared" si="69"/>
        <v>5.2618595722713328E-11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5.6843418860808015E-14</v>
      </c>
      <c r="DP110" s="18">
        <f>DO110*VLOOKUP('Données projet'!$B$14,Paramètres!$A$1:$I$89,3,0)*VLOOKUP('Données projet'!$B$14,Paramètres!$A$1:$I$89,5,0)</f>
        <v>4.9658410716801891E-14</v>
      </c>
      <c r="DQ110" s="14">
        <f t="shared" si="97"/>
        <v>8.0934058173791862E-13</v>
      </c>
      <c r="DR110" s="22">
        <f t="shared" si="70"/>
        <v>1.4960899118586383E-12</v>
      </c>
      <c r="DS110" s="60">
        <f t="shared" si="71"/>
        <v>293.33333333333479</v>
      </c>
      <c r="DT110" s="60">
        <f ca="1">AVERAGE(OFFSET($DS$3,0,0,'Données projet'!$E$14+1,1))-AVERAGE(OFFSET($H$3,0,0,'Données projet'!$E$14+1,1))</f>
        <v>266.98113257513319</v>
      </c>
      <c r="DU110" s="60">
        <f t="shared" si="98"/>
        <v>275.73257102713393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1.316653928809733</v>
      </c>
      <c r="EC110" s="23">
        <f>EXP(-LN(2)/2)*EC109+(1-EXP(-LN(2)/2))/(LN(2)/2)*DW110*DZ110*VLOOKUP('Données projet'!$B$14,Paramètres!$A$1:$I$89,3,0)*0.475*44/12</f>
        <v>2.6924690953324689E-11</v>
      </c>
      <c r="ED110" s="24">
        <f t="shared" si="72"/>
        <v>1.3166539288366577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4.2</v>
      </c>
      <c r="EJ110" s="13">
        <f>IF('Données projet'!$A$192&gt;35,EJ109+EI110-ER109,IF(A110&lt;'Données projet'!$A$192,$EG$205^A110,IF(A110='Données projet'!$A$192,'Données projet'!$B$192,EJ109+EI110-ER109)))</f>
        <v>271.39999999999998</v>
      </c>
      <c r="EK110" s="18">
        <f>EJ110*VLOOKUP('Données projet'!$B$15,Paramètres!$A$1:$I$89,3,0)*VLOOKUP('Données projet'!$B$15,Paramètres!$A$1:$I$89,5,0)</f>
        <v>309.07031999999998</v>
      </c>
      <c r="EL110" s="14">
        <f t="shared" si="99"/>
        <v>73.074642059961803</v>
      </c>
      <c r="EM110" s="22">
        <f t="shared" si="73"/>
        <v>665.56914225443347</v>
      </c>
      <c r="EN110" s="60">
        <f t="shared" si="74"/>
        <v>958.90247558776673</v>
      </c>
      <c r="EO110" s="60">
        <f ca="1">AVERAGE(OFFSET($EN$3,0,0,'Données projet'!$E$15+1,1))-AVERAGE(OFFSET($H$3,0,0,'Données projet'!$E$15+1,1))</f>
        <v>457.62828850677369</v>
      </c>
      <c r="EP110" s="60">
        <f t="shared" si="100"/>
        <v>282.78263556175563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4.2</v>
      </c>
      <c r="FE110" s="13">
        <f>IF('Données projet'!$A$218&gt;35,FE109+FD110-FM109,IF(A110&lt;'Données projet'!$A$218,$FB$205^A110,IF(A110='Données projet'!$A$218,'Données projet'!$B$218,FE109+FD110-FM109)))</f>
        <v>271.39999999999998</v>
      </c>
      <c r="FF110" s="18">
        <f>FE110*VLOOKUP('Données projet'!$B$16,Paramètres!$A$1:$I$89,3,0)*VLOOKUP('Données projet'!$B$16,Paramètres!$A$1:$I$89,5,0)</f>
        <v>296.36879999999996</v>
      </c>
      <c r="FG110" s="14">
        <f t="shared" si="101"/>
        <v>70.414685791765493</v>
      </c>
      <c r="FH110" s="22">
        <f t="shared" si="76"/>
        <v>638.81457108732468</v>
      </c>
      <c r="FI110" s="60">
        <f t="shared" si="77"/>
        <v>932.14790442065805</v>
      </c>
      <c r="FJ110" s="60">
        <f ca="1">AVERAGE(OFFSET($FI$3,0,0,'Données projet'!$E$16+1,1))-AVERAGE(OFFSET($H$3,0,0,'Données projet'!$E$16+1,1))</f>
        <v>440.52623925652182</v>
      </c>
      <c r="FK110" s="60">
        <f t="shared" si="102"/>
        <v>272.91122662088918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3.4106051316484809E-13</v>
      </c>
      <c r="GA110" s="18">
        <f>FZ110*VLOOKUP('Données projet'!$B$17,Paramètres!$A$1:$I$89,3,0)*VLOOKUP('Données projet'!$B$17,Paramètres!$A$1:$I$89,5,0)</f>
        <v>1.5961632016114892E-13</v>
      </c>
      <c r="GB110" s="14">
        <f t="shared" si="103"/>
        <v>2.2708641912150958E-12</v>
      </c>
      <c r="GC110" s="22">
        <f t="shared" si="79"/>
        <v>4.2330868906469593E-12</v>
      </c>
      <c r="GD110" s="60">
        <f t="shared" si="80"/>
        <v>293.33333333333752</v>
      </c>
      <c r="GE110" s="60">
        <f ca="1">AVERAGE(OFFSET($GD$3,0,0,'Données projet'!$E$17+1,1))-AVERAGE(OFFSET($H$3,0,0,'Données projet'!$E$17+1,1))</f>
        <v>317.54276561627643</v>
      </c>
      <c r="GF110" s="60">
        <f t="shared" si="104"/>
        <v>238.92443174298893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>
        <f>GU110*VLOOKUP('Données projet'!$B$18,Paramètres!$A$1:$I$89,3,0)*VLOOKUP('Données projet'!$B$18,Paramètres!$A$1:$I$89,5,0)</f>
        <v>0</v>
      </c>
      <c r="GW110" s="14" t="e">
        <f t="shared" si="105"/>
        <v>#NUM!</v>
      </c>
      <c r="GX110" s="22" t="e">
        <f t="shared" si="82"/>
        <v>#NUM!</v>
      </c>
      <c r="GY110" s="60" t="e">
        <f t="shared" si="83"/>
        <v>#NUM!</v>
      </c>
      <c r="GZ110" s="60">
        <f ca="1">AVERAGE(OFFSET($GY$3,0,0,'Données projet'!$E$18+1,1))-AVERAGE(OFFSET($H$3,0,0,'Données projet'!$E$18+1,1))</f>
        <v>79.868679770907136</v>
      </c>
      <c r="HA110" s="60">
        <f t="shared" si="106"/>
        <v>370.47471103028312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13.522315678891365</v>
      </c>
      <c r="HH110" s="23">
        <f>EXP(-LN(2)/25)*HH109+(1-EXP(-LN(2)/25))/(LN(2)/25)*Calculateur!HC110*Calculateur!HE110*VLOOKUP('Données projet'!$B$18,Paramètres!$A$1:$I$89,3,0)*0.475*44/12</f>
        <v>1.7864673621170957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15.308783041008461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0">
        <f t="shared" si="55"/>
        <v>293.33333333333439</v>
      </c>
      <c r="S111" s="60">
        <f ca="1">AVERAGE(OFFSET($R$3,0,0,'Données projet'!$E$9+1,1))-AVERAGE(OFFSET($H$3,0,0,'Données projet'!$E$9+1,1))</f>
        <v>206.5885410269899</v>
      </c>
      <c r="T111" s="60">
        <f t="shared" si="88"/>
        <v>347.41156847586302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3.3992364478763198E-14</v>
      </c>
      <c r="AK111" s="14">
        <f t="shared" si="89"/>
        <v>5.790027782444094E-13</v>
      </c>
      <c r="AL111" s="22">
        <f t="shared" si="58"/>
        <v>1.0676332069095257E-12</v>
      </c>
      <c r="AM111" s="60">
        <f t="shared" si="59"/>
        <v>293.33333333333439</v>
      </c>
      <c r="AN111" s="60">
        <f ca="1">AVERAGE(OFFSET($AM$3,0,0,'Données projet'!$E$10+1,1))-AVERAGE(OFFSET($H$3,0,0,'Données projet'!$E$10+1,1))</f>
        <v>206.5885410269899</v>
      </c>
      <c r="AO111" s="60">
        <f t="shared" si="90"/>
        <v>347.41156847586302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23.34051076266211</v>
      </c>
      <c r="AV111" s="23">
        <f>EXP(-LN(2)/25)*AV110+(1-EXP(-LN(2)/25))/(LN(2)/25)*Calculateur!AQ111*Calculateur!AS111*VLOOKUP('Données projet'!$B$10,Paramètres!$A$1:$I$89,3,0)*0.475*44/12</f>
        <v>0.38453233571721357</v>
      </c>
      <c r="AW111" s="23">
        <f>EXP(-LN(2)/2)*AW110+(1-EXP(-LN(2)/2))/(LN(2)/2)*AQ111*AT111*VLOOKUP('Données projet'!$B$10,Paramètres!$A$1:$I$89,3,0)*0.475*44/12</f>
        <v>2.0036507315836199E-9</v>
      </c>
      <c r="AX111" s="23">
        <f t="shared" si="60"/>
        <v>23.725043100382976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275.59999999999997</v>
      </c>
      <c r="BE111" s="14">
        <f>BD111*VLOOKUP('Données projet'!$B$11,Paramètres!$A$1:$I$89,3,0)*VLOOKUP('Données projet'!$B$11,Paramètres!$A$1:$I$89,5,0)</f>
        <v>262.26096000000001</v>
      </c>
      <c r="BF111" s="14">
        <f t="shared" si="91"/>
        <v>63.204080130428764</v>
      </c>
      <c r="BG111" s="22">
        <f t="shared" si="61"/>
        <v>566.85161156049674</v>
      </c>
      <c r="BH111" s="60">
        <f t="shared" si="62"/>
        <v>860.18494489383011</v>
      </c>
      <c r="BI111" s="60">
        <f ca="1">AVERAGE(OFFSET($BH$3,0,0,'Données projet'!$E$11+1,1))-AVERAGE(OFFSET($H$3,0,0,'Données projet'!$E$11+1,1))</f>
        <v>389.12604446638119</v>
      </c>
      <c r="BJ111" s="60">
        <f t="shared" si="92"/>
        <v>243.23852967152732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4.2</v>
      </c>
      <c r="BY111" s="13">
        <f>IF('Données projet'!$A$114&gt;35,BY110+BX111-CG110,IF(A111&lt;'Données projet'!$A$114,$BV$205^A111,IF(A111='Données projet'!$A$114,'Données projet'!$B$114,BY110+BX111-CG110)))</f>
        <v>275.59999999999997</v>
      </c>
      <c r="BZ111" s="14">
        <f>BY111*VLOOKUP('Données projet'!$B$12,Paramètres!$A$1:$I$89,3,0)*VLOOKUP('Données projet'!$B$12,Paramètres!$A$1:$I$89,5,0)</f>
        <v>249.36287999999993</v>
      </c>
      <c r="CA111" s="14">
        <f t="shared" si="93"/>
        <v>60.449490938742557</v>
      </c>
      <c r="CB111" s="22">
        <f t="shared" si="64"/>
        <v>539.58987938497648</v>
      </c>
      <c r="CC111" s="60">
        <f t="shared" si="65"/>
        <v>832.92321271830974</v>
      </c>
      <c r="CD111" s="60">
        <f ca="1">AVERAGE(OFFSET($CC$3,0,0,'Données projet'!$E$12+1,1))-AVERAGE(OFFSET($H$3,0,0,'Données projet'!$E$12+1,1))</f>
        <v>371.95849973474657</v>
      </c>
      <c r="CE111" s="60">
        <f t="shared" si="94"/>
        <v>233.32640143610547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3.4806516442234743E-11</v>
      </c>
      <c r="CN111" s="24">
        <f t="shared" si="66"/>
        <v>3.4806516442234743E-11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4.2</v>
      </c>
      <c r="CT111" s="13">
        <f>IF('Données projet'!$A$140&gt;35,CT110+CS111-DB110,IF(A111&lt;'Données projet'!$A$140,$CQ$205^A111,IF(A111='Données projet'!$A$140,'Données projet'!$B$140,CT110+CS111-DB110)))</f>
        <v>275.59999999999997</v>
      </c>
      <c r="CU111" s="18">
        <f>CT111*VLOOKUP('Données projet'!$B$13,Paramètres!$A$1:$I$89,3,0)*VLOOKUP('Données projet'!$B$13,Paramètres!$A$1:$I$89,5,0)</f>
        <v>266.56031999999999</v>
      </c>
      <c r="CV111" s="14">
        <f t="shared" si="95"/>
        <v>64.11873855372427</v>
      </c>
      <c r="CW111" s="22">
        <f t="shared" si="67"/>
        <v>575.9326936477363</v>
      </c>
      <c r="CX111" s="60">
        <f t="shared" si="68"/>
        <v>869.26602698106967</v>
      </c>
      <c r="CY111" s="60">
        <f ca="1">AVERAGE(OFFSET($CX$3,0,0,'Données projet'!$E$13+1,1))-AVERAGE(OFFSET($H$3,0,0,'Données projet'!$E$13+1,1))</f>
        <v>394.8445842828649</v>
      </c>
      <c r="CZ111" s="60">
        <f t="shared" si="96"/>
        <v>246.54010105494143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3.7206965852044058E-11</v>
      </c>
      <c r="DI111" s="24">
        <f t="shared" si="69"/>
        <v>3.7206965852044058E-11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5.6843418860808015E-14</v>
      </c>
      <c r="DP111" s="18">
        <f>DO111*VLOOKUP('Données projet'!$B$14,Paramètres!$A$1:$I$89,3,0)*VLOOKUP('Données projet'!$B$14,Paramètres!$A$1:$I$89,5,0)</f>
        <v>4.9658410716801891E-14</v>
      </c>
      <c r="DQ111" s="14">
        <f t="shared" si="97"/>
        <v>8.0934058173791862E-13</v>
      </c>
      <c r="DR111" s="22">
        <f t="shared" si="70"/>
        <v>1.4960899118586383E-12</v>
      </c>
      <c r="DS111" s="60">
        <f t="shared" si="71"/>
        <v>293.33333333333479</v>
      </c>
      <c r="DT111" s="60">
        <f ca="1">AVERAGE(OFFSET($DS$3,0,0,'Données projet'!$E$14+1,1))-AVERAGE(OFFSET($H$3,0,0,'Données projet'!$E$14+1,1))</f>
        <v>266.98113257513319</v>
      </c>
      <c r="DU111" s="60">
        <f t="shared" si="98"/>
        <v>275.73257102713393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1.28064995788661</v>
      </c>
      <c r="EC111" s="23">
        <f>EXP(-LN(2)/2)*EC110+(1-EXP(-LN(2)/2))/(LN(2)/2)*DW111*DZ111*VLOOKUP('Données projet'!$B$14,Paramètres!$A$1:$I$89,3,0)*0.475*44/12</f>
        <v>1.9038631554447976E-11</v>
      </c>
      <c r="ED111" s="24">
        <f t="shared" si="72"/>
        <v>1.2806499579056485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4.2</v>
      </c>
      <c r="EJ111" s="13">
        <f>IF('Données projet'!$A$192&gt;35,EJ110+EI111-ER110,IF(A111&lt;'Données projet'!$A$192,$EG$205^A111,IF(A111='Données projet'!$A$192,'Données projet'!$B$192,EJ110+EI111-ER110)))</f>
        <v>275.59999999999997</v>
      </c>
      <c r="EK111" s="18">
        <f>EJ111*VLOOKUP('Données projet'!$B$15,Paramètres!$A$1:$I$89,3,0)*VLOOKUP('Données projet'!$B$15,Paramètres!$A$1:$I$89,5,0)</f>
        <v>313.85327999999993</v>
      </c>
      <c r="EL111" s="14">
        <f t="shared" si="99"/>
        <v>74.072968924700987</v>
      </c>
      <c r="EM111" s="22">
        <f t="shared" si="73"/>
        <v>675.63821687718735</v>
      </c>
      <c r="EN111" s="60">
        <f t="shared" si="74"/>
        <v>968.97155021052072</v>
      </c>
      <c r="EO111" s="60">
        <f ca="1">AVERAGE(OFFSET($EN$3,0,0,'Données projet'!$E$15+1,1))-AVERAGE(OFFSET($H$3,0,0,'Données projet'!$E$15+1,1))</f>
        <v>457.62828850677369</v>
      </c>
      <c r="EP111" s="60">
        <f t="shared" si="100"/>
        <v>282.78263556175563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4.2</v>
      </c>
      <c r="FE111" s="13">
        <f>IF('Données projet'!$A$218&gt;35,FE110+FD111-FM110,IF(A111&lt;'Données projet'!$A$218,$FB$205^A111,IF(A111='Données projet'!$A$218,'Données projet'!$B$218,FE110+FD111-FM110)))</f>
        <v>275.59999999999997</v>
      </c>
      <c r="FF111" s="18">
        <f>FE111*VLOOKUP('Données projet'!$B$16,Paramètres!$A$1:$I$89,3,0)*VLOOKUP('Données projet'!$B$16,Paramètres!$A$1:$I$89,5,0)</f>
        <v>300.95519999999993</v>
      </c>
      <c r="FG111" s="14">
        <f t="shared" si="101"/>
        <v>71.376673021759785</v>
      </c>
      <c r="FH111" s="22">
        <f t="shared" si="76"/>
        <v>648.47801217956487</v>
      </c>
      <c r="FI111" s="60">
        <f t="shared" si="77"/>
        <v>941.81134551289824</v>
      </c>
      <c r="FJ111" s="60">
        <f ca="1">AVERAGE(OFFSET($FI$3,0,0,'Données projet'!$E$16+1,1))-AVERAGE(OFFSET($H$3,0,0,'Données projet'!$E$16+1,1))</f>
        <v>440.52623925652182</v>
      </c>
      <c r="FK111" s="60">
        <f t="shared" si="102"/>
        <v>272.91122662088918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3.4106051316484809E-13</v>
      </c>
      <c r="GA111" s="18">
        <f>FZ111*VLOOKUP('Données projet'!$B$17,Paramètres!$A$1:$I$89,3,0)*VLOOKUP('Données projet'!$B$17,Paramètres!$A$1:$I$89,5,0)</f>
        <v>1.5961632016114892E-13</v>
      </c>
      <c r="GB111" s="14">
        <f t="shared" si="103"/>
        <v>2.2708641912150958E-12</v>
      </c>
      <c r="GC111" s="22">
        <f t="shared" si="79"/>
        <v>4.2330868906469593E-12</v>
      </c>
      <c r="GD111" s="60">
        <f t="shared" si="80"/>
        <v>293.33333333333752</v>
      </c>
      <c r="GE111" s="60">
        <f ca="1">AVERAGE(OFFSET($GD$3,0,0,'Données projet'!$E$17+1,1))-AVERAGE(OFFSET($H$3,0,0,'Données projet'!$E$17+1,1))</f>
        <v>317.54276561627643</v>
      </c>
      <c r="GF111" s="60">
        <f t="shared" si="104"/>
        <v>238.92443174298893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>
        <f>GU111*VLOOKUP('Données projet'!$B$18,Paramètres!$A$1:$I$89,3,0)*VLOOKUP('Données projet'!$B$18,Paramètres!$A$1:$I$89,5,0)</f>
        <v>0</v>
      </c>
      <c r="GW111" s="14" t="e">
        <f t="shared" si="105"/>
        <v>#NUM!</v>
      </c>
      <c r="GX111" s="22" t="e">
        <f t="shared" si="82"/>
        <v>#NUM!</v>
      </c>
      <c r="GY111" s="60" t="e">
        <f t="shared" si="83"/>
        <v>#NUM!</v>
      </c>
      <c r="GZ111" s="60">
        <f ca="1">AVERAGE(OFFSET($GY$3,0,0,'Données projet'!$E$18+1,1))-AVERAGE(OFFSET($H$3,0,0,'Données projet'!$E$18+1,1))</f>
        <v>79.868679770907136</v>
      </c>
      <c r="HA111" s="60">
        <f t="shared" si="106"/>
        <v>370.47471103028312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13.257151316226468</v>
      </c>
      <c r="HH111" s="23">
        <f>EXP(-LN(2)/25)*HH110+(1-EXP(-LN(2)/25))/(LN(2)/25)*Calculateur!HC111*Calculateur!HE111*VLOOKUP('Données projet'!$B$18,Paramètres!$A$1:$I$89,3,0)*0.475*44/12</f>
        <v>1.737616318153768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14.994767634380235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0">
        <f t="shared" si="55"/>
        <v>293.33333333333439</v>
      </c>
      <c r="S112" s="60">
        <f ca="1">AVERAGE(OFFSET($R$3,0,0,'Données projet'!$E$9+1,1))-AVERAGE(OFFSET($H$3,0,0,'Données projet'!$E$9+1,1))</f>
        <v>206.5885410269899</v>
      </c>
      <c r="T112" s="60">
        <f t="shared" si="88"/>
        <v>347.41156847586302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3.3992364478763198E-14</v>
      </c>
      <c r="AK112" s="14">
        <f t="shared" si="89"/>
        <v>5.790027782444094E-13</v>
      </c>
      <c r="AL112" s="22">
        <f t="shared" si="58"/>
        <v>1.0676332069095257E-12</v>
      </c>
      <c r="AM112" s="60">
        <f t="shared" si="59"/>
        <v>293.33333333333439</v>
      </c>
      <c r="AN112" s="60">
        <f ca="1">AVERAGE(OFFSET($AM$3,0,0,'Données projet'!$E$10+1,1))-AVERAGE(OFFSET($H$3,0,0,'Données projet'!$E$10+1,1))</f>
        <v>206.5885410269899</v>
      </c>
      <c r="AO112" s="60">
        <f t="shared" si="90"/>
        <v>347.41156847586302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22.882817582912153</v>
      </c>
      <c r="AV112" s="23">
        <f>EXP(-LN(2)/25)*AV111+(1-EXP(-LN(2)/25))/(LN(2)/25)*Calculateur!AQ112*Calculateur!AS112*VLOOKUP('Données projet'!$B$10,Paramètres!$A$1:$I$89,3,0)*0.475*44/12</f>
        <v>0.37401727877534968</v>
      </c>
      <c r="AW112" s="23">
        <f>EXP(-LN(2)/2)*AW111+(1-EXP(-LN(2)/2))/(LN(2)/2)*AQ112*AT112*VLOOKUP('Données projet'!$B$10,Paramètres!$A$1:$I$89,3,0)*0.475*44/12</f>
        <v>1.4167950194321646E-9</v>
      </c>
      <c r="AX112" s="23">
        <f t="shared" si="60"/>
        <v>23.256834863104295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279.79999999999995</v>
      </c>
      <c r="BE112" s="14">
        <f>BD112*VLOOKUP('Données projet'!$B$11,Paramètres!$A$1:$I$89,3,0)*VLOOKUP('Données projet'!$B$11,Paramètres!$A$1:$I$89,5,0)</f>
        <v>266.25767999999994</v>
      </c>
      <c r="BF112" s="14">
        <f t="shared" si="91"/>
        <v>64.054410529549571</v>
      </c>
      <c r="BG112" s="22">
        <f t="shared" si="61"/>
        <v>575.29355767229868</v>
      </c>
      <c r="BH112" s="60">
        <f t="shared" si="62"/>
        <v>868.62689100563193</v>
      </c>
      <c r="BI112" s="60">
        <f ca="1">AVERAGE(OFFSET($BH$3,0,0,'Données projet'!$E$11+1,1))-AVERAGE(OFFSET($H$3,0,0,'Données projet'!$E$11+1,1))</f>
        <v>389.12604446638119</v>
      </c>
      <c r="BJ112" s="60">
        <f t="shared" si="92"/>
        <v>243.23852967152732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4.2</v>
      </c>
      <c r="BY112" s="13">
        <f>IF('Données projet'!$A$114&gt;35,BY111+BX112-CG111,IF(A112&lt;'Données projet'!$A$114,$BV$205^A112,IF(A112='Données projet'!$A$114,'Données projet'!$B$114,BY111+BX112-CG111)))</f>
        <v>279.79999999999995</v>
      </c>
      <c r="BZ112" s="14">
        <f>BY112*VLOOKUP('Données projet'!$B$12,Paramètres!$A$1:$I$89,3,0)*VLOOKUP('Données projet'!$B$12,Paramètres!$A$1:$I$89,5,0)</f>
        <v>253.16303999999994</v>
      </c>
      <c r="CA112" s="14">
        <f t="shared" si="93"/>
        <v>61.262761848635037</v>
      </c>
      <c r="CB112" s="22">
        <f t="shared" si="64"/>
        <v>547.62493821970588</v>
      </c>
      <c r="CC112" s="60">
        <f t="shared" si="65"/>
        <v>840.95827155303914</v>
      </c>
      <c r="CD112" s="60">
        <f ca="1">AVERAGE(OFFSET($CC$3,0,0,'Données projet'!$E$12+1,1))-AVERAGE(OFFSET($H$3,0,0,'Données projet'!$E$12+1,1))</f>
        <v>371.95849973474657</v>
      </c>
      <c r="CE112" s="60">
        <f t="shared" si="94"/>
        <v>233.32640143610547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2.4611923805785251E-11</v>
      </c>
      <c r="CN112" s="24">
        <f t="shared" si="66"/>
        <v>2.4611923805785251E-11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4.2</v>
      </c>
      <c r="CT112" s="13">
        <f>IF('Données projet'!$A$140&gt;35,CT111+CS112-DB111,IF(A112&lt;'Données projet'!$A$140,$CQ$205^A112,IF(A112='Données projet'!$A$140,'Données projet'!$B$140,CT111+CS112-DB111)))</f>
        <v>279.79999999999995</v>
      </c>
      <c r="CU112" s="18">
        <f>CT112*VLOOKUP('Données projet'!$B$13,Paramètres!$A$1:$I$89,3,0)*VLOOKUP('Données projet'!$B$13,Paramètres!$A$1:$I$89,5,0)</f>
        <v>270.62255999999996</v>
      </c>
      <c r="CV112" s="14">
        <f t="shared" si="95"/>
        <v>64.981374516988026</v>
      </c>
      <c r="CW112" s="22">
        <f t="shared" si="67"/>
        <v>584.51018595042069</v>
      </c>
      <c r="CX112" s="60">
        <f t="shared" si="68"/>
        <v>877.84351928375395</v>
      </c>
      <c r="CY112" s="60">
        <f ca="1">AVERAGE(OFFSET($CX$3,0,0,'Données projet'!$E$13+1,1))-AVERAGE(OFFSET($H$3,0,0,'Données projet'!$E$13+1,1))</f>
        <v>394.8445842828649</v>
      </c>
      <c r="CZ112" s="60">
        <f t="shared" si="96"/>
        <v>246.54010105494143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2.6309297861356664E-11</v>
      </c>
      <c r="DI112" s="24">
        <f t="shared" si="69"/>
        <v>2.6309297861356664E-11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5.6843418860808015E-14</v>
      </c>
      <c r="DP112" s="18">
        <f>DO112*VLOOKUP('Données projet'!$B$14,Paramètres!$A$1:$I$89,3,0)*VLOOKUP('Données projet'!$B$14,Paramètres!$A$1:$I$89,5,0)</f>
        <v>4.9658410716801891E-14</v>
      </c>
      <c r="DQ112" s="14">
        <f t="shared" si="97"/>
        <v>8.0934058173791862E-13</v>
      </c>
      <c r="DR112" s="22">
        <f t="shared" si="70"/>
        <v>1.4960899118586383E-12</v>
      </c>
      <c r="DS112" s="60">
        <f t="shared" si="71"/>
        <v>293.33333333333479</v>
      </c>
      <c r="DT112" s="60">
        <f ca="1">AVERAGE(OFFSET($DS$3,0,0,'Données projet'!$E$14+1,1))-AVERAGE(OFFSET($H$3,0,0,'Données projet'!$E$14+1,1))</f>
        <v>266.98113257513319</v>
      </c>
      <c r="DU112" s="60">
        <f t="shared" si="98"/>
        <v>275.73257102713393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1.2456305174417464</v>
      </c>
      <c r="EC112" s="23">
        <f>EXP(-LN(2)/2)*EC111+(1-EXP(-LN(2)/2))/(LN(2)/2)*DW112*DZ112*VLOOKUP('Données projet'!$B$14,Paramètres!$A$1:$I$89,3,0)*0.475*44/12</f>
        <v>1.3462345476662344E-11</v>
      </c>
      <c r="ED112" s="24">
        <f t="shared" si="72"/>
        <v>1.2456305174552087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4.2</v>
      </c>
      <c r="EJ112" s="13">
        <f>IF('Données projet'!$A$192&gt;35,EJ111+EI112-ER111,IF(A112&lt;'Données projet'!$A$192,$EG$205^A112,IF(A112='Données projet'!$A$192,'Données projet'!$B$192,EJ111+EI112-ER111)))</f>
        <v>279.79999999999995</v>
      </c>
      <c r="EK112" s="18">
        <f>EJ112*VLOOKUP('Données projet'!$B$15,Paramètres!$A$1:$I$89,3,0)*VLOOKUP('Données projet'!$B$15,Paramètres!$A$1:$I$89,5,0)</f>
        <v>318.63623999999993</v>
      </c>
      <c r="EL112" s="14">
        <f t="shared" si="99"/>
        <v>75.069526379533471</v>
      </c>
      <c r="EM112" s="22">
        <f t="shared" si="73"/>
        <v>685.70420977768742</v>
      </c>
      <c r="EN112" s="60">
        <f t="shared" si="74"/>
        <v>979.0375431110208</v>
      </c>
      <c r="EO112" s="60">
        <f ca="1">AVERAGE(OFFSET($EN$3,0,0,'Données projet'!$E$15+1,1))-AVERAGE(OFFSET($H$3,0,0,'Données projet'!$E$15+1,1))</f>
        <v>457.62828850677369</v>
      </c>
      <c r="EP112" s="60">
        <f t="shared" si="100"/>
        <v>282.78263556175563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4.2</v>
      </c>
      <c r="FE112" s="13">
        <f>IF('Données projet'!$A$218&gt;35,FE111+FD112-FM111,IF(A112&lt;'Données projet'!$A$218,$FB$205^A112,IF(A112='Données projet'!$A$218,'Données projet'!$B$218,FE111+FD112-FM111)))</f>
        <v>279.79999999999995</v>
      </c>
      <c r="FF112" s="18">
        <f>FE112*VLOOKUP('Données projet'!$B$16,Paramètres!$A$1:$I$89,3,0)*VLOOKUP('Données projet'!$B$16,Paramètres!$A$1:$I$89,5,0)</f>
        <v>305.54159999999996</v>
      </c>
      <c r="FG112" s="14">
        <f t="shared" si="101"/>
        <v>72.336955249319473</v>
      </c>
      <c r="FH112" s="22">
        <f t="shared" si="76"/>
        <v>658.13848372589803</v>
      </c>
      <c r="FI112" s="60">
        <f t="shared" si="77"/>
        <v>951.4718170592314</v>
      </c>
      <c r="FJ112" s="60">
        <f ca="1">AVERAGE(OFFSET($FI$3,0,0,'Données projet'!$E$16+1,1))-AVERAGE(OFFSET($H$3,0,0,'Données projet'!$E$16+1,1))</f>
        <v>440.52623925652182</v>
      </c>
      <c r="FK112" s="60">
        <f t="shared" si="102"/>
        <v>272.91122662088918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3.4106051316484809E-13</v>
      </c>
      <c r="GA112" s="18">
        <f>FZ112*VLOOKUP('Données projet'!$B$17,Paramètres!$A$1:$I$89,3,0)*VLOOKUP('Données projet'!$B$17,Paramètres!$A$1:$I$89,5,0)</f>
        <v>1.5961632016114892E-13</v>
      </c>
      <c r="GB112" s="14">
        <f t="shared" si="103"/>
        <v>2.2708641912150958E-12</v>
      </c>
      <c r="GC112" s="22">
        <f t="shared" si="79"/>
        <v>4.2330868906469593E-12</v>
      </c>
      <c r="GD112" s="60">
        <f t="shared" si="80"/>
        <v>293.33333333333752</v>
      </c>
      <c r="GE112" s="60">
        <f ca="1">AVERAGE(OFFSET($GD$3,0,0,'Données projet'!$E$17+1,1))-AVERAGE(OFFSET($H$3,0,0,'Données projet'!$E$17+1,1))</f>
        <v>317.54276561627643</v>
      </c>
      <c r="GF112" s="60">
        <f t="shared" si="104"/>
        <v>238.92443174298893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>
        <f>GU112*VLOOKUP('Données projet'!$B$18,Paramètres!$A$1:$I$89,3,0)*VLOOKUP('Données projet'!$B$18,Paramètres!$A$1:$I$89,5,0)</f>
        <v>0</v>
      </c>
      <c r="GW112" s="14" t="e">
        <f t="shared" si="105"/>
        <v>#NUM!</v>
      </c>
      <c r="GX112" s="22" t="e">
        <f t="shared" si="82"/>
        <v>#NUM!</v>
      </c>
      <c r="GY112" s="60" t="e">
        <f t="shared" si="83"/>
        <v>#NUM!</v>
      </c>
      <c r="GZ112" s="60">
        <f ca="1">AVERAGE(OFFSET($GY$3,0,0,'Données projet'!$E$18+1,1))-AVERAGE(OFFSET($H$3,0,0,'Données projet'!$E$18+1,1))</f>
        <v>79.868679770907136</v>
      </c>
      <c r="HA112" s="60">
        <f t="shared" si="106"/>
        <v>370.47471103028312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12.997186664979138</v>
      </c>
      <c r="HH112" s="23">
        <f>EXP(-LN(2)/25)*HH111+(1-EXP(-LN(2)/25))/(LN(2)/25)*Calculateur!HC112*Calculateur!HE112*VLOOKUP('Données projet'!$B$18,Paramètres!$A$1:$I$89,3,0)*0.475*44/12</f>
        <v>1.6901011085565825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14.68728777353572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0">
        <f t="shared" si="55"/>
        <v>293.33333333333439</v>
      </c>
      <c r="S113" s="60">
        <f ca="1">AVERAGE(OFFSET($R$3,0,0,'Données projet'!$E$9+1,1))-AVERAGE(OFFSET($H$3,0,0,'Données projet'!$E$9+1,1))</f>
        <v>206.5885410269899</v>
      </c>
      <c r="T113" s="60">
        <f t="shared" si="88"/>
        <v>347.41156847586302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3.3992364478763198E-14</v>
      </c>
      <c r="AK113" s="14">
        <f t="shared" si="89"/>
        <v>5.790027782444094E-13</v>
      </c>
      <c r="AL113" s="22">
        <f t="shared" si="58"/>
        <v>1.0676332069095257E-12</v>
      </c>
      <c r="AM113" s="60">
        <f t="shared" si="59"/>
        <v>293.33333333333439</v>
      </c>
      <c r="AN113" s="60">
        <f ca="1">AVERAGE(OFFSET($AM$3,0,0,'Données projet'!$E$10+1,1))-AVERAGE(OFFSET($H$3,0,0,'Données projet'!$E$10+1,1))</f>
        <v>206.5885410269899</v>
      </c>
      <c r="AO113" s="60">
        <f t="shared" si="90"/>
        <v>347.41156847586302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22.434099487251817</v>
      </c>
      <c r="AV113" s="23">
        <f>EXP(-LN(2)/25)*AV112+(1-EXP(-LN(2)/25))/(LN(2)/25)*Calculateur!AQ113*Calculateur!AS113*VLOOKUP('Données projet'!$B$10,Paramètres!$A$1:$I$89,3,0)*0.475*44/12</f>
        <v>0.36378975661852386</v>
      </c>
      <c r="AW113" s="23">
        <f>EXP(-LN(2)/2)*AW112+(1-EXP(-LN(2)/2))/(LN(2)/2)*AQ113*AT113*VLOOKUP('Données projet'!$B$10,Paramètres!$A$1:$I$89,3,0)*0.475*44/12</f>
        <v>1.0018253657918099E-9</v>
      </c>
      <c r="AX113" s="23">
        <f t="shared" si="60"/>
        <v>22.797889244872167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284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283.99999999999994</v>
      </c>
      <c r="BE113" s="14">
        <f>BD113*VLOOKUP('Données projet'!$B$11,Paramètres!$A$1:$I$89,3,0)*VLOOKUP('Données projet'!$B$11,Paramètres!$A$1:$I$89,5,0)</f>
        <v>270.25439999999992</v>
      </c>
      <c r="BF113" s="14">
        <f t="shared" si="91"/>
        <v>64.903256428828257</v>
      </c>
      <c r="BG113" s="22">
        <f t="shared" si="61"/>
        <v>583.73291828020911</v>
      </c>
      <c r="BH113" s="60">
        <f t="shared" si="62"/>
        <v>877.06625161354236</v>
      </c>
      <c r="BI113" s="60">
        <f ca="1">AVERAGE(OFFSET($BH$3,0,0,'Données projet'!$E$11+1,1))-AVERAGE(OFFSET($H$3,0,0,'Données projet'!$E$11+1,1))</f>
        <v>389.12604446638119</v>
      </c>
      <c r="BJ113" s="60">
        <f t="shared" si="92"/>
        <v>243.23852967152732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284</v>
      </c>
      <c r="BW113" s="13">
        <f>VLOOKUP(A113,'Données projet'!$A$113:$I$133,9,0)</f>
        <v>4.2</v>
      </c>
      <c r="BX113" s="13">
        <f t="array" ref="BX113">INDEX(BW:BW,MIN(IF(ISNUMBER(BW113:BW309),ROW(BW113:BW309),"")))</f>
        <v>4.2</v>
      </c>
      <c r="BY113" s="13">
        <f>IF('Données projet'!$A$114&gt;35,BY112+BX113-CG112,IF(A113&lt;'Données projet'!$A$114,$BV$205^A113,IF(A113='Données projet'!$A$114,'Données projet'!$B$114,BY112+BX113-CG112)))</f>
        <v>283.99999999999994</v>
      </c>
      <c r="BZ113" s="14">
        <f>BY113*VLOOKUP('Données projet'!$B$12,Paramètres!$A$1:$I$89,3,0)*VLOOKUP('Données projet'!$B$12,Paramètres!$A$1:$I$89,5,0)</f>
        <v>256.96319999999992</v>
      </c>
      <c r="CA113" s="14">
        <f t="shared" si="93"/>
        <v>62.074612956838024</v>
      </c>
      <c r="CB113" s="22">
        <f t="shared" si="64"/>
        <v>555.65752423315928</v>
      </c>
      <c r="CC113" s="60">
        <f t="shared" si="65"/>
        <v>848.99085756649265</v>
      </c>
      <c r="CD113" s="60">
        <f ca="1">AVERAGE(OFFSET($CC$3,0,0,'Données projet'!$E$12+1,1))-AVERAGE(OFFSET($H$3,0,0,'Données projet'!$E$12+1,1))</f>
        <v>371.95849973474657</v>
      </c>
      <c r="CE113" s="60">
        <f t="shared" si="94"/>
        <v>233.32640143610547</v>
      </c>
      <c r="CF113" s="16">
        <f>IF(ISNA(VLOOKUP(A113,'Données projet'!$A$113:$I$133,3,0)),0,VLOOKUP(A113,'Données projet'!$A$113:$I$133,3,0))</f>
        <v>18</v>
      </c>
      <c r="CG113" s="16">
        <f>IF(ISNA(VLOOKUP(A113,'Données projet'!$A$113:$I$133,4,0)),0,VLOOKUP(A113,'Données projet'!$A$113:$I$133,4,0))</f>
        <v>19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1.7403258221117371E-11</v>
      </c>
      <c r="CN113" s="24">
        <f t="shared" si="66"/>
        <v>1.7403258221117371E-11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284</v>
      </c>
      <c r="CR113" s="13">
        <f>VLOOKUP(A113,'Données projet'!$A$139:$I$159,9,0)</f>
        <v>4.2</v>
      </c>
      <c r="CS113" s="13">
        <f t="array" ref="CS113">INDEX(CR:CR,MIN(IF(ISNUMBER(CR113:CR309),ROW(CR113:CR309),"")))</f>
        <v>4.2</v>
      </c>
      <c r="CT113" s="13">
        <f>IF('Données projet'!$A$140&gt;35,CT112+CS113-DB112,IF(A113&lt;'Données projet'!$A$140,$CQ$205^A113,IF(A113='Données projet'!$A$140,'Données projet'!$B$140,CT112+CS113-DB112)))</f>
        <v>283.99999999999994</v>
      </c>
      <c r="CU113" s="18">
        <f>CT113*VLOOKUP('Données projet'!$B$13,Paramètres!$A$1:$I$89,3,0)*VLOOKUP('Données projet'!$B$13,Paramètres!$A$1:$I$89,5,0)</f>
        <v>274.68479999999994</v>
      </c>
      <c r="CV113" s="14">
        <f t="shared" si="95"/>
        <v>65.842504497456659</v>
      </c>
      <c r="CW113" s="22">
        <f t="shared" si="67"/>
        <v>593.08505533307027</v>
      </c>
      <c r="CX113" s="60">
        <f t="shared" si="68"/>
        <v>886.41838866640364</v>
      </c>
      <c r="CY113" s="60">
        <f ca="1">AVERAGE(OFFSET($CX$3,0,0,'Données projet'!$E$13+1,1))-AVERAGE(OFFSET($H$3,0,0,'Données projet'!$E$13+1,1))</f>
        <v>394.8445842828649</v>
      </c>
      <c r="CZ113" s="60">
        <f t="shared" si="96"/>
        <v>246.54010105494143</v>
      </c>
      <c r="DA113" s="16">
        <f>IF(ISNA(VLOOKUP(A113,'Données projet'!$A$139:$I$159,3,0)),0,VLOOKUP(A113,'Données projet'!$A$139:$I$159,3,0))</f>
        <v>18</v>
      </c>
      <c r="DB113" s="16">
        <f>IF(ISNA(VLOOKUP(A113,'Données projet'!$A$139:$I$159,4,0)),0,VLOOKUP(A113,'Données projet'!$A$139:$I$159,4,0))</f>
        <v>19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1.8603482926022029E-11</v>
      </c>
      <c r="DI113" s="24">
        <f t="shared" si="69"/>
        <v>1.8603482926022029E-11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5.6843418860808015E-14</v>
      </c>
      <c r="DP113" s="18">
        <f>DO113*VLOOKUP('Données projet'!$B$14,Paramètres!$A$1:$I$89,3,0)*VLOOKUP('Données projet'!$B$14,Paramètres!$A$1:$I$89,5,0)</f>
        <v>4.9658410716801891E-14</v>
      </c>
      <c r="DQ113" s="14">
        <f t="shared" si="97"/>
        <v>8.0934058173791862E-13</v>
      </c>
      <c r="DR113" s="22">
        <f t="shared" si="70"/>
        <v>1.4960899118586383E-12</v>
      </c>
      <c r="DS113" s="60">
        <f t="shared" si="71"/>
        <v>293.33333333333479</v>
      </c>
      <c r="DT113" s="60">
        <f ca="1">AVERAGE(OFFSET($DS$3,0,0,'Données projet'!$E$14+1,1))-AVERAGE(OFFSET($H$3,0,0,'Données projet'!$E$14+1,1))</f>
        <v>266.98113257513319</v>
      </c>
      <c r="DU113" s="60">
        <f t="shared" si="98"/>
        <v>275.73257102713393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1.2115686854374399</v>
      </c>
      <c r="EC113" s="23">
        <f>EXP(-LN(2)/2)*EC112+(1-EXP(-LN(2)/2))/(LN(2)/2)*DW113*DZ113*VLOOKUP('Données projet'!$B$14,Paramètres!$A$1:$I$89,3,0)*0.475*44/12</f>
        <v>9.519315777223988E-12</v>
      </c>
      <c r="ED113" s="24">
        <f t="shared" si="72"/>
        <v>1.2115686854469592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284</v>
      </c>
      <c r="EH113" s="13">
        <f>VLOOKUP(A113,'Données projet'!$A$191:$I$211,9,0)</f>
        <v>4.2</v>
      </c>
      <c r="EI113" s="13">
        <f t="array" ref="EI113">INDEX(EH:EH,MIN(IF(ISNUMBER(EH113:EH309),ROW(EH113:EH309),"")))</f>
        <v>4.2</v>
      </c>
      <c r="EJ113" s="13">
        <f>IF('Données projet'!$A$192&gt;35,EJ112+EI113-ER112,IF(A113&lt;'Données projet'!$A$192,$EG$205^A113,IF(A113='Données projet'!$A$192,'Données projet'!$B$192,EJ112+EI113-ER112)))</f>
        <v>283.99999999999994</v>
      </c>
      <c r="EK113" s="18">
        <f>EJ113*VLOOKUP('Données projet'!$B$15,Paramètres!$A$1:$I$89,3,0)*VLOOKUP('Données projet'!$B$15,Paramètres!$A$1:$I$89,5,0)</f>
        <v>323.41919999999993</v>
      </c>
      <c r="EL113" s="14">
        <f t="shared" si="99"/>
        <v>76.06434405252827</v>
      </c>
      <c r="EM113" s="22">
        <f t="shared" si="73"/>
        <v>695.76717255815322</v>
      </c>
      <c r="EN113" s="60">
        <f t="shared" si="74"/>
        <v>989.10050589148659</v>
      </c>
      <c r="EO113" s="60">
        <f ca="1">AVERAGE(OFFSET($EN$3,0,0,'Données projet'!$E$15+1,1))-AVERAGE(OFFSET($H$3,0,0,'Données projet'!$E$15+1,1))</f>
        <v>457.62828850677369</v>
      </c>
      <c r="EP113" s="60">
        <f t="shared" si="100"/>
        <v>282.78263556175563</v>
      </c>
      <c r="EQ113" s="16">
        <f>IF(ISNA(VLOOKUP(A113,'Données projet'!$A$191:$I$211,3,0)),0,VLOOKUP(A113,'Données projet'!$A$191:$I$211,3,0))</f>
        <v>18</v>
      </c>
      <c r="ER113" s="16">
        <f>IF(ISNA(VLOOKUP(A113,'Données projet'!$A$191:$I$211,4,0)),0,VLOOKUP(A113,'Données projet'!$A$191:$I$211,4,0))</f>
        <v>19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284</v>
      </c>
      <c r="FC113" s="13">
        <f>VLOOKUP(A113,'Données projet'!$A$217:$I$237,9,0)</f>
        <v>4.2</v>
      </c>
      <c r="FD113" s="13">
        <f t="array" ref="FD113">INDEX(FC:FC,MIN(IF(ISNUMBER(FC113:FC309),ROW(FC113:FC309),"")))</f>
        <v>4.2</v>
      </c>
      <c r="FE113" s="13">
        <f>IF('Données projet'!$A$218&gt;35,FE112+FD113-FM112,IF(A113&lt;'Données projet'!$A$218,$FB$205^A113,IF(A113='Données projet'!$A$218,'Données projet'!$B$218,FE112+FD113-FM112)))</f>
        <v>283.99999999999994</v>
      </c>
      <c r="FF113" s="18">
        <f>FE113*VLOOKUP('Données projet'!$B$16,Paramètres!$A$1:$I$89,3,0)*VLOOKUP('Données projet'!$B$16,Paramètres!$A$1:$I$89,5,0)</f>
        <v>310.12799999999993</v>
      </c>
      <c r="FG113" s="14">
        <f t="shared" si="101"/>
        <v>73.295561024036076</v>
      </c>
      <c r="FH113" s="22">
        <f t="shared" si="76"/>
        <v>667.79603545019597</v>
      </c>
      <c r="FI113" s="60">
        <f t="shared" si="77"/>
        <v>961.12936878352934</v>
      </c>
      <c r="FJ113" s="60">
        <f ca="1">AVERAGE(OFFSET($FI$3,0,0,'Données projet'!$E$16+1,1))-AVERAGE(OFFSET($H$3,0,0,'Données projet'!$E$16+1,1))</f>
        <v>440.52623925652182</v>
      </c>
      <c r="FK113" s="60">
        <f t="shared" si="102"/>
        <v>272.91122662088918</v>
      </c>
      <c r="FL113" s="16">
        <f>IF(ISNA(VLOOKUP(A113,'Données projet'!$A$217:$I$237,3,0)),0,VLOOKUP(A113,'Données projet'!$A$217:$I$237,3,0))</f>
        <v>18</v>
      </c>
      <c r="FM113" s="16">
        <f>IF(ISNA(VLOOKUP(A113,'Données projet'!$A$217:$I$237,4,0)),0,VLOOKUP(A113,'Données projet'!$A$217:$I$237,4,0))</f>
        <v>19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3.4106051316484809E-13</v>
      </c>
      <c r="GA113" s="18">
        <f>FZ113*VLOOKUP('Données projet'!$B$17,Paramètres!$A$1:$I$89,3,0)*VLOOKUP('Données projet'!$B$17,Paramètres!$A$1:$I$89,5,0)</f>
        <v>1.5961632016114892E-13</v>
      </c>
      <c r="GB113" s="14">
        <f t="shared" si="103"/>
        <v>2.2708641912150958E-12</v>
      </c>
      <c r="GC113" s="22">
        <f t="shared" si="79"/>
        <v>4.2330868906469593E-12</v>
      </c>
      <c r="GD113" s="60">
        <f t="shared" si="80"/>
        <v>293.33333333333752</v>
      </c>
      <c r="GE113" s="60">
        <f ca="1">AVERAGE(OFFSET($GD$3,0,0,'Données projet'!$E$17+1,1))-AVERAGE(OFFSET($H$3,0,0,'Données projet'!$E$17+1,1))</f>
        <v>317.54276561627643</v>
      </c>
      <c r="GF113" s="60">
        <f t="shared" si="104"/>
        <v>238.92443174298893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>
        <f>GU113*VLOOKUP('Données projet'!$B$18,Paramètres!$A$1:$I$89,3,0)*VLOOKUP('Données projet'!$B$18,Paramètres!$A$1:$I$89,5,0)</f>
        <v>0</v>
      </c>
      <c r="GW113" s="14" t="e">
        <f t="shared" si="105"/>
        <v>#NUM!</v>
      </c>
      <c r="GX113" s="22" t="e">
        <f t="shared" si="82"/>
        <v>#NUM!</v>
      </c>
      <c r="GY113" s="60" t="e">
        <f t="shared" si="83"/>
        <v>#NUM!</v>
      </c>
      <c r="GZ113" s="60">
        <f ca="1">AVERAGE(OFFSET($GY$3,0,0,'Données projet'!$E$18+1,1))-AVERAGE(OFFSET($H$3,0,0,'Données projet'!$E$18+1,1))</f>
        <v>79.868679770907136</v>
      </c>
      <c r="HA113" s="60">
        <f t="shared" si="106"/>
        <v>370.47471103028312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12.742319761979987</v>
      </c>
      <c r="HH113" s="23">
        <f>EXP(-LN(2)/25)*HH112+(1-EXP(-LN(2)/25))/(LN(2)/25)*Calculateur!HC113*Calculateur!HE113*VLOOKUP('Données projet'!$B$18,Paramètres!$A$1:$I$89,3,0)*0.475*44/12</f>
        <v>1.6438852048645483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14.386204966844534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0">
        <f t="shared" si="55"/>
        <v>293.33333333333439</v>
      </c>
      <c r="S114" s="60">
        <f ca="1">AVERAGE(OFFSET($R$3,0,0,'Données projet'!$E$9+1,1))-AVERAGE(OFFSET($H$3,0,0,'Données projet'!$E$9+1,1))</f>
        <v>206.5885410269899</v>
      </c>
      <c r="T114" s="60">
        <f t="shared" si="88"/>
        <v>347.41156847586302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3.3992364478763198E-14</v>
      </c>
      <c r="AK114" s="14">
        <f t="shared" si="89"/>
        <v>5.790027782444094E-13</v>
      </c>
      <c r="AL114" s="22">
        <f t="shared" si="58"/>
        <v>1.0676332069095257E-12</v>
      </c>
      <c r="AM114" s="60">
        <f t="shared" si="59"/>
        <v>293.33333333333439</v>
      </c>
      <c r="AN114" s="60">
        <f ca="1">AVERAGE(OFFSET($AM$3,0,0,'Données projet'!$E$10+1,1))-AVERAGE(OFFSET($H$3,0,0,'Données projet'!$E$10+1,1))</f>
        <v>206.5885410269899</v>
      </c>
      <c r="AO114" s="60">
        <f t="shared" si="90"/>
        <v>347.41156847586302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21.994180479756366</v>
      </c>
      <c r="AV114" s="23">
        <f>EXP(-LN(2)/25)*AV113+(1-EXP(-LN(2)/25))/(LN(2)/25)*Calculateur!AQ114*Calculateur!AS114*VLOOKUP('Données projet'!$B$10,Paramètres!$A$1:$I$89,3,0)*0.475*44/12</f>
        <v>0.35384190659291848</v>
      </c>
      <c r="AW114" s="23">
        <f>EXP(-LN(2)/2)*AW113+(1-EXP(-LN(2)/2))/(LN(2)/2)*AQ114*AT114*VLOOKUP('Données projet'!$B$10,Paramètres!$A$1:$I$89,3,0)*0.475*44/12</f>
        <v>7.0839750971608228E-10</v>
      </c>
      <c r="AX114" s="23">
        <f t="shared" si="60"/>
        <v>22.348022387057682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268.79999999999995</v>
      </c>
      <c r="BE114" s="14">
        <f>BD114*VLOOKUP('Données projet'!$B$11,Paramètres!$A$1:$I$89,3,0)*VLOOKUP('Données projet'!$B$11,Paramètres!$A$1:$I$89,5,0)</f>
        <v>255.79007999999996</v>
      </c>
      <c r="BF114" s="14">
        <f t="shared" si="91"/>
        <v>61.824142326633051</v>
      </c>
      <c r="BG114" s="22">
        <f t="shared" si="61"/>
        <v>553.17810388555245</v>
      </c>
      <c r="BH114" s="60">
        <f t="shared" si="62"/>
        <v>846.5114372188857</v>
      </c>
      <c r="BI114" s="60">
        <f ca="1">AVERAGE(OFFSET($BH$3,0,0,'Données projet'!$E$11+1,1))-AVERAGE(OFFSET($H$3,0,0,'Données projet'!$E$11+1,1))</f>
        <v>389.12604446638119</v>
      </c>
      <c r="BJ114" s="60">
        <f t="shared" si="92"/>
        <v>243.23852967152732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3.8</v>
      </c>
      <c r="BY114" s="13">
        <f>IF('Données projet'!$A$114&gt;35,BY113+BX114-CG113,IF(A114&lt;'Données projet'!$A$114,$BV$205^A114,IF(A114='Données projet'!$A$114,'Données projet'!$B$114,BY113+BX114-CG113)))</f>
        <v>268.79999999999995</v>
      </c>
      <c r="BZ114" s="14">
        <f>BY114*VLOOKUP('Données projet'!$B$12,Paramètres!$A$1:$I$89,3,0)*VLOOKUP('Données projet'!$B$12,Paramètres!$A$1:$I$89,5,0)</f>
        <v>243.21023999999997</v>
      </c>
      <c r="CA114" s="14">
        <f t="shared" si="93"/>
        <v>59.129694216846737</v>
      </c>
      <c r="CB114" s="22">
        <f t="shared" si="64"/>
        <v>526.57538542767463</v>
      </c>
      <c r="CC114" s="60">
        <f t="shared" si="65"/>
        <v>819.908718761008</v>
      </c>
      <c r="CD114" s="60">
        <f ca="1">AVERAGE(OFFSET($CC$3,0,0,'Données projet'!$E$12+1,1))-AVERAGE(OFFSET($H$3,0,0,'Données projet'!$E$12+1,1))</f>
        <v>371.95849973474657</v>
      </c>
      <c r="CE114" s="60">
        <f t="shared" si="94"/>
        <v>233.32640143610547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1.2305961902892626E-11</v>
      </c>
      <c r="CN114" s="24">
        <f t="shared" si="66"/>
        <v>1.2305961902892626E-11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3.8</v>
      </c>
      <c r="CT114" s="13">
        <f>IF('Données projet'!$A$140&gt;35,CT113+CS114-DB113,IF(A114&lt;'Données projet'!$A$140,$CQ$205^A114,IF(A114='Données projet'!$A$140,'Données projet'!$B$140,CT113+CS114-DB113)))</f>
        <v>268.79999999999995</v>
      </c>
      <c r="CU114" s="18">
        <f>CT114*VLOOKUP('Données projet'!$B$13,Paramètres!$A$1:$I$89,3,0)*VLOOKUP('Données projet'!$B$13,Paramètres!$A$1:$I$89,5,0)</f>
        <v>259.98335999999995</v>
      </c>
      <c r="CV114" s="14">
        <f t="shared" si="95"/>
        <v>62.718830967388243</v>
      </c>
      <c r="CW114" s="22">
        <f t="shared" si="67"/>
        <v>562.03964926820106</v>
      </c>
      <c r="CX114" s="60">
        <f t="shared" si="68"/>
        <v>855.37298260153443</v>
      </c>
      <c r="CY114" s="60">
        <f ca="1">AVERAGE(OFFSET($CX$3,0,0,'Données projet'!$E$13+1,1))-AVERAGE(OFFSET($H$3,0,0,'Données projet'!$E$13+1,1))</f>
        <v>394.8445842828649</v>
      </c>
      <c r="CZ114" s="60">
        <f t="shared" si="96"/>
        <v>246.54010105494143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1.3154648930678332E-11</v>
      </c>
      <c r="DI114" s="24">
        <f t="shared" si="69"/>
        <v>1.3154648930678332E-11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5.6843418860808015E-14</v>
      </c>
      <c r="DP114" s="18">
        <f>DO114*VLOOKUP('Données projet'!$B$14,Paramètres!$A$1:$I$89,3,0)*VLOOKUP('Données projet'!$B$14,Paramètres!$A$1:$I$89,5,0)</f>
        <v>4.9658410716801891E-14</v>
      </c>
      <c r="DQ114" s="14">
        <f t="shared" si="97"/>
        <v>8.0934058173791862E-13</v>
      </c>
      <c r="DR114" s="22">
        <f t="shared" si="70"/>
        <v>1.4960899118586383E-12</v>
      </c>
      <c r="DS114" s="60">
        <f t="shared" si="71"/>
        <v>293.33333333333479</v>
      </c>
      <c r="DT114" s="60">
        <f ca="1">AVERAGE(OFFSET($DS$3,0,0,'Données projet'!$E$14+1,1))-AVERAGE(OFFSET($H$3,0,0,'Données projet'!$E$14+1,1))</f>
        <v>266.98113257513319</v>
      </c>
      <c r="DU114" s="60">
        <f t="shared" si="98"/>
        <v>275.73257102713393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1.178438276020525</v>
      </c>
      <c r="EC114" s="23">
        <f>EXP(-LN(2)/2)*EC113+(1-EXP(-LN(2)/2))/(LN(2)/2)*DW114*DZ114*VLOOKUP('Données projet'!$B$14,Paramètres!$A$1:$I$89,3,0)*0.475*44/12</f>
        <v>6.7311727383311722E-12</v>
      </c>
      <c r="ED114" s="24">
        <f t="shared" si="72"/>
        <v>1.1784382760272563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3.8</v>
      </c>
      <c r="EJ114" s="13">
        <f>IF('Données projet'!$A$192&gt;35,EJ113+EI114-ER113,IF(A114&lt;'Données projet'!$A$192,$EG$205^A114,IF(A114='Données projet'!$A$192,'Données projet'!$B$192,EJ113+EI114-ER113)))</f>
        <v>268.79999999999995</v>
      </c>
      <c r="EK114" s="18">
        <f>EJ114*VLOOKUP('Données projet'!$B$15,Paramètres!$A$1:$I$89,3,0)*VLOOKUP('Données projet'!$B$15,Paramètres!$A$1:$I$89,5,0)</f>
        <v>306.10943999999995</v>
      </c>
      <c r="EL114" s="14">
        <f t="shared" si="99"/>
        <v>72.455730134932253</v>
      </c>
      <c r="EM114" s="22">
        <f t="shared" si="73"/>
        <v>659.33433798500698</v>
      </c>
      <c r="EN114" s="60">
        <f t="shared" si="74"/>
        <v>952.66767131834035</v>
      </c>
      <c r="EO114" s="60">
        <f ca="1">AVERAGE(OFFSET($EN$3,0,0,'Données projet'!$E$15+1,1))-AVERAGE(OFFSET($H$3,0,0,'Données projet'!$E$15+1,1))</f>
        <v>457.62828850677369</v>
      </c>
      <c r="EP114" s="60">
        <f t="shared" si="100"/>
        <v>282.78263556175563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3.8</v>
      </c>
      <c r="FE114" s="13">
        <f>IF('Données projet'!$A$218&gt;35,FE113+FD114-FM113,IF(A114&lt;'Données projet'!$A$218,$FB$205^A114,IF(A114='Données projet'!$A$218,'Données projet'!$B$218,FE113+FD114-FM113)))</f>
        <v>268.79999999999995</v>
      </c>
      <c r="FF114" s="18">
        <f>FE114*VLOOKUP('Données projet'!$B$16,Paramètres!$A$1:$I$89,3,0)*VLOOKUP('Données projet'!$B$16,Paramètres!$A$1:$I$89,5,0)</f>
        <v>293.52959999999996</v>
      </c>
      <c r="FG114" s="14">
        <f t="shared" si="101"/>
        <v>69.818302593638066</v>
      </c>
      <c r="FH114" s="22">
        <f t="shared" si="76"/>
        <v>632.8309303505863</v>
      </c>
      <c r="FI114" s="60">
        <f t="shared" si="77"/>
        <v>926.16426368391967</v>
      </c>
      <c r="FJ114" s="60">
        <f ca="1">AVERAGE(OFFSET($FI$3,0,0,'Données projet'!$E$16+1,1))-AVERAGE(OFFSET($H$3,0,0,'Données projet'!$E$16+1,1))</f>
        <v>440.52623925652182</v>
      </c>
      <c r="FK114" s="60">
        <f t="shared" si="102"/>
        <v>272.91122662088918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3.4106051316484809E-13</v>
      </c>
      <c r="GA114" s="18">
        <f>FZ114*VLOOKUP('Données projet'!$B$17,Paramètres!$A$1:$I$89,3,0)*VLOOKUP('Données projet'!$B$17,Paramètres!$A$1:$I$89,5,0)</f>
        <v>1.5961632016114892E-13</v>
      </c>
      <c r="GB114" s="14">
        <f t="shared" si="103"/>
        <v>2.2708641912150958E-12</v>
      </c>
      <c r="GC114" s="22">
        <f t="shared" si="79"/>
        <v>4.2330868906469593E-12</v>
      </c>
      <c r="GD114" s="60">
        <f t="shared" si="80"/>
        <v>293.33333333333752</v>
      </c>
      <c r="GE114" s="60">
        <f ca="1">AVERAGE(OFFSET($GD$3,0,0,'Données projet'!$E$17+1,1))-AVERAGE(OFFSET($H$3,0,0,'Données projet'!$E$17+1,1))</f>
        <v>317.54276561627643</v>
      </c>
      <c r="GF114" s="60">
        <f t="shared" si="104"/>
        <v>238.92443174298893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>
        <f>GU114*VLOOKUP('Données projet'!$B$18,Paramètres!$A$1:$I$89,3,0)*VLOOKUP('Données projet'!$B$18,Paramètres!$A$1:$I$89,5,0)</f>
        <v>0</v>
      </c>
      <c r="GW114" s="14" t="e">
        <f t="shared" si="105"/>
        <v>#NUM!</v>
      </c>
      <c r="GX114" s="22" t="e">
        <f t="shared" si="82"/>
        <v>#NUM!</v>
      </c>
      <c r="GY114" s="60" t="e">
        <f t="shared" si="83"/>
        <v>#NUM!</v>
      </c>
      <c r="GZ114" s="60">
        <f ca="1">AVERAGE(OFFSET($GY$3,0,0,'Données projet'!$E$18+1,1))-AVERAGE(OFFSET($H$3,0,0,'Données projet'!$E$18+1,1))</f>
        <v>79.868679770907136</v>
      </c>
      <c r="HA114" s="60">
        <f t="shared" si="106"/>
        <v>370.47471103028312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12.492450643495188</v>
      </c>
      <c r="HH114" s="23">
        <f>EXP(-LN(2)/25)*HH113+(1-EXP(-LN(2)/25))/(LN(2)/25)*Calculateur!HC114*Calculateur!HE114*VLOOKUP('Données projet'!$B$18,Paramètres!$A$1:$I$89,3,0)*0.475*44/12</f>
        <v>1.5989330774893613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14.091383720984549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0">
        <f t="shared" si="55"/>
        <v>293.33333333333439</v>
      </c>
      <c r="S115" s="60">
        <f ca="1">AVERAGE(OFFSET($R$3,0,0,'Données projet'!$E$9+1,1))-AVERAGE(OFFSET($H$3,0,0,'Données projet'!$E$9+1,1))</f>
        <v>206.5885410269899</v>
      </c>
      <c r="T115" s="60">
        <f t="shared" si="88"/>
        <v>347.41156847586302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3.3992364478763198E-14</v>
      </c>
      <c r="AK115" s="14">
        <f t="shared" si="89"/>
        <v>5.790027782444094E-13</v>
      </c>
      <c r="AL115" s="22">
        <f t="shared" si="58"/>
        <v>1.0676332069095257E-12</v>
      </c>
      <c r="AM115" s="60">
        <f t="shared" si="59"/>
        <v>293.33333333333439</v>
      </c>
      <c r="AN115" s="60">
        <f ca="1">AVERAGE(OFFSET($AM$3,0,0,'Données projet'!$E$10+1,1))-AVERAGE(OFFSET($H$3,0,0,'Données projet'!$E$10+1,1))</f>
        <v>206.5885410269899</v>
      </c>
      <c r="AO115" s="60">
        <f t="shared" si="90"/>
        <v>347.41156847586302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21.562888015673803</v>
      </c>
      <c r="AV115" s="23">
        <f>EXP(-LN(2)/25)*AV114+(1-EXP(-LN(2)/25))/(LN(2)/25)*Calculateur!AQ115*Calculateur!AS115*VLOOKUP('Données projet'!$B$10,Paramètres!$A$1:$I$89,3,0)*0.475*44/12</f>
        <v>0.34416608104939794</v>
      </c>
      <c r="AW115" s="23">
        <f>EXP(-LN(2)/2)*AW114+(1-EXP(-LN(2)/2))/(LN(2)/2)*AQ115*AT115*VLOOKUP('Données projet'!$B$10,Paramètres!$A$1:$I$89,3,0)*0.475*44/12</f>
        <v>5.0091268289590496E-10</v>
      </c>
      <c r="AX115" s="23">
        <f t="shared" si="60"/>
        <v>21.907054097224112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272.59999999999997</v>
      </c>
      <c r="BE115" s="14">
        <f>BD115*VLOOKUP('Données projet'!$B$11,Paramètres!$A$1:$I$89,3,0)*VLOOKUP('Données projet'!$B$11,Paramètres!$A$1:$I$89,5,0)</f>
        <v>259.40615999999994</v>
      </c>
      <c r="BF115" s="14">
        <f t="shared" si="91"/>
        <v>62.595778424976366</v>
      </c>
      <c r="BG115" s="22">
        <f t="shared" si="61"/>
        <v>560.82004275683369</v>
      </c>
      <c r="BH115" s="60">
        <f t="shared" si="62"/>
        <v>854.15337609016706</v>
      </c>
      <c r="BI115" s="60">
        <f ca="1">AVERAGE(OFFSET($BH$3,0,0,'Données projet'!$E$11+1,1))-AVERAGE(OFFSET($H$3,0,0,'Données projet'!$E$11+1,1))</f>
        <v>389.12604446638119</v>
      </c>
      <c r="BJ115" s="60">
        <f t="shared" si="92"/>
        <v>243.23852967152732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3.8</v>
      </c>
      <c r="BY115" s="13">
        <f>IF('Données projet'!$A$114&gt;35,BY114+BX115-CG114,IF(A115&lt;'Données projet'!$A$114,$BV$205^A115,IF(A115='Données projet'!$A$114,'Données projet'!$B$114,BY114+BX115-CG114)))</f>
        <v>272.59999999999997</v>
      </c>
      <c r="BZ115" s="14">
        <f>BY115*VLOOKUP('Données projet'!$B$12,Paramètres!$A$1:$I$89,3,0)*VLOOKUP('Données projet'!$B$12,Paramètres!$A$1:$I$89,5,0)</f>
        <v>246.64847999999998</v>
      </c>
      <c r="CA115" s="14">
        <f t="shared" si="93"/>
        <v>59.867700517050096</v>
      </c>
      <c r="CB115" s="22">
        <f t="shared" si="64"/>
        <v>533.84901440052897</v>
      </c>
      <c r="CC115" s="60">
        <f t="shared" si="65"/>
        <v>827.18234773386234</v>
      </c>
      <c r="CD115" s="60">
        <f ca="1">AVERAGE(OFFSET($CC$3,0,0,'Données projet'!$E$12+1,1))-AVERAGE(OFFSET($H$3,0,0,'Données projet'!$E$12+1,1))</f>
        <v>371.95849973474657</v>
      </c>
      <c r="CE115" s="60">
        <f t="shared" si="94"/>
        <v>233.32640143610547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8.7016291105586857E-12</v>
      </c>
      <c r="CN115" s="24">
        <f t="shared" si="66"/>
        <v>8.7016291105586857E-12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3.8</v>
      </c>
      <c r="CT115" s="13">
        <f>IF('Données projet'!$A$140&gt;35,CT114+CS115-DB114,IF(A115&lt;'Données projet'!$A$140,$CQ$205^A115,IF(A115='Données projet'!$A$140,'Données projet'!$B$140,CT114+CS115-DB114)))</f>
        <v>272.59999999999997</v>
      </c>
      <c r="CU115" s="18">
        <f>CT115*VLOOKUP('Données projet'!$B$13,Paramètres!$A$1:$I$89,3,0)*VLOOKUP('Données projet'!$B$13,Paramètres!$A$1:$I$89,5,0)</f>
        <v>263.65871999999996</v>
      </c>
      <c r="CV115" s="14">
        <f t="shared" si="95"/>
        <v>63.501633804581523</v>
      </c>
      <c r="CW115" s="22">
        <f t="shared" si="67"/>
        <v>569.80428287631264</v>
      </c>
      <c r="CX115" s="60">
        <f t="shared" si="68"/>
        <v>863.13761620964601</v>
      </c>
      <c r="CY115" s="60">
        <f ca="1">AVERAGE(OFFSET($CX$3,0,0,'Données projet'!$E$13+1,1))-AVERAGE(OFFSET($H$3,0,0,'Données projet'!$E$13+1,1))</f>
        <v>394.8445842828649</v>
      </c>
      <c r="CZ115" s="60">
        <f t="shared" si="96"/>
        <v>246.54010105494143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9.3017414630110146E-12</v>
      </c>
      <c r="DI115" s="24">
        <f t="shared" si="69"/>
        <v>9.3017414630110146E-12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5.6843418860808015E-14</v>
      </c>
      <c r="DP115" s="18">
        <f>DO115*VLOOKUP('Données projet'!$B$14,Paramètres!$A$1:$I$89,3,0)*VLOOKUP('Données projet'!$B$14,Paramètres!$A$1:$I$89,5,0)</f>
        <v>4.9658410716801891E-14</v>
      </c>
      <c r="DQ115" s="14">
        <f t="shared" si="97"/>
        <v>8.0934058173791862E-13</v>
      </c>
      <c r="DR115" s="22">
        <f t="shared" si="70"/>
        <v>1.4960899118586383E-12</v>
      </c>
      <c r="DS115" s="60">
        <f t="shared" si="71"/>
        <v>293.33333333333479</v>
      </c>
      <c r="DT115" s="60">
        <f ca="1">AVERAGE(OFFSET($DS$3,0,0,'Données projet'!$E$14+1,1))-AVERAGE(OFFSET($H$3,0,0,'Données projet'!$E$14+1,1))</f>
        <v>266.98113257513319</v>
      </c>
      <c r="DU115" s="60">
        <f t="shared" si="98"/>
        <v>275.73257102713393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1.1462138193913682</v>
      </c>
      <c r="EC115" s="23">
        <f>EXP(-LN(2)/2)*EC114+(1-EXP(-LN(2)/2))/(LN(2)/2)*DW115*DZ115*VLOOKUP('Données projet'!$B$14,Paramètres!$A$1:$I$89,3,0)*0.475*44/12</f>
        <v>4.759657888611994E-12</v>
      </c>
      <c r="ED115" s="24">
        <f t="shared" si="72"/>
        <v>1.146213819396128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3.8</v>
      </c>
      <c r="EJ115" s="13">
        <f>IF('Données projet'!$A$192&gt;35,EJ114+EI115-ER114,IF(A115&lt;'Données projet'!$A$192,$EG$205^A115,IF(A115='Données projet'!$A$192,'Données projet'!$B$192,EJ114+EI115-ER114)))</f>
        <v>272.59999999999997</v>
      </c>
      <c r="EK115" s="18">
        <f>EJ115*VLOOKUP('Données projet'!$B$15,Paramètres!$A$1:$I$89,3,0)*VLOOKUP('Données projet'!$B$15,Paramètres!$A$1:$I$89,5,0)</f>
        <v>310.43687999999997</v>
      </c>
      <c r="EL115" s="14">
        <f t="shared" si="99"/>
        <v>73.360060624606533</v>
      </c>
      <c r="EM115" s="22">
        <f t="shared" si="73"/>
        <v>668.44633825452308</v>
      </c>
      <c r="EN115" s="60">
        <f t="shared" si="74"/>
        <v>961.77967158785646</v>
      </c>
      <c r="EO115" s="60">
        <f ca="1">AVERAGE(OFFSET($EN$3,0,0,'Données projet'!$E$15+1,1))-AVERAGE(OFFSET($H$3,0,0,'Données projet'!$E$15+1,1))</f>
        <v>457.62828850677369</v>
      </c>
      <c r="EP115" s="60">
        <f t="shared" si="100"/>
        <v>282.78263556175563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3.8</v>
      </c>
      <c r="FE115" s="13">
        <f>IF('Données projet'!$A$218&gt;35,FE114+FD115-FM114,IF(A115&lt;'Données projet'!$A$218,$FB$205^A115,IF(A115='Données projet'!$A$218,'Données projet'!$B$218,FE114+FD115-FM114)))</f>
        <v>272.59999999999997</v>
      </c>
      <c r="FF115" s="18">
        <f>FE115*VLOOKUP('Données projet'!$B$16,Paramètres!$A$1:$I$89,3,0)*VLOOKUP('Données projet'!$B$16,Paramètres!$A$1:$I$89,5,0)</f>
        <v>297.67919999999998</v>
      </c>
      <c r="FG115" s="14">
        <f t="shared" si="101"/>
        <v>70.689714967168129</v>
      </c>
      <c r="FH115" s="22">
        <f t="shared" si="76"/>
        <v>641.57586023448448</v>
      </c>
      <c r="FI115" s="60">
        <f t="shared" si="77"/>
        <v>934.90919356781774</v>
      </c>
      <c r="FJ115" s="60">
        <f ca="1">AVERAGE(OFFSET($FI$3,0,0,'Données projet'!$E$16+1,1))-AVERAGE(OFFSET($H$3,0,0,'Données projet'!$E$16+1,1))</f>
        <v>440.52623925652182</v>
      </c>
      <c r="FK115" s="60">
        <f t="shared" si="102"/>
        <v>272.91122662088918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3.4106051316484809E-13</v>
      </c>
      <c r="GA115" s="18">
        <f>FZ115*VLOOKUP('Données projet'!$B$17,Paramètres!$A$1:$I$89,3,0)*VLOOKUP('Données projet'!$B$17,Paramètres!$A$1:$I$89,5,0)</f>
        <v>1.5961632016114892E-13</v>
      </c>
      <c r="GB115" s="14">
        <f t="shared" si="103"/>
        <v>2.2708641912150958E-12</v>
      </c>
      <c r="GC115" s="22">
        <f t="shared" si="79"/>
        <v>4.2330868906469593E-12</v>
      </c>
      <c r="GD115" s="60">
        <f t="shared" si="80"/>
        <v>293.33333333333752</v>
      </c>
      <c r="GE115" s="60">
        <f ca="1">AVERAGE(OFFSET($GD$3,0,0,'Données projet'!$E$17+1,1))-AVERAGE(OFFSET($H$3,0,0,'Données projet'!$E$17+1,1))</f>
        <v>317.54276561627643</v>
      </c>
      <c r="GF115" s="60">
        <f t="shared" si="104"/>
        <v>238.92443174298893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>
        <f>GU115*VLOOKUP('Données projet'!$B$18,Paramètres!$A$1:$I$89,3,0)*VLOOKUP('Données projet'!$B$18,Paramètres!$A$1:$I$89,5,0)</f>
        <v>0</v>
      </c>
      <c r="GW115" s="14" t="e">
        <f t="shared" si="105"/>
        <v>#NUM!</v>
      </c>
      <c r="GX115" s="22" t="e">
        <f t="shared" si="82"/>
        <v>#NUM!</v>
      </c>
      <c r="GY115" s="60" t="e">
        <f t="shared" si="83"/>
        <v>#NUM!</v>
      </c>
      <c r="GZ115" s="60">
        <f ca="1">AVERAGE(OFFSET($GY$3,0,0,'Données projet'!$E$18+1,1))-AVERAGE(OFFSET($H$3,0,0,'Données projet'!$E$18+1,1))</f>
        <v>79.868679770907136</v>
      </c>
      <c r="HA115" s="60">
        <f t="shared" si="106"/>
        <v>370.47471103028312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12.247481306018763</v>
      </c>
      <c r="HH115" s="23">
        <f>EXP(-LN(2)/25)*HH114+(1-EXP(-LN(2)/25))/(LN(2)/25)*Calculateur!HC115*Calculateur!HE115*VLOOKUP('Données projet'!$B$18,Paramètres!$A$1:$I$89,3,0)*0.475*44/12</f>
        <v>1.5552101684011785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13.802691474419941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0">
        <f t="shared" si="55"/>
        <v>293.33333333333439</v>
      </c>
      <c r="S116" s="60">
        <f ca="1">AVERAGE(OFFSET($R$3,0,0,'Données projet'!$E$9+1,1))-AVERAGE(OFFSET($H$3,0,0,'Données projet'!$E$9+1,1))</f>
        <v>206.5885410269899</v>
      </c>
      <c r="T116" s="60">
        <f t="shared" si="88"/>
        <v>347.41156847586302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3.3992364478763198E-14</v>
      </c>
      <c r="AK116" s="14">
        <f t="shared" si="89"/>
        <v>5.790027782444094E-13</v>
      </c>
      <c r="AL116" s="22">
        <f t="shared" si="58"/>
        <v>1.0676332069095257E-12</v>
      </c>
      <c r="AM116" s="60">
        <f t="shared" si="59"/>
        <v>293.33333333333439</v>
      </c>
      <c r="AN116" s="60">
        <f ca="1">AVERAGE(OFFSET($AM$3,0,0,'Données projet'!$E$10+1,1))-AVERAGE(OFFSET($H$3,0,0,'Données projet'!$E$10+1,1))</f>
        <v>206.5885410269899</v>
      </c>
      <c r="AO116" s="60">
        <f t="shared" si="90"/>
        <v>347.41156847586302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21.14005293374947</v>
      </c>
      <c r="AV116" s="23">
        <f>EXP(-LN(2)/25)*AV115+(1-EXP(-LN(2)/25))/(LN(2)/25)*Calculateur!AQ116*Calculateur!AS116*VLOOKUP('Données projet'!$B$10,Paramètres!$A$1:$I$89,3,0)*0.475*44/12</f>
        <v>0.33475484146419454</v>
      </c>
      <c r="AW116" s="23">
        <f>EXP(-LN(2)/2)*AW115+(1-EXP(-LN(2)/2))/(LN(2)/2)*AQ116*AT116*VLOOKUP('Données projet'!$B$10,Paramètres!$A$1:$I$89,3,0)*0.475*44/12</f>
        <v>3.5419875485804114E-10</v>
      </c>
      <c r="AX116" s="23">
        <f t="shared" si="60"/>
        <v>21.474807775567861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276.39999999999998</v>
      </c>
      <c r="BE116" s="14">
        <f>BD116*VLOOKUP('Données projet'!$B$11,Paramètres!$A$1:$I$89,3,0)*VLOOKUP('Données projet'!$B$11,Paramètres!$A$1:$I$89,5,0)</f>
        <v>263.02224000000001</v>
      </c>
      <c r="BF116" s="14">
        <f t="shared" si="91"/>
        <v>63.3661634411352</v>
      </c>
      <c r="BG116" s="22">
        <f t="shared" si="61"/>
        <v>568.45980265997707</v>
      </c>
      <c r="BH116" s="60">
        <f t="shared" si="62"/>
        <v>861.79313599331044</v>
      </c>
      <c r="BI116" s="60">
        <f ca="1">AVERAGE(OFFSET($BH$3,0,0,'Données projet'!$E$11+1,1))-AVERAGE(OFFSET($H$3,0,0,'Données projet'!$E$11+1,1))</f>
        <v>389.12604446638119</v>
      </c>
      <c r="BJ116" s="60">
        <f t="shared" si="92"/>
        <v>243.23852967152732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3.8</v>
      </c>
      <c r="BY116" s="13">
        <f>IF('Données projet'!$A$114&gt;35,BY115+BX116-CG115,IF(A116&lt;'Données projet'!$A$114,$BV$205^A116,IF(A116='Données projet'!$A$114,'Données projet'!$B$114,BY115+BX116-CG115)))</f>
        <v>276.39999999999998</v>
      </c>
      <c r="BZ116" s="14">
        <f>BY116*VLOOKUP('Données projet'!$B$12,Paramètres!$A$1:$I$89,3,0)*VLOOKUP('Données projet'!$B$12,Paramètres!$A$1:$I$89,5,0)</f>
        <v>250.08671999999999</v>
      </c>
      <c r="CA116" s="14">
        <f t="shared" si="93"/>
        <v>60.604510260306157</v>
      </c>
      <c r="CB116" s="22">
        <f t="shared" si="64"/>
        <v>541.12055937003322</v>
      </c>
      <c r="CC116" s="60">
        <f t="shared" si="65"/>
        <v>834.45389270336659</v>
      </c>
      <c r="CD116" s="60">
        <f ca="1">AVERAGE(OFFSET($CC$3,0,0,'Données projet'!$E$12+1,1))-AVERAGE(OFFSET($H$3,0,0,'Données projet'!$E$12+1,1))</f>
        <v>371.95849973474657</v>
      </c>
      <c r="CE116" s="60">
        <f t="shared" si="94"/>
        <v>233.32640143610547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6.1529809514463128E-12</v>
      </c>
      <c r="CN116" s="24">
        <f t="shared" si="66"/>
        <v>6.1529809514463128E-12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3.8</v>
      </c>
      <c r="CT116" s="13">
        <f>IF('Données projet'!$A$140&gt;35,CT115+CS116-DB115,IF(A116&lt;'Données projet'!$A$140,$CQ$205^A116,IF(A116='Données projet'!$A$140,'Données projet'!$B$140,CT115+CS116-DB115)))</f>
        <v>276.39999999999998</v>
      </c>
      <c r="CU116" s="18">
        <f>CT116*VLOOKUP('Données projet'!$B$13,Paramètres!$A$1:$I$89,3,0)*VLOOKUP('Données projet'!$B$13,Paramètres!$A$1:$I$89,5,0)</f>
        <v>267.33408000000003</v>
      </c>
      <c r="CV116" s="14">
        <f t="shared" si="95"/>
        <v>64.283167454543104</v>
      </c>
      <c r="CW116" s="22">
        <f t="shared" si="67"/>
        <v>577.56670598332937</v>
      </c>
      <c r="CX116" s="60">
        <f t="shared" si="68"/>
        <v>870.90003931666274</v>
      </c>
      <c r="CY116" s="60">
        <f ca="1">AVERAGE(OFFSET($CX$3,0,0,'Données projet'!$E$13+1,1))-AVERAGE(OFFSET($H$3,0,0,'Données projet'!$E$13+1,1))</f>
        <v>394.8445842828649</v>
      </c>
      <c r="CZ116" s="60">
        <f t="shared" si="96"/>
        <v>246.54010105494143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6.577324465339166E-12</v>
      </c>
      <c r="DI116" s="24">
        <f t="shared" si="69"/>
        <v>6.577324465339166E-12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5.6843418860808015E-14</v>
      </c>
      <c r="DP116" s="18">
        <f>DO116*VLOOKUP('Données projet'!$B$14,Paramètres!$A$1:$I$89,3,0)*VLOOKUP('Données projet'!$B$14,Paramètres!$A$1:$I$89,5,0)</f>
        <v>4.9658410716801891E-14</v>
      </c>
      <c r="DQ116" s="14">
        <f t="shared" si="97"/>
        <v>8.0934058173791862E-13</v>
      </c>
      <c r="DR116" s="22">
        <f t="shared" si="70"/>
        <v>1.4960899118586383E-12</v>
      </c>
      <c r="DS116" s="60">
        <f t="shared" si="71"/>
        <v>293.33333333333479</v>
      </c>
      <c r="DT116" s="60">
        <f ca="1">AVERAGE(OFFSET($DS$3,0,0,'Données projet'!$E$14+1,1))-AVERAGE(OFFSET($H$3,0,0,'Données projet'!$E$14+1,1))</f>
        <v>266.98113257513319</v>
      </c>
      <c r="DU116" s="60">
        <f t="shared" si="98"/>
        <v>275.73257102713393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1.1148705422233463</v>
      </c>
      <c r="EC116" s="23">
        <f>EXP(-LN(2)/2)*EC115+(1-EXP(-LN(2)/2))/(LN(2)/2)*DW116*DZ116*VLOOKUP('Données projet'!$B$14,Paramètres!$A$1:$I$89,3,0)*0.475*44/12</f>
        <v>3.3655863691655861E-12</v>
      </c>
      <c r="ED116" s="24">
        <f t="shared" si="72"/>
        <v>1.1148705422267118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3.8</v>
      </c>
      <c r="EJ116" s="13">
        <f>IF('Données projet'!$A$192&gt;35,EJ115+EI116-ER115,IF(A116&lt;'Données projet'!$A$192,$EG$205^A116,IF(A116='Données projet'!$A$192,'Données projet'!$B$192,EJ115+EI116-ER115)))</f>
        <v>276.39999999999998</v>
      </c>
      <c r="EK116" s="18">
        <f>EJ116*VLOOKUP('Données projet'!$B$15,Paramètres!$A$1:$I$89,3,0)*VLOOKUP('Données projet'!$B$15,Paramètres!$A$1:$I$89,5,0)</f>
        <v>314.76432</v>
      </c>
      <c r="EL116" s="14">
        <f t="shared" si="99"/>
        <v>74.262924889765188</v>
      </c>
      <c r="EM116" s="22">
        <f t="shared" si="73"/>
        <v>677.5557848496743</v>
      </c>
      <c r="EN116" s="60">
        <f t="shared" si="74"/>
        <v>970.88911818300767</v>
      </c>
      <c r="EO116" s="60">
        <f ca="1">AVERAGE(OFFSET($EN$3,0,0,'Données projet'!$E$15+1,1))-AVERAGE(OFFSET($H$3,0,0,'Données projet'!$E$15+1,1))</f>
        <v>457.62828850677369</v>
      </c>
      <c r="EP116" s="60">
        <f t="shared" si="100"/>
        <v>282.78263556175563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3.8</v>
      </c>
      <c r="FE116" s="13">
        <f>IF('Données projet'!$A$218&gt;35,FE115+FD116-FM115,IF(A116&lt;'Données projet'!$A$218,$FB$205^A116,IF(A116='Données projet'!$A$218,'Données projet'!$B$218,FE115+FD116-FM115)))</f>
        <v>276.39999999999998</v>
      </c>
      <c r="FF116" s="18">
        <f>FE116*VLOOKUP('Données projet'!$B$16,Paramètres!$A$1:$I$89,3,0)*VLOOKUP('Données projet'!$B$16,Paramètres!$A$1:$I$89,5,0)</f>
        <v>301.82879999999994</v>
      </c>
      <c r="FG116" s="14">
        <f t="shared" si="101"/>
        <v>71.559714487543388</v>
      </c>
      <c r="FH116" s="22">
        <f t="shared" si="76"/>
        <v>650.31832939913795</v>
      </c>
      <c r="FI116" s="60">
        <f t="shared" si="77"/>
        <v>943.65166273247132</v>
      </c>
      <c r="FJ116" s="60">
        <f ca="1">AVERAGE(OFFSET($FI$3,0,0,'Données projet'!$E$16+1,1))-AVERAGE(OFFSET($H$3,0,0,'Données projet'!$E$16+1,1))</f>
        <v>440.52623925652182</v>
      </c>
      <c r="FK116" s="60">
        <f t="shared" si="102"/>
        <v>272.91122662088918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3.4106051316484809E-13</v>
      </c>
      <c r="GA116" s="18">
        <f>FZ116*VLOOKUP('Données projet'!$B$17,Paramètres!$A$1:$I$89,3,0)*VLOOKUP('Données projet'!$B$17,Paramètres!$A$1:$I$89,5,0)</f>
        <v>1.5961632016114892E-13</v>
      </c>
      <c r="GB116" s="14">
        <f t="shared" si="103"/>
        <v>2.2708641912150958E-12</v>
      </c>
      <c r="GC116" s="22">
        <f t="shared" si="79"/>
        <v>4.2330868906469593E-12</v>
      </c>
      <c r="GD116" s="60">
        <f t="shared" si="80"/>
        <v>293.33333333333752</v>
      </c>
      <c r="GE116" s="60">
        <f ca="1">AVERAGE(OFFSET($GD$3,0,0,'Données projet'!$E$17+1,1))-AVERAGE(OFFSET($H$3,0,0,'Données projet'!$E$17+1,1))</f>
        <v>317.54276561627643</v>
      </c>
      <c r="GF116" s="60">
        <f t="shared" si="104"/>
        <v>238.92443174298893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>
        <f>GU116*VLOOKUP('Données projet'!$B$18,Paramètres!$A$1:$I$89,3,0)*VLOOKUP('Données projet'!$B$18,Paramètres!$A$1:$I$89,5,0)</f>
        <v>0</v>
      </c>
      <c r="GW116" s="14" t="e">
        <f t="shared" si="105"/>
        <v>#NUM!</v>
      </c>
      <c r="GX116" s="22" t="e">
        <f t="shared" si="82"/>
        <v>#NUM!</v>
      </c>
      <c r="GY116" s="60" t="e">
        <f t="shared" si="83"/>
        <v>#NUM!</v>
      </c>
      <c r="GZ116" s="60">
        <f ca="1">AVERAGE(OFFSET($GY$3,0,0,'Données projet'!$E$18+1,1))-AVERAGE(OFFSET($H$3,0,0,'Données projet'!$E$18+1,1))</f>
        <v>79.868679770907136</v>
      </c>
      <c r="HA116" s="60">
        <f t="shared" si="106"/>
        <v>370.47471103028312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12.007315667833709</v>
      </c>
      <c r="HH116" s="23">
        <f>EXP(-LN(2)/25)*HH115+(1-EXP(-LN(2)/25))/(LN(2)/25)*Calculateur!HC116*Calculateur!HE116*VLOOKUP('Données projet'!$B$18,Paramètres!$A$1:$I$89,3,0)*0.475*44/12</f>
        <v>1.5126828645613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13.519998532395009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0">
        <f t="shared" si="55"/>
        <v>293.33333333333439</v>
      </c>
      <c r="S117" s="60">
        <f ca="1">AVERAGE(OFFSET($R$3,0,0,'Données projet'!$E$9+1,1))-AVERAGE(OFFSET($H$3,0,0,'Données projet'!$E$9+1,1))</f>
        <v>206.5885410269899</v>
      </c>
      <c r="T117" s="60">
        <f t="shared" si="88"/>
        <v>347.41156847586302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3.3992364478763198E-14</v>
      </c>
      <c r="AK117" s="14">
        <f t="shared" si="89"/>
        <v>5.790027782444094E-13</v>
      </c>
      <c r="AL117" s="22">
        <f t="shared" si="58"/>
        <v>1.0676332069095257E-12</v>
      </c>
      <c r="AM117" s="60">
        <f t="shared" si="59"/>
        <v>293.33333333333439</v>
      </c>
      <c r="AN117" s="60">
        <f ca="1">AVERAGE(OFFSET($AM$3,0,0,'Données projet'!$E$10+1,1))-AVERAGE(OFFSET($H$3,0,0,'Données projet'!$E$10+1,1))</f>
        <v>206.5885410269899</v>
      </c>
      <c r="AO117" s="60">
        <f t="shared" si="90"/>
        <v>347.41156847586302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20.72550938987774</v>
      </c>
      <c r="AV117" s="23">
        <f>EXP(-LN(2)/25)*AV116+(1-EXP(-LN(2)/25))/(LN(2)/25)*Calculateur!AQ117*Calculateur!AS117*VLOOKUP('Données projet'!$B$10,Paramètres!$A$1:$I$89,3,0)*0.475*44/12</f>
        <v>0.3256009527203641</v>
      </c>
      <c r="AW117" s="23">
        <f>EXP(-LN(2)/2)*AW116+(1-EXP(-LN(2)/2))/(LN(2)/2)*AQ117*AT117*VLOOKUP('Données projet'!$B$10,Paramètres!$A$1:$I$89,3,0)*0.475*44/12</f>
        <v>2.5045634144795248E-10</v>
      </c>
      <c r="AX117" s="23">
        <f t="shared" si="60"/>
        <v>21.05111034284856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280.2</v>
      </c>
      <c r="BE117" s="14">
        <f>BD117*VLOOKUP('Données projet'!$B$11,Paramètres!$A$1:$I$89,3,0)*VLOOKUP('Données projet'!$B$11,Paramètres!$A$1:$I$89,5,0)</f>
        <v>266.63832000000002</v>
      </c>
      <c r="BF117" s="14">
        <f t="shared" si="91"/>
        <v>64.135316563180027</v>
      </c>
      <c r="BG117" s="22">
        <f t="shared" si="61"/>
        <v>576.09741701420523</v>
      </c>
      <c r="BH117" s="60">
        <f t="shared" si="62"/>
        <v>869.43075034753861</v>
      </c>
      <c r="BI117" s="60">
        <f ca="1">AVERAGE(OFFSET($BH$3,0,0,'Données projet'!$E$11+1,1))-AVERAGE(OFFSET($H$3,0,0,'Données projet'!$E$11+1,1))</f>
        <v>389.12604446638119</v>
      </c>
      <c r="BJ117" s="60">
        <f t="shared" si="92"/>
        <v>243.23852967152732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3.8</v>
      </c>
      <c r="BY117" s="13">
        <f>IF('Données projet'!$A$114&gt;35,BY116+BX117-CG116,IF(A117&lt;'Données projet'!$A$114,$BV$205^A117,IF(A117='Données projet'!$A$114,'Données projet'!$B$114,BY116+BX117-CG116)))</f>
        <v>280.2</v>
      </c>
      <c r="BZ117" s="14">
        <f>BY117*VLOOKUP('Données projet'!$B$12,Paramètres!$A$1:$I$89,3,0)*VLOOKUP('Données projet'!$B$12,Paramètres!$A$1:$I$89,5,0)</f>
        <v>253.52495999999999</v>
      </c>
      <c r="CA117" s="14">
        <f t="shared" si="93"/>
        <v>61.340141798422209</v>
      </c>
      <c r="CB117" s="22">
        <f t="shared" si="64"/>
        <v>548.39005229891859</v>
      </c>
      <c r="CC117" s="60">
        <f t="shared" si="65"/>
        <v>841.72338563225185</v>
      </c>
      <c r="CD117" s="60">
        <f ca="1">AVERAGE(OFFSET($CC$3,0,0,'Données projet'!$E$12+1,1))-AVERAGE(OFFSET($H$3,0,0,'Données projet'!$E$12+1,1))</f>
        <v>371.95849973474657</v>
      </c>
      <c r="CE117" s="60">
        <f t="shared" si="94"/>
        <v>233.32640143610547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4.3508145552793429E-12</v>
      </c>
      <c r="CN117" s="24">
        <f t="shared" si="66"/>
        <v>4.3508145552793429E-12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3.8</v>
      </c>
      <c r="CT117" s="13">
        <f>IF('Données projet'!$A$140&gt;35,CT116+CS117-DB116,IF(A117&lt;'Données projet'!$A$140,$CQ$205^A117,IF(A117='Données projet'!$A$140,'Données projet'!$B$140,CT116+CS117-DB116)))</f>
        <v>280.2</v>
      </c>
      <c r="CU117" s="18">
        <f>CT117*VLOOKUP('Données projet'!$B$13,Paramètres!$A$1:$I$89,3,0)*VLOOKUP('Données projet'!$B$13,Paramètres!$A$1:$I$89,5,0)</f>
        <v>271.00943999999998</v>
      </c>
      <c r="CV117" s="14">
        <f t="shared" si="95"/>
        <v>65.063451383023647</v>
      </c>
      <c r="CW117" s="22">
        <f t="shared" si="67"/>
        <v>585.32695249209939</v>
      </c>
      <c r="CX117" s="60">
        <f t="shared" si="68"/>
        <v>878.66028582543277</v>
      </c>
      <c r="CY117" s="60">
        <f ca="1">AVERAGE(OFFSET($CX$3,0,0,'Données projet'!$E$13+1,1))-AVERAGE(OFFSET($H$3,0,0,'Données projet'!$E$13+1,1))</f>
        <v>394.8445842828649</v>
      </c>
      <c r="CZ117" s="60">
        <f t="shared" si="96"/>
        <v>246.54010105494143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4.6508707315055073E-12</v>
      </c>
      <c r="DI117" s="24">
        <f t="shared" si="69"/>
        <v>4.6508707315055073E-12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5.6843418860808015E-14</v>
      </c>
      <c r="DP117" s="18">
        <f>DO117*VLOOKUP('Données projet'!$B$14,Paramètres!$A$1:$I$89,3,0)*VLOOKUP('Données projet'!$B$14,Paramètres!$A$1:$I$89,5,0)</f>
        <v>4.9658410716801891E-14</v>
      </c>
      <c r="DQ117" s="14">
        <f t="shared" si="97"/>
        <v>8.0934058173791862E-13</v>
      </c>
      <c r="DR117" s="22">
        <f t="shared" si="70"/>
        <v>1.4960899118586383E-12</v>
      </c>
      <c r="DS117" s="60">
        <f t="shared" si="71"/>
        <v>293.33333333333479</v>
      </c>
      <c r="DT117" s="60">
        <f ca="1">AVERAGE(OFFSET($DS$3,0,0,'Données projet'!$E$14+1,1))-AVERAGE(OFFSET($H$3,0,0,'Données projet'!$E$14+1,1))</f>
        <v>266.98113257513319</v>
      </c>
      <c r="DU117" s="60">
        <f t="shared" si="98"/>
        <v>275.73257102713393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1.0843843486177551</v>
      </c>
      <c r="EC117" s="23">
        <f>EXP(-LN(2)/2)*EC116+(1-EXP(-LN(2)/2))/(LN(2)/2)*DW117*DZ117*VLOOKUP('Données projet'!$B$14,Paramètres!$A$1:$I$89,3,0)*0.475*44/12</f>
        <v>2.379828944305997E-12</v>
      </c>
      <c r="ED117" s="24">
        <f t="shared" si="72"/>
        <v>1.084384348620135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3.8</v>
      </c>
      <c r="EJ117" s="13">
        <f>IF('Données projet'!$A$192&gt;35,EJ116+EI117-ER116,IF(A117&lt;'Données projet'!$A$192,$EG$205^A117,IF(A117='Données projet'!$A$192,'Données projet'!$B$192,EJ116+EI117-ER116)))</f>
        <v>280.2</v>
      </c>
      <c r="EK117" s="18">
        <f>EJ117*VLOOKUP('Données projet'!$B$15,Paramètres!$A$1:$I$89,3,0)*VLOOKUP('Données projet'!$B$15,Paramètres!$A$1:$I$89,5,0)</f>
        <v>319.09176000000002</v>
      </c>
      <c r="EL117" s="14">
        <f t="shared" si="99"/>
        <v>75.164345418155065</v>
      </c>
      <c r="EM117" s="22">
        <f t="shared" si="73"/>
        <v>686.66271693662009</v>
      </c>
      <c r="EN117" s="60">
        <f t="shared" si="74"/>
        <v>979.99605026995346</v>
      </c>
      <c r="EO117" s="60">
        <f ca="1">AVERAGE(OFFSET($EN$3,0,0,'Données projet'!$E$15+1,1))-AVERAGE(OFFSET($H$3,0,0,'Données projet'!$E$15+1,1))</f>
        <v>457.62828850677369</v>
      </c>
      <c r="EP117" s="60">
        <f t="shared" si="100"/>
        <v>282.78263556175563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3.8</v>
      </c>
      <c r="FE117" s="13">
        <f>IF('Données projet'!$A$218&gt;35,FE116+FD117-FM116,IF(A117&lt;'Données projet'!$A$218,$FB$205^A117,IF(A117='Données projet'!$A$218,'Données projet'!$B$218,FE116+FD117-FM116)))</f>
        <v>280.2</v>
      </c>
      <c r="FF117" s="18">
        <f>FE117*VLOOKUP('Données projet'!$B$16,Paramètres!$A$1:$I$89,3,0)*VLOOKUP('Données projet'!$B$16,Paramètres!$A$1:$I$89,5,0)</f>
        <v>305.97839999999997</v>
      </c>
      <c r="FG117" s="14">
        <f t="shared" si="101"/>
        <v>72.428322823944583</v>
      </c>
      <c r="FH117" s="22">
        <f t="shared" si="76"/>
        <v>659.05837558503674</v>
      </c>
      <c r="FI117" s="60">
        <f t="shared" si="77"/>
        <v>952.39170891837011</v>
      </c>
      <c r="FJ117" s="60">
        <f ca="1">AVERAGE(OFFSET($FI$3,0,0,'Données projet'!$E$16+1,1))-AVERAGE(OFFSET($H$3,0,0,'Données projet'!$E$16+1,1))</f>
        <v>440.52623925652182</v>
      </c>
      <c r="FK117" s="60">
        <f t="shared" si="102"/>
        <v>272.91122662088918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3.4106051316484809E-13</v>
      </c>
      <c r="GA117" s="18">
        <f>FZ117*VLOOKUP('Données projet'!$B$17,Paramètres!$A$1:$I$89,3,0)*VLOOKUP('Données projet'!$B$17,Paramètres!$A$1:$I$89,5,0)</f>
        <v>1.5961632016114892E-13</v>
      </c>
      <c r="GB117" s="14">
        <f t="shared" si="103"/>
        <v>2.2708641912150958E-12</v>
      </c>
      <c r="GC117" s="22">
        <f t="shared" si="79"/>
        <v>4.2330868906469593E-12</v>
      </c>
      <c r="GD117" s="60">
        <f t="shared" si="80"/>
        <v>293.33333333333752</v>
      </c>
      <c r="GE117" s="60">
        <f ca="1">AVERAGE(OFFSET($GD$3,0,0,'Données projet'!$E$17+1,1))-AVERAGE(OFFSET($H$3,0,0,'Données projet'!$E$17+1,1))</f>
        <v>317.54276561627643</v>
      </c>
      <c r="GF117" s="60">
        <f t="shared" si="104"/>
        <v>238.92443174298893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>
        <f>GU117*VLOOKUP('Données projet'!$B$18,Paramètres!$A$1:$I$89,3,0)*VLOOKUP('Données projet'!$B$18,Paramètres!$A$1:$I$89,5,0)</f>
        <v>0</v>
      </c>
      <c r="GW117" s="14" t="e">
        <f t="shared" si="105"/>
        <v>#NUM!</v>
      </c>
      <c r="GX117" s="22" t="e">
        <f t="shared" si="82"/>
        <v>#NUM!</v>
      </c>
      <c r="GY117" s="60" t="e">
        <f t="shared" si="83"/>
        <v>#NUM!</v>
      </c>
      <c r="GZ117" s="60">
        <f ca="1">AVERAGE(OFFSET($GY$3,0,0,'Données projet'!$E$18+1,1))-AVERAGE(OFFSET($H$3,0,0,'Données projet'!$E$18+1,1))</f>
        <v>79.868679770907136</v>
      </c>
      <c r="HA117" s="60">
        <f t="shared" si="106"/>
        <v>370.47471103028312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11.771859531326887</v>
      </c>
      <c r="HH117" s="23">
        <f>EXP(-LN(2)/25)*HH116+(1-EXP(-LN(2)/25))/(LN(2)/25)*Calculateur!HC117*Calculateur!HE117*VLOOKUP('Données projet'!$B$18,Paramètres!$A$1:$I$89,3,0)*0.475*44/12</f>
        <v>1.4713184720813366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13.243178003408223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0">
        <f t="shared" si="55"/>
        <v>293.33333333333439</v>
      </c>
      <c r="S118" s="60">
        <f ca="1">AVERAGE(OFFSET($R$3,0,0,'Données projet'!$E$9+1,1))-AVERAGE(OFFSET($H$3,0,0,'Données projet'!$E$9+1,1))</f>
        <v>206.5885410269899</v>
      </c>
      <c r="T118" s="60">
        <f t="shared" si="88"/>
        <v>347.41156847586302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3.3992364478763198E-14</v>
      </c>
      <c r="AK118" s="14">
        <f t="shared" si="89"/>
        <v>5.790027782444094E-13</v>
      </c>
      <c r="AL118" s="22">
        <f t="shared" si="58"/>
        <v>1.0676332069095257E-12</v>
      </c>
      <c r="AM118" s="60">
        <f t="shared" si="59"/>
        <v>293.33333333333439</v>
      </c>
      <c r="AN118" s="60">
        <f ca="1">AVERAGE(OFFSET($AM$3,0,0,'Données projet'!$E$10+1,1))-AVERAGE(OFFSET($H$3,0,0,'Données projet'!$E$10+1,1))</f>
        <v>206.5885410269899</v>
      </c>
      <c r="AO118" s="60">
        <f t="shared" si="90"/>
        <v>347.41156847586302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20.319094792054738</v>
      </c>
      <c r="AV118" s="23">
        <f>EXP(-LN(2)/25)*AV117+(1-EXP(-LN(2)/25))/(LN(2)/25)*Calculateur!AQ118*Calculateur!AS118*VLOOKUP('Données projet'!$B$10,Paramètres!$A$1:$I$89,3,0)*0.475*44/12</f>
        <v>0.31669737754561583</v>
      </c>
      <c r="AW118" s="23">
        <f>EXP(-LN(2)/2)*AW117+(1-EXP(-LN(2)/2))/(LN(2)/2)*AQ118*AT118*VLOOKUP('Données projet'!$B$10,Paramètres!$A$1:$I$89,3,0)*0.475*44/12</f>
        <v>1.7709937742902057E-10</v>
      </c>
      <c r="AX118" s="23">
        <f t="shared" si="60"/>
        <v>20.635792169777453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284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284</v>
      </c>
      <c r="BE118" s="14">
        <f>BD118*VLOOKUP('Données projet'!$B$11,Paramètres!$A$1:$I$89,3,0)*VLOOKUP('Données projet'!$B$11,Paramètres!$A$1:$I$89,5,0)</f>
        <v>270.25440000000003</v>
      </c>
      <c r="BF118" s="14">
        <f t="shared" si="91"/>
        <v>64.903256428828314</v>
      </c>
      <c r="BG118" s="22">
        <f t="shared" si="61"/>
        <v>583.73291828020922</v>
      </c>
      <c r="BH118" s="60">
        <f t="shared" si="62"/>
        <v>877.06625161354259</v>
      </c>
      <c r="BI118" s="60">
        <f ca="1">AVERAGE(OFFSET($BH$3,0,0,'Données projet'!$E$11+1,1))-AVERAGE(OFFSET($H$3,0,0,'Données projet'!$E$11+1,1))</f>
        <v>389.12604446638119</v>
      </c>
      <c r="BJ118" s="60">
        <f t="shared" si="92"/>
        <v>243.23852967152732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284</v>
      </c>
      <c r="BW118" s="13">
        <f>VLOOKUP(A118,'Données projet'!$A$113:$I$133,9,0)</f>
        <v>3.8</v>
      </c>
      <c r="BX118" s="13">
        <f t="array" ref="BX118">INDEX(BW:BW,MIN(IF(ISNUMBER(BW118:BW314),ROW(BW118:BW314),"")))</f>
        <v>3.8</v>
      </c>
      <c r="BY118" s="13">
        <f>IF('Données projet'!$A$114&gt;35,BY117+BX118-CG117,IF(A118&lt;'Données projet'!$A$114,$BV$205^A118,IF(A118='Données projet'!$A$114,'Données projet'!$B$114,BY117+BX118-CG117)))</f>
        <v>284</v>
      </c>
      <c r="BZ118" s="14">
        <f>BY118*VLOOKUP('Données projet'!$B$12,Paramètres!$A$1:$I$89,3,0)*VLOOKUP('Données projet'!$B$12,Paramètres!$A$1:$I$89,5,0)</f>
        <v>256.96320000000003</v>
      </c>
      <c r="CA118" s="14">
        <f t="shared" si="93"/>
        <v>62.074612956838024</v>
      </c>
      <c r="CB118" s="22">
        <f t="shared" si="64"/>
        <v>555.65752423315951</v>
      </c>
      <c r="CC118" s="60">
        <f t="shared" si="65"/>
        <v>848.99085756649288</v>
      </c>
      <c r="CD118" s="60">
        <f ca="1">AVERAGE(OFFSET($CC$3,0,0,'Données projet'!$E$12+1,1))-AVERAGE(OFFSET($H$3,0,0,'Données projet'!$E$12+1,1))</f>
        <v>371.95849973474657</v>
      </c>
      <c r="CE118" s="60">
        <f t="shared" si="94"/>
        <v>233.32640143610547</v>
      </c>
      <c r="CF118" s="16">
        <f>IF(ISNA(VLOOKUP(A118,'Données projet'!$A$113:$I$133,3,0)),0,VLOOKUP(A118,'Données projet'!$A$113:$I$133,3,0))</f>
        <v>19</v>
      </c>
      <c r="CG118" s="16">
        <f>IF(ISNA(VLOOKUP(A118,'Données projet'!$A$113:$I$133,4,0)),0,VLOOKUP(A118,'Données projet'!$A$113:$I$133,4,0))</f>
        <v>18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3.0764904757231564E-12</v>
      </c>
      <c r="CN118" s="24">
        <f t="shared" si="66"/>
        <v>3.0764904757231564E-12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284</v>
      </c>
      <c r="CR118" s="13">
        <f>VLOOKUP(A118,'Données projet'!$A$139:$I$159,9,0)</f>
        <v>3.8</v>
      </c>
      <c r="CS118" s="13">
        <f t="array" ref="CS118">INDEX(CR:CR,MIN(IF(ISNUMBER(CR118:CR314),ROW(CR118:CR314),"")))</f>
        <v>3.8</v>
      </c>
      <c r="CT118" s="13">
        <f>IF('Données projet'!$A$140&gt;35,CT117+CS118-DB117,IF(A118&lt;'Données projet'!$A$140,$CQ$205^A118,IF(A118='Données projet'!$A$140,'Données projet'!$B$140,CT117+CS118-DB117)))</f>
        <v>284</v>
      </c>
      <c r="CU118" s="18">
        <f>CT118*VLOOKUP('Données projet'!$B$13,Paramètres!$A$1:$I$89,3,0)*VLOOKUP('Données projet'!$B$13,Paramètres!$A$1:$I$89,5,0)</f>
        <v>274.68480000000005</v>
      </c>
      <c r="CV118" s="14">
        <f t="shared" si="95"/>
        <v>65.842504497456659</v>
      </c>
      <c r="CW118" s="22">
        <f t="shared" si="67"/>
        <v>593.0850553330705</v>
      </c>
      <c r="CX118" s="60">
        <f t="shared" si="68"/>
        <v>886.41838866640387</v>
      </c>
      <c r="CY118" s="60">
        <f ca="1">AVERAGE(OFFSET($CX$3,0,0,'Données projet'!$E$13+1,1))-AVERAGE(OFFSET($H$3,0,0,'Données projet'!$E$13+1,1))</f>
        <v>394.8445842828649</v>
      </c>
      <c r="CZ118" s="60">
        <f t="shared" si="96"/>
        <v>246.54010105494143</v>
      </c>
      <c r="DA118" s="16">
        <f>IF(ISNA(VLOOKUP(A118,'Données projet'!$A$139:$I$159,3,0)),0,VLOOKUP(A118,'Données projet'!$A$139:$I$159,3,0))</f>
        <v>19</v>
      </c>
      <c r="DB118" s="16">
        <f>IF(ISNA(VLOOKUP(A118,'Données projet'!$A$139:$I$159,4,0)),0,VLOOKUP(A118,'Données projet'!$A$139:$I$159,4,0))</f>
        <v>18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3.288662232669583E-12</v>
      </c>
      <c r="DI118" s="24">
        <f t="shared" si="69"/>
        <v>3.288662232669583E-12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5.6843418860808015E-14</v>
      </c>
      <c r="DP118" s="18">
        <f>DO118*VLOOKUP('Données projet'!$B$14,Paramètres!$A$1:$I$89,3,0)*VLOOKUP('Données projet'!$B$14,Paramètres!$A$1:$I$89,5,0)</f>
        <v>4.9658410716801891E-14</v>
      </c>
      <c r="DQ118" s="14">
        <f t="shared" si="97"/>
        <v>8.0934058173791862E-13</v>
      </c>
      <c r="DR118" s="22">
        <f t="shared" si="70"/>
        <v>1.4960899118586383E-12</v>
      </c>
      <c r="DS118" s="60">
        <f t="shared" si="71"/>
        <v>293.33333333333479</v>
      </c>
      <c r="DT118" s="60">
        <f ca="1">AVERAGE(OFFSET($DS$3,0,0,'Données projet'!$E$14+1,1))-AVERAGE(OFFSET($H$3,0,0,'Données projet'!$E$14+1,1))</f>
        <v>266.98113257513319</v>
      </c>
      <c r="DU118" s="60">
        <f t="shared" si="98"/>
        <v>275.73257102713393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1.0547318015795082</v>
      </c>
      <c r="EC118" s="23">
        <f>EXP(-LN(2)/2)*EC117+(1-EXP(-LN(2)/2))/(LN(2)/2)*DW118*DZ118*VLOOKUP('Données projet'!$B$14,Paramètres!$A$1:$I$89,3,0)*0.475*44/12</f>
        <v>1.682793184582793E-12</v>
      </c>
      <c r="ED118" s="24">
        <f t="shared" si="72"/>
        <v>1.0547318015811911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284</v>
      </c>
      <c r="EH118" s="13">
        <f>VLOOKUP(A118,'Données projet'!$A$191:$I$211,9,0)</f>
        <v>3.8</v>
      </c>
      <c r="EI118" s="13">
        <f t="array" ref="EI118">INDEX(EH:EH,MIN(IF(ISNUMBER(EH118:EH314),ROW(EH118:EH314),"")))</f>
        <v>3.8</v>
      </c>
      <c r="EJ118" s="13">
        <f>IF('Données projet'!$A$192&gt;35,EJ117+EI118-ER117,IF(A118&lt;'Données projet'!$A$192,$EG$205^A118,IF(A118='Données projet'!$A$192,'Données projet'!$B$192,EJ117+EI118-ER117)))</f>
        <v>284</v>
      </c>
      <c r="EK118" s="18">
        <f>EJ118*VLOOKUP('Données projet'!$B$15,Paramètres!$A$1:$I$89,3,0)*VLOOKUP('Données projet'!$B$15,Paramètres!$A$1:$I$89,5,0)</f>
        <v>323.41919999999999</v>
      </c>
      <c r="EL118" s="14">
        <f t="shared" si="99"/>
        <v>76.06434405252827</v>
      </c>
      <c r="EM118" s="22">
        <f t="shared" si="73"/>
        <v>695.76717255815345</v>
      </c>
      <c r="EN118" s="60">
        <f t="shared" si="74"/>
        <v>989.10050589148682</v>
      </c>
      <c r="EO118" s="60">
        <f ca="1">AVERAGE(OFFSET($EN$3,0,0,'Données projet'!$E$15+1,1))-AVERAGE(OFFSET($H$3,0,0,'Données projet'!$E$15+1,1))</f>
        <v>457.62828850677369</v>
      </c>
      <c r="EP118" s="60">
        <f t="shared" si="100"/>
        <v>282.78263556175563</v>
      </c>
      <c r="EQ118" s="16">
        <f>IF(ISNA(VLOOKUP(A118,'Données projet'!$A$191:$I$211,3,0)),0,VLOOKUP(A118,'Données projet'!$A$191:$I$211,3,0))</f>
        <v>19</v>
      </c>
      <c r="ER118" s="16">
        <f>IF(ISNA(VLOOKUP(A118,'Données projet'!$A$191:$I$211,4,0)),0,VLOOKUP(A118,'Données projet'!$A$191:$I$211,4,0))</f>
        <v>18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>
        <f>VLOOKUP(A118,'Données projet'!$A$217:$I$237,2,0)</f>
        <v>284</v>
      </c>
      <c r="FC118" s="13">
        <f>VLOOKUP(A118,'Données projet'!$A$217:$I$237,9,0)</f>
        <v>3.8</v>
      </c>
      <c r="FD118" s="13">
        <f t="array" ref="FD118">INDEX(FC:FC,MIN(IF(ISNUMBER(FC118:FC314),ROW(FC118:FC314),"")))</f>
        <v>3.8</v>
      </c>
      <c r="FE118" s="13">
        <f>IF('Données projet'!$A$218&gt;35,FE117+FD118-FM117,IF(A118&lt;'Données projet'!$A$218,$FB$205^A118,IF(A118='Données projet'!$A$218,'Données projet'!$B$218,FE117+FD118-FM117)))</f>
        <v>284</v>
      </c>
      <c r="FF118" s="18">
        <f>FE118*VLOOKUP('Données projet'!$B$16,Paramètres!$A$1:$I$89,3,0)*VLOOKUP('Données projet'!$B$16,Paramètres!$A$1:$I$89,5,0)</f>
        <v>310.12799999999999</v>
      </c>
      <c r="FG118" s="14">
        <f t="shared" si="101"/>
        <v>73.295561024036076</v>
      </c>
      <c r="FH118" s="22">
        <f t="shared" si="76"/>
        <v>667.7960354501962</v>
      </c>
      <c r="FI118" s="60">
        <f t="shared" si="77"/>
        <v>961.12936878352957</v>
      </c>
      <c r="FJ118" s="60">
        <f ca="1">AVERAGE(OFFSET($FI$3,0,0,'Données projet'!$E$16+1,1))-AVERAGE(OFFSET($H$3,0,0,'Données projet'!$E$16+1,1))</f>
        <v>440.52623925652182</v>
      </c>
      <c r="FK118" s="60">
        <f t="shared" si="102"/>
        <v>272.91122662088918</v>
      </c>
      <c r="FL118" s="16">
        <f>IF(ISNA(VLOOKUP(A118,'Données projet'!$A$217:$I$237,3,0)),0,VLOOKUP(A118,'Données projet'!$A$217:$I$237,3,0))</f>
        <v>19</v>
      </c>
      <c r="FM118" s="16">
        <f>IF(ISNA(VLOOKUP(A118,'Données projet'!$A$217:$I$237,4,0)),0,VLOOKUP(A118,'Données projet'!$A$217:$I$237,4,0))</f>
        <v>18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3.4106051316484809E-13</v>
      </c>
      <c r="GA118" s="18">
        <f>FZ118*VLOOKUP('Données projet'!$B$17,Paramètres!$A$1:$I$89,3,0)*VLOOKUP('Données projet'!$B$17,Paramètres!$A$1:$I$89,5,0)</f>
        <v>1.5961632016114892E-13</v>
      </c>
      <c r="GB118" s="14">
        <f t="shared" si="103"/>
        <v>2.2708641912150958E-12</v>
      </c>
      <c r="GC118" s="22">
        <f t="shared" si="79"/>
        <v>4.2330868906469593E-12</v>
      </c>
      <c r="GD118" s="60">
        <f t="shared" si="80"/>
        <v>293.33333333333752</v>
      </c>
      <c r="GE118" s="60">
        <f ca="1">AVERAGE(OFFSET($GD$3,0,0,'Données projet'!$E$17+1,1))-AVERAGE(OFFSET($H$3,0,0,'Données projet'!$E$17+1,1))</f>
        <v>317.54276561627643</v>
      </c>
      <c r="GF118" s="60">
        <f t="shared" si="104"/>
        <v>238.92443174298893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>
        <f>GU118*VLOOKUP('Données projet'!$B$18,Paramètres!$A$1:$I$89,3,0)*VLOOKUP('Données projet'!$B$18,Paramètres!$A$1:$I$89,5,0)</f>
        <v>0</v>
      </c>
      <c r="GW118" s="14" t="e">
        <f t="shared" si="105"/>
        <v>#NUM!</v>
      </c>
      <c r="GX118" s="22" t="e">
        <f t="shared" si="82"/>
        <v>#NUM!</v>
      </c>
      <c r="GY118" s="60" t="e">
        <f t="shared" si="83"/>
        <v>#NUM!</v>
      </c>
      <c r="GZ118" s="60">
        <f ca="1">AVERAGE(OFFSET($GY$3,0,0,'Données projet'!$E$18+1,1))-AVERAGE(OFFSET($H$3,0,0,'Données projet'!$E$18+1,1))</f>
        <v>79.868679770907136</v>
      </c>
      <c r="HA118" s="60">
        <f t="shared" si="106"/>
        <v>370.47471103028312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11.541020546042903</v>
      </c>
      <c r="HH118" s="23">
        <f>EXP(-LN(2)/25)*HH117+(1-EXP(-LN(2)/25))/(LN(2)/25)*Calculateur!HC118*Calculateur!HE118*VLOOKUP('Données projet'!$B$18,Paramètres!$A$1:$I$89,3,0)*0.475*44/12</f>
        <v>1.4310851910889968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12.9721057371319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0">
        <f t="shared" si="55"/>
        <v>293.33333333333439</v>
      </c>
      <c r="S119" s="60">
        <f ca="1">AVERAGE(OFFSET($R$3,0,0,'Données projet'!$E$9+1,1))-AVERAGE(OFFSET($H$3,0,0,'Données projet'!$E$9+1,1))</f>
        <v>206.5885410269899</v>
      </c>
      <c r="T119" s="60">
        <f t="shared" si="88"/>
        <v>347.41156847586302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3.3992364478763198E-14</v>
      </c>
      <c r="AK119" s="14">
        <f t="shared" si="89"/>
        <v>5.790027782444094E-13</v>
      </c>
      <c r="AL119" s="22">
        <f t="shared" si="58"/>
        <v>1.0676332069095257E-12</v>
      </c>
      <c r="AM119" s="60">
        <f t="shared" si="59"/>
        <v>293.33333333333439</v>
      </c>
      <c r="AN119" s="60">
        <f ca="1">AVERAGE(OFFSET($AM$3,0,0,'Données projet'!$E$10+1,1))-AVERAGE(OFFSET($H$3,0,0,'Données projet'!$E$10+1,1))</f>
        <v>206.5885410269899</v>
      </c>
      <c r="AO119" s="60">
        <f t="shared" si="90"/>
        <v>347.41156847586302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19.92064973660662</v>
      </c>
      <c r="AV119" s="23">
        <f>EXP(-LN(2)/25)*AV118+(1-EXP(-LN(2)/25))/(LN(2)/25)*Calculateur!AQ119*Calculateur!AS119*VLOOKUP('Données projet'!$B$10,Paramètres!$A$1:$I$89,3,0)*0.475*44/12</f>
        <v>0.30803727110223972</v>
      </c>
      <c r="AW119" s="23">
        <f>EXP(-LN(2)/2)*AW118+(1-EXP(-LN(2)/2))/(LN(2)/2)*AQ119*AT119*VLOOKUP('Données projet'!$B$10,Paramètres!$A$1:$I$89,3,0)*0.475*44/12</f>
        <v>1.2522817072397624E-10</v>
      </c>
      <c r="AX119" s="23">
        <f t="shared" si="60"/>
        <v>20.22868700783409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269.60000000000002</v>
      </c>
      <c r="BE119" s="14">
        <f>BD119*VLOOKUP('Données projet'!$B$11,Paramètres!$A$1:$I$89,3,0)*VLOOKUP('Données projet'!$B$11,Paramètres!$A$1:$I$89,5,0)</f>
        <v>256.55136000000005</v>
      </c>
      <c r="BF119" s="14">
        <f t="shared" si="91"/>
        <v>61.986696970400196</v>
      </c>
      <c r="BG119" s="22">
        <f t="shared" si="61"/>
        <v>554.7871158901138</v>
      </c>
      <c r="BH119" s="60">
        <f t="shared" si="62"/>
        <v>848.12044922344717</v>
      </c>
      <c r="BI119" s="60">
        <f ca="1">AVERAGE(OFFSET($BH$3,0,0,'Données projet'!$E$11+1,1))-AVERAGE(OFFSET($H$3,0,0,'Données projet'!$E$11+1,1))</f>
        <v>389.12604446638119</v>
      </c>
      <c r="BJ119" s="60">
        <f t="shared" si="92"/>
        <v>243.23852967152732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3.6</v>
      </c>
      <c r="BY119" s="13">
        <f>IF('Données projet'!$A$114&gt;35,BY118+BX119-CG118,IF(A119&lt;'Données projet'!$A$114,$BV$205^A119,IF(A119='Données projet'!$A$114,'Données projet'!$B$114,BY118+BX119-CG118)))</f>
        <v>269.60000000000002</v>
      </c>
      <c r="BZ119" s="14">
        <f>BY119*VLOOKUP('Données projet'!$B$12,Paramètres!$A$1:$I$89,3,0)*VLOOKUP('Données projet'!$B$12,Paramètres!$A$1:$I$89,5,0)</f>
        <v>243.93407999999999</v>
      </c>
      <c r="CA119" s="14">
        <f t="shared" si="93"/>
        <v>59.285164329617594</v>
      </c>
      <c r="CB119" s="22">
        <f t="shared" si="64"/>
        <v>528.10685054075066</v>
      </c>
      <c r="CC119" s="60">
        <f t="shared" si="65"/>
        <v>821.44018387408391</v>
      </c>
      <c r="CD119" s="60">
        <f ca="1">AVERAGE(OFFSET($CC$3,0,0,'Données projet'!$E$12+1,1))-AVERAGE(OFFSET($H$3,0,0,'Données projet'!$E$12+1,1))</f>
        <v>371.95849973474657</v>
      </c>
      <c r="CE119" s="60">
        <f t="shared" si="94"/>
        <v>233.32640143610547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2.1754072776396714E-12</v>
      </c>
      <c r="CN119" s="24">
        <f t="shared" si="66"/>
        <v>2.1754072776396714E-12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3.6</v>
      </c>
      <c r="CT119" s="13">
        <f>IF('Données projet'!$A$140&gt;35,CT118+CS119-DB118,IF(A119&lt;'Données projet'!$A$140,$CQ$205^A119,IF(A119='Données projet'!$A$140,'Données projet'!$B$140,CT118+CS119-DB118)))</f>
        <v>269.60000000000002</v>
      </c>
      <c r="CU119" s="18">
        <f>CT119*VLOOKUP('Données projet'!$B$13,Paramètres!$A$1:$I$89,3,0)*VLOOKUP('Données projet'!$B$13,Paramètres!$A$1:$I$89,5,0)</f>
        <v>260.75712000000004</v>
      </c>
      <c r="CV119" s="14">
        <f t="shared" si="95"/>
        <v>62.883738022168423</v>
      </c>
      <c r="CW119" s="22">
        <f t="shared" si="67"/>
        <v>563.67449438861001</v>
      </c>
      <c r="CX119" s="60">
        <f t="shared" si="68"/>
        <v>857.00782772194339</v>
      </c>
      <c r="CY119" s="60">
        <f ca="1">AVERAGE(OFFSET($CX$3,0,0,'Données projet'!$E$13+1,1))-AVERAGE(OFFSET($H$3,0,0,'Données projet'!$E$13+1,1))</f>
        <v>394.8445842828649</v>
      </c>
      <c r="CZ119" s="60">
        <f t="shared" si="96"/>
        <v>246.54010105494143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2.3254353657527536E-12</v>
      </c>
      <c r="DI119" s="24">
        <f t="shared" si="69"/>
        <v>2.3254353657527536E-12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5.6843418860808015E-14</v>
      </c>
      <c r="DP119" s="18">
        <f>DO119*VLOOKUP('Données projet'!$B$14,Paramètres!$A$1:$I$89,3,0)*VLOOKUP('Données projet'!$B$14,Paramètres!$A$1:$I$89,5,0)</f>
        <v>4.9658410716801891E-14</v>
      </c>
      <c r="DQ119" s="14">
        <f t="shared" si="97"/>
        <v>8.0934058173791862E-13</v>
      </c>
      <c r="DR119" s="22">
        <f t="shared" si="70"/>
        <v>1.4960899118586383E-12</v>
      </c>
      <c r="DS119" s="60">
        <f t="shared" si="71"/>
        <v>293.33333333333479</v>
      </c>
      <c r="DT119" s="60">
        <f ca="1">AVERAGE(OFFSET($DS$3,0,0,'Données projet'!$E$14+1,1))-AVERAGE(OFFSET($H$3,0,0,'Données projet'!$E$14+1,1))</f>
        <v>266.98113257513319</v>
      </c>
      <c r="DU119" s="60">
        <f t="shared" si="98"/>
        <v>275.73257102713393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1.0258901049993818</v>
      </c>
      <c r="EC119" s="23">
        <f>EXP(-LN(2)/2)*EC118+(1-EXP(-LN(2)/2))/(LN(2)/2)*DW119*DZ119*VLOOKUP('Données projet'!$B$14,Paramètres!$A$1:$I$89,3,0)*0.475*44/12</f>
        <v>1.1899144721529985E-12</v>
      </c>
      <c r="ED119" s="24">
        <f t="shared" si="72"/>
        <v>1.0258901050005718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3.6</v>
      </c>
      <c r="EJ119" s="13">
        <f>IF('Données projet'!$A$192&gt;35,EJ118+EI119-ER118,IF(A119&lt;'Données projet'!$A$192,$EG$205^A119,IF(A119='Données projet'!$A$192,'Données projet'!$B$192,EJ118+EI119-ER118)))</f>
        <v>269.60000000000002</v>
      </c>
      <c r="EK119" s="18">
        <f>EJ119*VLOOKUP('Données projet'!$B$15,Paramètres!$A$1:$I$89,3,0)*VLOOKUP('Données projet'!$B$15,Paramètres!$A$1:$I$89,5,0)</f>
        <v>307.02048000000002</v>
      </c>
      <c r="EL119" s="14">
        <f t="shared" si="99"/>
        <v>72.646238485840655</v>
      </c>
      <c r="EM119" s="22">
        <f t="shared" si="73"/>
        <v>661.25286802950575</v>
      </c>
      <c r="EN119" s="60">
        <f t="shared" si="74"/>
        <v>954.58620136283912</v>
      </c>
      <c r="EO119" s="60">
        <f ca="1">AVERAGE(OFFSET($EN$3,0,0,'Données projet'!$E$15+1,1))-AVERAGE(OFFSET($H$3,0,0,'Données projet'!$E$15+1,1))</f>
        <v>457.62828850677369</v>
      </c>
      <c r="EP119" s="60">
        <f t="shared" si="100"/>
        <v>282.78263556175563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3.6</v>
      </c>
      <c r="FE119" s="13">
        <f>IF('Données projet'!$A$218&gt;35,FE118+FD119-FM118,IF(A119&lt;'Données projet'!$A$218,$FB$205^A119,IF(A119='Données projet'!$A$218,'Données projet'!$B$218,FE118+FD119-FM118)))</f>
        <v>269.60000000000002</v>
      </c>
      <c r="FF119" s="18">
        <f>FE119*VLOOKUP('Données projet'!$B$16,Paramètres!$A$1:$I$89,3,0)*VLOOKUP('Données projet'!$B$16,Paramètres!$A$1:$I$89,5,0)</f>
        <v>294.40320000000003</v>
      </c>
      <c r="FG119" s="14">
        <f t="shared" si="101"/>
        <v>70.001876338124134</v>
      </c>
      <c r="FH119" s="22">
        <f t="shared" si="76"/>
        <v>634.67217462223289</v>
      </c>
      <c r="FI119" s="60">
        <f t="shared" si="77"/>
        <v>928.00550795556615</v>
      </c>
      <c r="FJ119" s="60">
        <f ca="1">AVERAGE(OFFSET($FI$3,0,0,'Données projet'!$E$16+1,1))-AVERAGE(OFFSET($H$3,0,0,'Données projet'!$E$16+1,1))</f>
        <v>440.52623925652182</v>
      </c>
      <c r="FK119" s="60">
        <f t="shared" si="102"/>
        <v>272.91122662088918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3.4106051316484809E-13</v>
      </c>
      <c r="GA119" s="18">
        <f>FZ119*VLOOKUP('Données projet'!$B$17,Paramètres!$A$1:$I$89,3,0)*VLOOKUP('Données projet'!$B$17,Paramètres!$A$1:$I$89,5,0)</f>
        <v>1.5961632016114892E-13</v>
      </c>
      <c r="GB119" s="14">
        <f t="shared" si="103"/>
        <v>2.2708641912150958E-12</v>
      </c>
      <c r="GC119" s="22">
        <f t="shared" si="79"/>
        <v>4.2330868906469593E-12</v>
      </c>
      <c r="GD119" s="60">
        <f t="shared" si="80"/>
        <v>293.33333333333752</v>
      </c>
      <c r="GE119" s="60">
        <f ca="1">AVERAGE(OFFSET($GD$3,0,0,'Données projet'!$E$17+1,1))-AVERAGE(OFFSET($H$3,0,0,'Données projet'!$E$17+1,1))</f>
        <v>317.54276561627643</v>
      </c>
      <c r="GF119" s="60">
        <f t="shared" si="104"/>
        <v>238.92443174298893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>
        <f>GU119*VLOOKUP('Données projet'!$B$18,Paramètres!$A$1:$I$89,3,0)*VLOOKUP('Données projet'!$B$18,Paramètres!$A$1:$I$89,5,0)</f>
        <v>0</v>
      </c>
      <c r="GW119" s="14" t="e">
        <f t="shared" si="105"/>
        <v>#NUM!</v>
      </c>
      <c r="GX119" s="22" t="e">
        <f t="shared" si="82"/>
        <v>#NUM!</v>
      </c>
      <c r="GY119" s="60" t="e">
        <f t="shared" si="83"/>
        <v>#NUM!</v>
      </c>
      <c r="GZ119" s="60">
        <f ca="1">AVERAGE(OFFSET($GY$3,0,0,'Données projet'!$E$18+1,1))-AVERAGE(OFFSET($H$3,0,0,'Données projet'!$E$18+1,1))</f>
        <v>79.868679770907136</v>
      </c>
      <c r="HA119" s="60">
        <f t="shared" si="106"/>
        <v>370.47471103028312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11.314708172462458</v>
      </c>
      <c r="HH119" s="23">
        <f>EXP(-LN(2)/25)*HH118+(1-EXP(-LN(2)/25))/(LN(2)/25)*Calculateur!HC119*Calculateur!HE119*VLOOKUP('Données projet'!$B$18,Paramètres!$A$1:$I$89,3,0)*0.475*44/12</f>
        <v>1.3919520912811687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12.706660263743627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0">
        <f t="shared" si="55"/>
        <v>293.33333333333439</v>
      </c>
      <c r="S120" s="60">
        <f ca="1">AVERAGE(OFFSET($R$3,0,0,'Données projet'!$E$9+1,1))-AVERAGE(OFFSET($H$3,0,0,'Données projet'!$E$9+1,1))</f>
        <v>206.5885410269899</v>
      </c>
      <c r="T120" s="60">
        <f t="shared" si="88"/>
        <v>347.41156847586302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3.3992364478763198E-14</v>
      </c>
      <c r="AK120" s="14">
        <f t="shared" si="89"/>
        <v>5.790027782444094E-13</v>
      </c>
      <c r="AL120" s="22">
        <f t="shared" si="58"/>
        <v>1.0676332069095257E-12</v>
      </c>
      <c r="AM120" s="60">
        <f t="shared" si="59"/>
        <v>293.33333333333439</v>
      </c>
      <c r="AN120" s="60">
        <f ca="1">AVERAGE(OFFSET($AM$3,0,0,'Données projet'!$E$10+1,1))-AVERAGE(OFFSET($H$3,0,0,'Données projet'!$E$10+1,1))</f>
        <v>206.5885410269899</v>
      </c>
      <c r="AO120" s="60">
        <f t="shared" si="90"/>
        <v>347.41156847586302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19.530017945668352</v>
      </c>
      <c r="AV120" s="23">
        <f>EXP(-LN(2)/25)*AV119+(1-EXP(-LN(2)/25))/(LN(2)/25)*Calculateur!AQ120*Calculateur!AS120*VLOOKUP('Données projet'!$B$10,Paramètres!$A$1:$I$89,3,0)*0.475*44/12</f>
        <v>0.29961397572497289</v>
      </c>
      <c r="AW120" s="23">
        <f>EXP(-LN(2)/2)*AW119+(1-EXP(-LN(2)/2))/(LN(2)/2)*AQ120*AT120*VLOOKUP('Données projet'!$B$10,Paramètres!$A$1:$I$89,3,0)*0.475*44/12</f>
        <v>8.8549688714510285E-11</v>
      </c>
      <c r="AX120" s="23">
        <f t="shared" si="60"/>
        <v>19.829631921481877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273.20000000000005</v>
      </c>
      <c r="BE120" s="14">
        <f>BD120*VLOOKUP('Données projet'!$B$11,Paramètres!$A$1:$I$89,3,0)*VLOOKUP('Données projet'!$B$11,Paramètres!$A$1:$I$89,5,0)</f>
        <v>259.97712000000001</v>
      </c>
      <c r="BF120" s="14">
        <f t="shared" si="91"/>
        <v>62.717500839785117</v>
      </c>
      <c r="BG120" s="22">
        <f t="shared" si="61"/>
        <v>562.02646462929238</v>
      </c>
      <c r="BH120" s="60">
        <f t="shared" si="62"/>
        <v>855.35979796262563</v>
      </c>
      <c r="BI120" s="60">
        <f ca="1">AVERAGE(OFFSET($BH$3,0,0,'Données projet'!$E$11+1,1))-AVERAGE(OFFSET($H$3,0,0,'Données projet'!$E$11+1,1))</f>
        <v>389.12604446638119</v>
      </c>
      <c r="BJ120" s="60">
        <f t="shared" si="92"/>
        <v>243.23852967152732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3.6</v>
      </c>
      <c r="BY120" s="13">
        <f>IF('Données projet'!$A$114&gt;35,BY119+BX120-CG119,IF(A120&lt;'Données projet'!$A$114,$BV$205^A120,IF(A120='Données projet'!$A$114,'Données projet'!$B$114,BY119+BX120-CG119)))</f>
        <v>273.20000000000005</v>
      </c>
      <c r="BZ120" s="14">
        <f>BY120*VLOOKUP('Données projet'!$B$12,Paramètres!$A$1:$I$89,3,0)*VLOOKUP('Données projet'!$B$12,Paramètres!$A$1:$I$89,5,0)</f>
        <v>247.19136000000003</v>
      </c>
      <c r="CA120" s="14">
        <f t="shared" si="93"/>
        <v>59.984117969781565</v>
      </c>
      <c r="CB120" s="22">
        <f t="shared" si="64"/>
        <v>534.99729079736949</v>
      </c>
      <c r="CC120" s="60">
        <f t="shared" si="65"/>
        <v>828.33062413070274</v>
      </c>
      <c r="CD120" s="60">
        <f ca="1">AVERAGE(OFFSET($CC$3,0,0,'Données projet'!$E$12+1,1))-AVERAGE(OFFSET($H$3,0,0,'Données projet'!$E$12+1,1))</f>
        <v>371.95849973474657</v>
      </c>
      <c r="CE120" s="60">
        <f t="shared" si="94"/>
        <v>233.32640143610547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1.5382452378615782E-12</v>
      </c>
      <c r="CN120" s="24">
        <f t="shared" si="66"/>
        <v>1.5382452378615782E-12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3.6</v>
      </c>
      <c r="CT120" s="13">
        <f>IF('Données projet'!$A$140&gt;35,CT119+CS120-DB119,IF(A120&lt;'Données projet'!$A$140,$CQ$205^A120,IF(A120='Données projet'!$A$140,'Données projet'!$B$140,CT119+CS120-DB119)))</f>
        <v>273.20000000000005</v>
      </c>
      <c r="CU120" s="18">
        <f>CT120*VLOOKUP('Données projet'!$B$13,Paramètres!$A$1:$I$89,3,0)*VLOOKUP('Données projet'!$B$13,Paramètres!$A$1:$I$89,5,0)</f>
        <v>264.23904000000005</v>
      </c>
      <c r="CV120" s="14">
        <f t="shared" si="95"/>
        <v>63.625117726428726</v>
      </c>
      <c r="CW120" s="22">
        <f t="shared" si="67"/>
        <v>571.03007470686327</v>
      </c>
      <c r="CX120" s="60">
        <f t="shared" si="68"/>
        <v>864.36340804019665</v>
      </c>
      <c r="CY120" s="60">
        <f ca="1">AVERAGE(OFFSET($CX$3,0,0,'Données projet'!$E$13+1,1))-AVERAGE(OFFSET($H$3,0,0,'Données projet'!$E$13+1,1))</f>
        <v>394.8445842828649</v>
      </c>
      <c r="CZ120" s="60">
        <f t="shared" si="96"/>
        <v>246.54010105494143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1.6443311163347915E-12</v>
      </c>
      <c r="DI120" s="24">
        <f t="shared" si="69"/>
        <v>1.6443311163347915E-12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5.6843418860808015E-14</v>
      </c>
      <c r="DP120" s="18">
        <f>DO120*VLOOKUP('Données projet'!$B$14,Paramètres!$A$1:$I$89,3,0)*VLOOKUP('Données projet'!$B$14,Paramètres!$A$1:$I$89,5,0)</f>
        <v>4.9658410716801891E-14</v>
      </c>
      <c r="DQ120" s="14">
        <f t="shared" si="97"/>
        <v>8.0934058173791862E-13</v>
      </c>
      <c r="DR120" s="22">
        <f t="shared" si="70"/>
        <v>1.4960899118586383E-12</v>
      </c>
      <c r="DS120" s="60">
        <f t="shared" si="71"/>
        <v>293.33333333333479</v>
      </c>
      <c r="DT120" s="60">
        <f ca="1">AVERAGE(OFFSET($DS$3,0,0,'Données projet'!$E$14+1,1))-AVERAGE(OFFSET($H$3,0,0,'Données projet'!$E$14+1,1))</f>
        <v>266.98113257513319</v>
      </c>
      <c r="DU120" s="60">
        <f t="shared" si="98"/>
        <v>275.73257102713393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0.99783708612895783</v>
      </c>
      <c r="EC120" s="23">
        <f>EXP(-LN(2)/2)*EC119+(1-EXP(-LN(2)/2))/(LN(2)/2)*DW120*DZ120*VLOOKUP('Données projet'!$B$14,Paramètres!$A$1:$I$89,3,0)*0.475*44/12</f>
        <v>8.4139659229139652E-13</v>
      </c>
      <c r="ED120" s="24">
        <f t="shared" si="72"/>
        <v>0.99783708612979927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3.6</v>
      </c>
      <c r="EJ120" s="13">
        <f>IF('Données projet'!$A$192&gt;35,EJ119+EI120-ER119,IF(A120&lt;'Données projet'!$A$192,$EG$205^A120,IF(A120='Données projet'!$A$192,'Données projet'!$B$192,EJ119+EI120-ER119)))</f>
        <v>273.20000000000005</v>
      </c>
      <c r="EK120" s="18">
        <f>EJ120*VLOOKUP('Données projet'!$B$15,Paramètres!$A$1:$I$89,3,0)*VLOOKUP('Données projet'!$B$15,Paramètres!$A$1:$I$89,5,0)</f>
        <v>311.12016000000006</v>
      </c>
      <c r="EL120" s="14">
        <f t="shared" si="99"/>
        <v>73.502715032849821</v>
      </c>
      <c r="EM120" s="22">
        <f t="shared" si="73"/>
        <v>669.88484068221362</v>
      </c>
      <c r="EN120" s="60">
        <f t="shared" si="74"/>
        <v>963.21817401554699</v>
      </c>
      <c r="EO120" s="60">
        <f ca="1">AVERAGE(OFFSET($EN$3,0,0,'Données projet'!$E$15+1,1))-AVERAGE(OFFSET($H$3,0,0,'Données projet'!$E$15+1,1))</f>
        <v>457.62828850677369</v>
      </c>
      <c r="EP120" s="60">
        <f t="shared" si="100"/>
        <v>282.78263556175563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3.6</v>
      </c>
      <c r="FE120" s="13">
        <f>IF('Données projet'!$A$218&gt;35,FE119+FD120-FM119,IF(A120&lt;'Données projet'!$A$218,$FB$205^A120,IF(A120='Données projet'!$A$218,'Données projet'!$B$218,FE119+FD120-FM119)))</f>
        <v>273.20000000000005</v>
      </c>
      <c r="FF120" s="18">
        <f>FE120*VLOOKUP('Données projet'!$B$16,Paramètres!$A$1:$I$89,3,0)*VLOOKUP('Données projet'!$B$16,Paramètres!$A$1:$I$89,5,0)</f>
        <v>298.33440000000002</v>
      </c>
      <c r="FG120" s="14">
        <f t="shared" si="101"/>
        <v>70.82717667823637</v>
      </c>
      <c r="FH120" s="22">
        <f t="shared" si="76"/>
        <v>642.95641271459499</v>
      </c>
      <c r="FI120" s="60">
        <f t="shared" si="77"/>
        <v>936.28974604792825</v>
      </c>
      <c r="FJ120" s="60">
        <f ca="1">AVERAGE(OFFSET($FI$3,0,0,'Données projet'!$E$16+1,1))-AVERAGE(OFFSET($H$3,0,0,'Données projet'!$E$16+1,1))</f>
        <v>440.52623925652182</v>
      </c>
      <c r="FK120" s="60">
        <f t="shared" si="102"/>
        <v>272.91122662088918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3.4106051316484809E-13</v>
      </c>
      <c r="GA120" s="18">
        <f>FZ120*VLOOKUP('Données projet'!$B$17,Paramètres!$A$1:$I$89,3,0)*VLOOKUP('Données projet'!$B$17,Paramètres!$A$1:$I$89,5,0)</f>
        <v>1.5961632016114892E-13</v>
      </c>
      <c r="GB120" s="14">
        <f t="shared" si="103"/>
        <v>2.2708641912150958E-12</v>
      </c>
      <c r="GC120" s="22">
        <f t="shared" si="79"/>
        <v>4.2330868906469593E-12</v>
      </c>
      <c r="GD120" s="60">
        <f t="shared" si="80"/>
        <v>293.33333333333752</v>
      </c>
      <c r="GE120" s="60">
        <f ca="1">AVERAGE(OFFSET($GD$3,0,0,'Données projet'!$E$17+1,1))-AVERAGE(OFFSET($H$3,0,0,'Données projet'!$E$17+1,1))</f>
        <v>317.54276561627643</v>
      </c>
      <c r="GF120" s="60">
        <f t="shared" si="104"/>
        <v>238.92443174298893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>
        <f>GU120*VLOOKUP('Données projet'!$B$18,Paramètres!$A$1:$I$89,3,0)*VLOOKUP('Données projet'!$B$18,Paramètres!$A$1:$I$89,5,0)</f>
        <v>0</v>
      </c>
      <c r="GW120" s="14" t="e">
        <f t="shared" si="105"/>
        <v>#NUM!</v>
      </c>
      <c r="GX120" s="22" t="e">
        <f t="shared" si="82"/>
        <v>#NUM!</v>
      </c>
      <c r="GY120" s="60" t="e">
        <f t="shared" si="83"/>
        <v>#NUM!</v>
      </c>
      <c r="GZ120" s="60">
        <f ca="1">AVERAGE(OFFSET($GY$3,0,0,'Données projet'!$E$18+1,1))-AVERAGE(OFFSET($H$3,0,0,'Données projet'!$E$18+1,1))</f>
        <v>79.868679770907136</v>
      </c>
      <c r="HA120" s="60">
        <f t="shared" si="106"/>
        <v>370.47471103028312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11.092833646491009</v>
      </c>
      <c r="HH120" s="23">
        <f>EXP(-LN(2)/25)*HH119+(1-EXP(-LN(2)/25))/(LN(2)/25)*Calculateur!HC120*Calculateur!HE120*VLOOKUP('Données projet'!$B$18,Paramètres!$A$1:$I$89,3,0)*0.475*44/12</f>
        <v>1.3538890881455059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12.446722734636515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0">
        <f t="shared" si="55"/>
        <v>293.33333333333439</v>
      </c>
      <c r="S121" s="60">
        <f ca="1">AVERAGE(OFFSET($R$3,0,0,'Données projet'!$E$9+1,1))-AVERAGE(OFFSET($H$3,0,0,'Données projet'!$E$9+1,1))</f>
        <v>206.5885410269899</v>
      </c>
      <c r="T121" s="60">
        <f t="shared" si="88"/>
        <v>347.41156847586302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3.3992364478763198E-14</v>
      </c>
      <c r="AK121" s="14">
        <f t="shared" si="89"/>
        <v>5.790027782444094E-13</v>
      </c>
      <c r="AL121" s="22">
        <f t="shared" si="58"/>
        <v>1.0676332069095257E-12</v>
      </c>
      <c r="AM121" s="60">
        <f t="shared" si="59"/>
        <v>293.33333333333439</v>
      </c>
      <c r="AN121" s="60">
        <f ca="1">AVERAGE(OFFSET($AM$3,0,0,'Données projet'!$E$10+1,1))-AVERAGE(OFFSET($H$3,0,0,'Données projet'!$E$10+1,1))</f>
        <v>206.5885410269899</v>
      </c>
      <c r="AO121" s="60">
        <f t="shared" si="90"/>
        <v>347.41156847586302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19.147046205888515</v>
      </c>
      <c r="AV121" s="23">
        <f>EXP(-LN(2)/25)*AV120+(1-EXP(-LN(2)/25))/(LN(2)/25)*Calculateur!AQ121*Calculateur!AS121*VLOOKUP('Données projet'!$B$10,Paramètres!$A$1:$I$89,3,0)*0.475*44/12</f>
        <v>0.29142101580275931</v>
      </c>
      <c r="AW121" s="23">
        <f>EXP(-LN(2)/2)*AW120+(1-EXP(-LN(2)/2))/(LN(2)/2)*AQ121*AT121*VLOOKUP('Données projet'!$B$10,Paramètres!$A$1:$I$89,3,0)*0.475*44/12</f>
        <v>6.2614085361988121E-11</v>
      </c>
      <c r="AX121" s="23">
        <f t="shared" si="60"/>
        <v>19.438467221753886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276.80000000000007</v>
      </c>
      <c r="BE121" s="14">
        <f>BD121*VLOOKUP('Données projet'!$B$11,Paramètres!$A$1:$I$89,3,0)*VLOOKUP('Données projet'!$B$11,Paramètres!$A$1:$I$89,5,0)</f>
        <v>263.4028800000001</v>
      </c>
      <c r="BF121" s="14">
        <f t="shared" si="91"/>
        <v>63.447184611504625</v>
      </c>
      <c r="BG121" s="22">
        <f t="shared" si="61"/>
        <v>569.26386253170404</v>
      </c>
      <c r="BH121" s="60">
        <f t="shared" si="62"/>
        <v>862.59719586503729</v>
      </c>
      <c r="BI121" s="60">
        <f ca="1">AVERAGE(OFFSET($BH$3,0,0,'Données projet'!$E$11+1,1))-AVERAGE(OFFSET($H$3,0,0,'Données projet'!$E$11+1,1))</f>
        <v>389.12604446638119</v>
      </c>
      <c r="BJ121" s="60">
        <f t="shared" si="92"/>
        <v>243.23852967152732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3.6</v>
      </c>
      <c r="BY121" s="13">
        <f>IF('Données projet'!$A$114&gt;35,BY120+BX121-CG120,IF(A121&lt;'Données projet'!$A$114,$BV$205^A121,IF(A121='Données projet'!$A$114,'Données projet'!$B$114,BY120+BX121-CG120)))</f>
        <v>276.80000000000007</v>
      </c>
      <c r="BZ121" s="14">
        <f>BY121*VLOOKUP('Données projet'!$B$12,Paramètres!$A$1:$I$89,3,0)*VLOOKUP('Données projet'!$B$12,Paramètres!$A$1:$I$89,5,0)</f>
        <v>250.44864000000007</v>
      </c>
      <c r="CA121" s="14">
        <f t="shared" si="93"/>
        <v>60.682000328890055</v>
      </c>
      <c r="CB121" s="22">
        <f t="shared" si="64"/>
        <v>541.88586523948368</v>
      </c>
      <c r="CC121" s="60">
        <f t="shared" si="65"/>
        <v>835.21919857281705</v>
      </c>
      <c r="CD121" s="60">
        <f ca="1">AVERAGE(OFFSET($CC$3,0,0,'Données projet'!$E$12+1,1))-AVERAGE(OFFSET($H$3,0,0,'Données projet'!$E$12+1,1))</f>
        <v>371.95849973474657</v>
      </c>
      <c r="CE121" s="60">
        <f t="shared" si="94"/>
        <v>233.32640143610547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1.0877036388198357E-12</v>
      </c>
      <c r="CN121" s="24">
        <f t="shared" si="66"/>
        <v>1.0877036388198357E-12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3.6</v>
      </c>
      <c r="CT121" s="13">
        <f>IF('Données projet'!$A$140&gt;35,CT120+CS121-DB120,IF(A121&lt;'Données projet'!$A$140,$CQ$205^A121,IF(A121='Données projet'!$A$140,'Données projet'!$B$140,CT120+CS121-DB120)))</f>
        <v>276.80000000000007</v>
      </c>
      <c r="CU121" s="18">
        <f>CT121*VLOOKUP('Données projet'!$B$13,Paramètres!$A$1:$I$89,3,0)*VLOOKUP('Données projet'!$B$13,Paramètres!$A$1:$I$89,5,0)</f>
        <v>267.72096000000005</v>
      </c>
      <c r="CV121" s="14">
        <f t="shared" si="95"/>
        <v>64.365361123519946</v>
      </c>
      <c r="CW121" s="22">
        <f t="shared" si="67"/>
        <v>578.38367595679733</v>
      </c>
      <c r="CX121" s="60">
        <f t="shared" si="68"/>
        <v>871.71700929013059</v>
      </c>
      <c r="CY121" s="60">
        <f ca="1">AVERAGE(OFFSET($CX$3,0,0,'Données projet'!$E$13+1,1))-AVERAGE(OFFSET($H$3,0,0,'Données projet'!$E$13+1,1))</f>
        <v>394.8445842828649</v>
      </c>
      <c r="CZ121" s="60">
        <f t="shared" si="96"/>
        <v>246.54010105494143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1.1627176828763768E-12</v>
      </c>
      <c r="DI121" s="24">
        <f t="shared" si="69"/>
        <v>1.1627176828763768E-12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5.6843418860808015E-14</v>
      </c>
      <c r="DP121" s="18">
        <f>DO121*VLOOKUP('Données projet'!$B$14,Paramètres!$A$1:$I$89,3,0)*VLOOKUP('Données projet'!$B$14,Paramètres!$A$1:$I$89,5,0)</f>
        <v>4.9658410716801891E-14</v>
      </c>
      <c r="DQ121" s="14">
        <f t="shared" si="97"/>
        <v>8.0934058173791862E-13</v>
      </c>
      <c r="DR121" s="22">
        <f t="shared" si="70"/>
        <v>1.4960899118586383E-12</v>
      </c>
      <c r="DS121" s="60">
        <f t="shared" si="71"/>
        <v>293.33333333333479</v>
      </c>
      <c r="DT121" s="60">
        <f ca="1">AVERAGE(OFFSET($DS$3,0,0,'Données projet'!$E$14+1,1))-AVERAGE(OFFSET($H$3,0,0,'Données projet'!$E$14+1,1))</f>
        <v>266.98113257513319</v>
      </c>
      <c r="DU121" s="60">
        <f t="shared" si="98"/>
        <v>275.73257102713393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0.97055117853478967</v>
      </c>
      <c r="EC121" s="23">
        <f>EXP(-LN(2)/2)*EC120+(1-EXP(-LN(2)/2))/(LN(2)/2)*DW121*DZ121*VLOOKUP('Données projet'!$B$14,Paramètres!$A$1:$I$89,3,0)*0.475*44/12</f>
        <v>5.9495723607649925E-13</v>
      </c>
      <c r="ED121" s="24">
        <f t="shared" si="72"/>
        <v>0.97055117853538464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3.6</v>
      </c>
      <c r="EJ121" s="13">
        <f>IF('Données projet'!$A$192&gt;35,EJ120+EI121-ER120,IF(A121&lt;'Données projet'!$A$192,$EG$205^A121,IF(A121='Données projet'!$A$192,'Données projet'!$B$192,EJ120+EI121-ER120)))</f>
        <v>276.80000000000007</v>
      </c>
      <c r="EK121" s="18">
        <f>EJ121*VLOOKUP('Données projet'!$B$15,Paramètres!$A$1:$I$89,3,0)*VLOOKUP('Données projet'!$B$15,Paramètres!$A$1:$I$89,5,0)</f>
        <v>315.21984000000009</v>
      </c>
      <c r="EL121" s="14">
        <f t="shared" si="99"/>
        <v>74.357878864613525</v>
      </c>
      <c r="EM121" s="22">
        <f t="shared" si="73"/>
        <v>678.51452702253539</v>
      </c>
      <c r="EN121" s="60">
        <f t="shared" si="74"/>
        <v>971.84786035586876</v>
      </c>
      <c r="EO121" s="60">
        <f ca="1">AVERAGE(OFFSET($EN$3,0,0,'Données projet'!$E$15+1,1))-AVERAGE(OFFSET($H$3,0,0,'Données projet'!$E$15+1,1))</f>
        <v>457.62828850677369</v>
      </c>
      <c r="EP121" s="60">
        <f t="shared" si="100"/>
        <v>282.78263556175563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3.6</v>
      </c>
      <c r="FE121" s="13">
        <f>IF('Données projet'!$A$218&gt;35,FE120+FD121-FM120,IF(A121&lt;'Données projet'!$A$218,$FB$205^A121,IF(A121='Données projet'!$A$218,'Données projet'!$B$218,FE120+FD121-FM120)))</f>
        <v>276.80000000000007</v>
      </c>
      <c r="FF121" s="18">
        <f>FE121*VLOOKUP('Données projet'!$B$16,Paramètres!$A$1:$I$89,3,0)*VLOOKUP('Données projet'!$B$16,Paramètres!$A$1:$I$89,5,0)</f>
        <v>302.26560000000006</v>
      </c>
      <c r="FG121" s="14">
        <f t="shared" si="101"/>
        <v>71.651212086643966</v>
      </c>
      <c r="FH121" s="22">
        <f t="shared" si="76"/>
        <v>651.2384477175716</v>
      </c>
      <c r="FI121" s="60">
        <f t="shared" si="77"/>
        <v>944.57178105090497</v>
      </c>
      <c r="FJ121" s="60">
        <f ca="1">AVERAGE(OFFSET($FI$3,0,0,'Données projet'!$E$16+1,1))-AVERAGE(OFFSET($H$3,0,0,'Données projet'!$E$16+1,1))</f>
        <v>440.52623925652182</v>
      </c>
      <c r="FK121" s="60">
        <f t="shared" si="102"/>
        <v>272.91122662088918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3.4106051316484809E-13</v>
      </c>
      <c r="GA121" s="18">
        <f>FZ121*VLOOKUP('Données projet'!$B$17,Paramètres!$A$1:$I$89,3,0)*VLOOKUP('Données projet'!$B$17,Paramètres!$A$1:$I$89,5,0)</f>
        <v>1.5961632016114892E-13</v>
      </c>
      <c r="GB121" s="14">
        <f t="shared" si="103"/>
        <v>2.2708641912150958E-12</v>
      </c>
      <c r="GC121" s="22">
        <f t="shared" si="79"/>
        <v>4.2330868906469593E-12</v>
      </c>
      <c r="GD121" s="60">
        <f t="shared" si="80"/>
        <v>293.33333333333752</v>
      </c>
      <c r="GE121" s="60">
        <f ca="1">AVERAGE(OFFSET($GD$3,0,0,'Données projet'!$E$17+1,1))-AVERAGE(OFFSET($H$3,0,0,'Données projet'!$E$17+1,1))</f>
        <v>317.54276561627643</v>
      </c>
      <c r="GF121" s="60">
        <f t="shared" si="104"/>
        <v>238.92443174298893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>
        <f>GU121*VLOOKUP('Données projet'!$B$18,Paramètres!$A$1:$I$89,3,0)*VLOOKUP('Données projet'!$B$18,Paramètres!$A$1:$I$89,5,0)</f>
        <v>0</v>
      </c>
      <c r="GW121" s="14" t="e">
        <f t="shared" si="105"/>
        <v>#NUM!</v>
      </c>
      <c r="GX121" s="22" t="e">
        <f t="shared" si="82"/>
        <v>#NUM!</v>
      </c>
      <c r="GY121" s="60" t="e">
        <f t="shared" si="83"/>
        <v>#NUM!</v>
      </c>
      <c r="GZ121" s="60">
        <f ca="1">AVERAGE(OFFSET($GY$3,0,0,'Données projet'!$E$18+1,1))-AVERAGE(OFFSET($H$3,0,0,'Données projet'!$E$18+1,1))</f>
        <v>79.868679770907136</v>
      </c>
      <c r="HA121" s="60">
        <f t="shared" si="106"/>
        <v>370.47471103028312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10.875309944643762</v>
      </c>
      <c r="HH121" s="23">
        <f>EXP(-LN(2)/25)*HH120+(1-EXP(-LN(2)/25))/(LN(2)/25)*Calculateur!HC121*Calculateur!HE121*VLOOKUP('Données projet'!$B$18,Paramètres!$A$1:$I$89,3,0)*0.475*44/12</f>
        <v>1.3168669198322343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12.192176864475996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0">
        <f t="shared" si="55"/>
        <v>293.33333333333439</v>
      </c>
      <c r="S122" s="60">
        <f ca="1">AVERAGE(OFFSET($R$3,0,0,'Données projet'!$E$9+1,1))-AVERAGE(OFFSET($H$3,0,0,'Données projet'!$E$9+1,1))</f>
        <v>206.5885410269899</v>
      </c>
      <c r="T122" s="60">
        <f t="shared" si="88"/>
        <v>347.41156847586302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3.3992364478763198E-14</v>
      </c>
      <c r="AK122" s="14">
        <f t="shared" si="89"/>
        <v>5.790027782444094E-13</v>
      </c>
      <c r="AL122" s="22">
        <f t="shared" si="58"/>
        <v>1.0676332069095257E-12</v>
      </c>
      <c r="AM122" s="60">
        <f t="shared" si="59"/>
        <v>293.33333333333439</v>
      </c>
      <c r="AN122" s="60">
        <f ca="1">AVERAGE(OFFSET($AM$3,0,0,'Données projet'!$E$10+1,1))-AVERAGE(OFFSET($H$3,0,0,'Données projet'!$E$10+1,1))</f>
        <v>206.5885410269899</v>
      </c>
      <c r="AO122" s="60">
        <f t="shared" si="90"/>
        <v>347.41156847586302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18.771584308336067</v>
      </c>
      <c r="AV122" s="23">
        <f>EXP(-LN(2)/25)*AV121+(1-EXP(-LN(2)/25))/(LN(2)/25)*Calculateur!AQ122*Calculateur!AS122*VLOOKUP('Données projet'!$B$10,Paramètres!$A$1:$I$89,3,0)*0.475*44/12</f>
        <v>0.28345209280046768</v>
      </c>
      <c r="AW122" s="23">
        <f>EXP(-LN(2)/2)*AW121+(1-EXP(-LN(2)/2))/(LN(2)/2)*AQ122*AT122*VLOOKUP('Données projet'!$B$10,Paramètres!$A$1:$I$89,3,0)*0.475*44/12</f>
        <v>4.4274844357255142E-11</v>
      </c>
      <c r="AX122" s="23">
        <f t="shared" si="60"/>
        <v>19.055036401180807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280.40000000000009</v>
      </c>
      <c r="BE122" s="14">
        <f>BD122*VLOOKUP('Données projet'!$B$11,Paramètres!$A$1:$I$89,3,0)*VLOOKUP('Données projet'!$B$11,Paramètres!$A$1:$I$89,5,0)</f>
        <v>266.82864000000006</v>
      </c>
      <c r="BF122" s="14">
        <f t="shared" si="91"/>
        <v>64.175764537605787</v>
      </c>
      <c r="BG122" s="22">
        <f t="shared" si="61"/>
        <v>576.4993379029969</v>
      </c>
      <c r="BH122" s="60">
        <f t="shared" si="62"/>
        <v>869.83267123633027</v>
      </c>
      <c r="BI122" s="60">
        <f ca="1">AVERAGE(OFFSET($BH$3,0,0,'Données projet'!$E$11+1,1))-AVERAGE(OFFSET($H$3,0,0,'Données projet'!$E$11+1,1))</f>
        <v>389.12604446638119</v>
      </c>
      <c r="BJ122" s="60">
        <f t="shared" si="92"/>
        <v>243.23852967152732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3.6</v>
      </c>
      <c r="BY122" s="13">
        <f>IF('Données projet'!$A$114&gt;35,BY121+BX122-CG121,IF(A122&lt;'Données projet'!$A$114,$BV$205^A122,IF(A122='Données projet'!$A$114,'Données projet'!$B$114,BY121+BX122-CG121)))</f>
        <v>280.40000000000009</v>
      </c>
      <c r="BZ122" s="14">
        <f>BY122*VLOOKUP('Données projet'!$B$12,Paramètres!$A$1:$I$89,3,0)*VLOOKUP('Données projet'!$B$12,Paramètres!$A$1:$I$89,5,0)</f>
        <v>253.70592000000005</v>
      </c>
      <c r="CA122" s="14">
        <f t="shared" si="93"/>
        <v>61.378826950685919</v>
      </c>
      <c r="CB122" s="22">
        <f t="shared" si="64"/>
        <v>548.77260093911138</v>
      </c>
      <c r="CC122" s="60">
        <f t="shared" si="65"/>
        <v>842.10593427244476</v>
      </c>
      <c r="CD122" s="60">
        <f ca="1">AVERAGE(OFFSET($CC$3,0,0,'Données projet'!$E$12+1,1))-AVERAGE(OFFSET($H$3,0,0,'Données projet'!$E$12+1,1))</f>
        <v>371.95849973474657</v>
      </c>
      <c r="CE122" s="60">
        <f t="shared" si="94"/>
        <v>233.32640143610547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7.691226189307891E-13</v>
      </c>
      <c r="CN122" s="24">
        <f t="shared" si="66"/>
        <v>7.691226189307891E-13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3.6</v>
      </c>
      <c r="CT122" s="13">
        <f>IF('Données projet'!$A$140&gt;35,CT121+CS122-DB121,IF(A122&lt;'Données projet'!$A$140,$CQ$205^A122,IF(A122='Données projet'!$A$140,'Données projet'!$B$140,CT121+CS122-DB121)))</f>
        <v>280.40000000000009</v>
      </c>
      <c r="CU122" s="18">
        <f>CT122*VLOOKUP('Données projet'!$B$13,Paramètres!$A$1:$I$89,3,0)*VLOOKUP('Données projet'!$B$13,Paramètres!$A$1:$I$89,5,0)</f>
        <v>271.20288000000005</v>
      </c>
      <c r="CV122" s="14">
        <f t="shared" si="95"/>
        <v>65.104484700680999</v>
      </c>
      <c r="CW122" s="22">
        <f t="shared" si="67"/>
        <v>585.73532685368616</v>
      </c>
      <c r="CX122" s="60">
        <f t="shared" si="68"/>
        <v>879.06866018701953</v>
      </c>
      <c r="CY122" s="60">
        <f ca="1">AVERAGE(OFFSET($CX$3,0,0,'Données projet'!$E$13+1,1))-AVERAGE(OFFSET($H$3,0,0,'Données projet'!$E$13+1,1))</f>
        <v>394.8445842828649</v>
      </c>
      <c r="CZ122" s="60">
        <f t="shared" si="96"/>
        <v>246.54010105494143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8.2216555816739575E-13</v>
      </c>
      <c r="DI122" s="24">
        <f t="shared" si="69"/>
        <v>8.2216555816739575E-13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5.6843418860808015E-14</v>
      </c>
      <c r="DP122" s="18">
        <f>DO122*VLOOKUP('Données projet'!$B$14,Paramètres!$A$1:$I$89,3,0)*VLOOKUP('Données projet'!$B$14,Paramètres!$A$1:$I$89,5,0)</f>
        <v>4.9658410716801891E-14</v>
      </c>
      <c r="DQ122" s="14">
        <f t="shared" si="97"/>
        <v>8.0934058173791862E-13</v>
      </c>
      <c r="DR122" s="22">
        <f t="shared" si="70"/>
        <v>1.4960899118586383E-12</v>
      </c>
      <c r="DS122" s="60">
        <f t="shared" si="71"/>
        <v>293.33333333333479</v>
      </c>
      <c r="DT122" s="60">
        <f ca="1">AVERAGE(OFFSET($DS$3,0,0,'Données projet'!$E$14+1,1))-AVERAGE(OFFSET($H$3,0,0,'Données projet'!$E$14+1,1))</f>
        <v>266.98113257513319</v>
      </c>
      <c r="DU122" s="60">
        <f t="shared" si="98"/>
        <v>275.73257102713393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0.94401140551868756</v>
      </c>
      <c r="EC122" s="23">
        <f>EXP(-LN(2)/2)*EC121+(1-EXP(-LN(2)/2))/(LN(2)/2)*DW122*DZ122*VLOOKUP('Données projet'!$B$14,Paramètres!$A$1:$I$89,3,0)*0.475*44/12</f>
        <v>4.2069829614569826E-13</v>
      </c>
      <c r="ED122" s="24">
        <f t="shared" si="72"/>
        <v>0.94401140551910823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3.6</v>
      </c>
      <c r="EJ122" s="13">
        <f>IF('Données projet'!$A$192&gt;35,EJ121+EI122-ER121,IF(A122&lt;'Données projet'!$A$192,$EG$205^A122,IF(A122='Données projet'!$A$192,'Données projet'!$B$192,EJ121+EI122-ER121)))</f>
        <v>280.40000000000009</v>
      </c>
      <c r="EK122" s="18">
        <f>EJ122*VLOOKUP('Données projet'!$B$15,Paramètres!$A$1:$I$89,3,0)*VLOOKUP('Données projet'!$B$15,Paramètres!$A$1:$I$89,5,0)</f>
        <v>319.31952000000013</v>
      </c>
      <c r="EL122" s="14">
        <f t="shared" si="99"/>
        <v>75.211749027961957</v>
      </c>
      <c r="EM122" s="22">
        <f t="shared" si="73"/>
        <v>687.14196022370061</v>
      </c>
      <c r="EN122" s="60">
        <f t="shared" si="74"/>
        <v>980.47529355703386</v>
      </c>
      <c r="EO122" s="60">
        <f ca="1">AVERAGE(OFFSET($EN$3,0,0,'Données projet'!$E$15+1,1))-AVERAGE(OFFSET($H$3,0,0,'Données projet'!$E$15+1,1))</f>
        <v>457.62828850677369</v>
      </c>
      <c r="EP122" s="60">
        <f t="shared" si="100"/>
        <v>282.78263556175563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3.6</v>
      </c>
      <c r="FE122" s="13">
        <f>IF('Données projet'!$A$218&gt;35,FE121+FD122-FM121,IF(A122&lt;'Données projet'!$A$218,$FB$205^A122,IF(A122='Données projet'!$A$218,'Données projet'!$B$218,FE121+FD122-FM121)))</f>
        <v>280.40000000000009</v>
      </c>
      <c r="FF122" s="18">
        <f>FE122*VLOOKUP('Données projet'!$B$16,Paramètres!$A$1:$I$89,3,0)*VLOOKUP('Données projet'!$B$16,Paramètres!$A$1:$I$89,5,0)</f>
        <v>306.19680000000011</v>
      </c>
      <c r="FG122" s="14">
        <f t="shared" si="101"/>
        <v>72.474000916862352</v>
      </c>
      <c r="FH122" s="22">
        <f t="shared" si="76"/>
        <v>659.51831159686878</v>
      </c>
      <c r="FI122" s="60">
        <f t="shared" si="77"/>
        <v>952.85164493020216</v>
      </c>
      <c r="FJ122" s="60">
        <f ca="1">AVERAGE(OFFSET($FI$3,0,0,'Données projet'!$E$16+1,1))-AVERAGE(OFFSET($H$3,0,0,'Données projet'!$E$16+1,1))</f>
        <v>440.52623925652182</v>
      </c>
      <c r="FK122" s="60">
        <f t="shared" si="102"/>
        <v>272.91122662088918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3.4106051316484809E-13</v>
      </c>
      <c r="GA122" s="18">
        <f>FZ122*VLOOKUP('Données projet'!$B$17,Paramètres!$A$1:$I$89,3,0)*VLOOKUP('Données projet'!$B$17,Paramètres!$A$1:$I$89,5,0)</f>
        <v>1.5961632016114892E-13</v>
      </c>
      <c r="GB122" s="14">
        <f t="shared" si="103"/>
        <v>2.2708641912150958E-12</v>
      </c>
      <c r="GC122" s="22">
        <f t="shared" si="79"/>
        <v>4.2330868906469593E-12</v>
      </c>
      <c r="GD122" s="60">
        <f t="shared" si="80"/>
        <v>293.33333333333752</v>
      </c>
      <c r="GE122" s="60">
        <f ca="1">AVERAGE(OFFSET($GD$3,0,0,'Données projet'!$E$17+1,1))-AVERAGE(OFFSET($H$3,0,0,'Données projet'!$E$17+1,1))</f>
        <v>317.54276561627643</v>
      </c>
      <c r="GF122" s="60">
        <f t="shared" si="104"/>
        <v>238.92443174298893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>
        <f>GU122*VLOOKUP('Données projet'!$B$18,Paramètres!$A$1:$I$89,3,0)*VLOOKUP('Données projet'!$B$18,Paramètres!$A$1:$I$89,5,0)</f>
        <v>0</v>
      </c>
      <c r="GW122" s="14" t="e">
        <f t="shared" si="105"/>
        <v>#NUM!</v>
      </c>
      <c r="GX122" s="22" t="e">
        <f t="shared" si="82"/>
        <v>#NUM!</v>
      </c>
      <c r="GY122" s="60" t="e">
        <f t="shared" si="83"/>
        <v>#NUM!</v>
      </c>
      <c r="GZ122" s="60">
        <f ca="1">AVERAGE(OFFSET($GY$3,0,0,'Données projet'!$E$18+1,1))-AVERAGE(OFFSET($H$3,0,0,'Données projet'!$E$18+1,1))</f>
        <v>79.868679770907136</v>
      </c>
      <c r="HA122" s="60">
        <f t="shared" si="106"/>
        <v>370.47471103028312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10.662051749913381</v>
      </c>
      <c r="HH122" s="23">
        <f>EXP(-LN(2)/25)*HH121+(1-EXP(-LN(2)/25))/(LN(2)/25)*Calculateur!HC122*Calculateur!HE122*VLOOKUP('Données projet'!$B$18,Paramètres!$A$1:$I$89,3,0)*0.475*44/12</f>
        <v>1.2808571246584002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11.942908874571781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0">
        <f t="shared" si="55"/>
        <v>293.33333333333439</v>
      </c>
      <c r="S123" s="60">
        <f ca="1">AVERAGE(OFFSET($R$3,0,0,'Données projet'!$E$9+1,1))-AVERAGE(OFFSET($H$3,0,0,'Données projet'!$E$9+1,1))</f>
        <v>206.5885410269899</v>
      </c>
      <c r="T123" s="60">
        <f t="shared" si="88"/>
        <v>347.41156847586302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3.3992364478763198E-14</v>
      </c>
      <c r="AK123" s="14">
        <f t="shared" si="89"/>
        <v>5.790027782444094E-13</v>
      </c>
      <c r="AL123" s="22">
        <f t="shared" si="58"/>
        <v>1.0676332069095257E-12</v>
      </c>
      <c r="AM123" s="60">
        <f t="shared" si="59"/>
        <v>293.33333333333439</v>
      </c>
      <c r="AN123" s="60">
        <f ca="1">AVERAGE(OFFSET($AM$3,0,0,'Données projet'!$E$10+1,1))-AVERAGE(OFFSET($H$3,0,0,'Données projet'!$E$10+1,1))</f>
        <v>206.5885410269899</v>
      </c>
      <c r="AO123" s="60">
        <f t="shared" si="90"/>
        <v>347.41156847586302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18.403484989585476</v>
      </c>
      <c r="AV123" s="23">
        <f>EXP(-LN(2)/25)*AV122+(1-EXP(-LN(2)/25))/(LN(2)/25)*Calculateur!AQ123*Calculateur!AS123*VLOOKUP('Données projet'!$B$10,Paramètres!$A$1:$I$89,3,0)*0.475*44/12</f>
        <v>0.27570108041674118</v>
      </c>
      <c r="AW123" s="23">
        <f>EXP(-LN(2)/2)*AW122+(1-EXP(-LN(2)/2))/(LN(2)/2)*AQ123*AT123*VLOOKUP('Données projet'!$B$10,Paramètres!$A$1:$I$89,3,0)*0.475*44/12</f>
        <v>3.130704268099406E-11</v>
      </c>
      <c r="AX123" s="23">
        <f t="shared" si="60"/>
        <v>18.679186070033523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284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284.00000000000011</v>
      </c>
      <c r="BE123" s="14">
        <f>BD123*VLOOKUP('Données projet'!$B$11,Paramètres!$A$1:$I$89,3,0)*VLOOKUP('Données projet'!$B$11,Paramètres!$A$1:$I$89,5,0)</f>
        <v>270.25440000000009</v>
      </c>
      <c r="BF123" s="14">
        <f t="shared" si="91"/>
        <v>64.903256428828314</v>
      </c>
      <c r="BG123" s="22">
        <f t="shared" si="61"/>
        <v>583.73291828020945</v>
      </c>
      <c r="BH123" s="60">
        <f t="shared" si="62"/>
        <v>877.06625161354282</v>
      </c>
      <c r="BI123" s="60">
        <f ca="1">AVERAGE(OFFSET($BH$3,0,0,'Données projet'!$E$11+1,1))-AVERAGE(OFFSET($H$3,0,0,'Données projet'!$E$11+1,1))</f>
        <v>389.12604446638119</v>
      </c>
      <c r="BJ123" s="60">
        <f t="shared" si="92"/>
        <v>243.23852967152732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284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284</v>
      </c>
      <c r="BW123" s="13">
        <f>VLOOKUP(A123,'Données projet'!$A$113:$I$133,9,0)</f>
        <v>3.6</v>
      </c>
      <c r="BX123" s="13">
        <f t="array" ref="BX123">INDEX(BW:BW,MIN(IF(ISNUMBER(BW123:BW319),ROW(BW123:BW319),"")))</f>
        <v>3.6</v>
      </c>
      <c r="BY123" s="13">
        <f>IF('Données projet'!$A$114&gt;35,BY122+BX123-CG122,IF(A123&lt;'Données projet'!$A$114,$BV$205^A123,IF(A123='Données projet'!$A$114,'Données projet'!$B$114,BY122+BX123-CG122)))</f>
        <v>284.00000000000011</v>
      </c>
      <c r="BZ123" s="14">
        <f>BY123*VLOOKUP('Données projet'!$B$12,Paramètres!$A$1:$I$89,3,0)*VLOOKUP('Données projet'!$B$12,Paramètres!$A$1:$I$89,5,0)</f>
        <v>256.96320000000009</v>
      </c>
      <c r="CA123" s="14">
        <f t="shared" si="93"/>
        <v>62.074612956838024</v>
      </c>
      <c r="CB123" s="22">
        <f t="shared" si="64"/>
        <v>555.65752423315973</v>
      </c>
      <c r="CC123" s="60">
        <f t="shared" si="65"/>
        <v>848.9908575664931</v>
      </c>
      <c r="CD123" s="60">
        <f ca="1">AVERAGE(OFFSET($CC$3,0,0,'Données projet'!$E$12+1,1))-AVERAGE(OFFSET($H$3,0,0,'Données projet'!$E$12+1,1))</f>
        <v>371.95849973474657</v>
      </c>
      <c r="CE123" s="60">
        <f t="shared" si="94"/>
        <v>233.32640143610547</v>
      </c>
      <c r="CF123" s="16">
        <f>IF(ISNA(VLOOKUP(A123,'Données projet'!$A$113:$I$133,3,0)),0,VLOOKUP(A123,'Données projet'!$A$113:$I$133,3,0))</f>
        <v>20</v>
      </c>
      <c r="CG123" s="16">
        <f>IF(ISNA(VLOOKUP(A123,'Données projet'!$A$113:$I$133,4,0)),0,VLOOKUP(A123,'Données projet'!$A$113:$I$133,4,0))</f>
        <v>284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5.4385181940991786E-13</v>
      </c>
      <c r="CN123" s="24">
        <f t="shared" si="66"/>
        <v>5.4385181940991786E-13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284</v>
      </c>
      <c r="CR123" s="13">
        <f>VLOOKUP(A123,'Données projet'!$A$139:$I$159,9,0)</f>
        <v>3.6</v>
      </c>
      <c r="CS123" s="13">
        <f t="array" ref="CS123">INDEX(CR:CR,MIN(IF(ISNUMBER(CR123:CR319),ROW(CR123:CR319),"")))</f>
        <v>3.6</v>
      </c>
      <c r="CT123" s="13">
        <f>IF('Données projet'!$A$140&gt;35,CT122+CS123-DB122,IF(A123&lt;'Données projet'!$A$140,$CQ$205^A123,IF(A123='Données projet'!$A$140,'Données projet'!$B$140,CT122+CS123-DB122)))</f>
        <v>284.00000000000011</v>
      </c>
      <c r="CU123" s="18">
        <f>CT123*VLOOKUP('Données projet'!$B$13,Paramètres!$A$1:$I$89,3,0)*VLOOKUP('Données projet'!$B$13,Paramètres!$A$1:$I$89,5,0)</f>
        <v>274.68480000000011</v>
      </c>
      <c r="CV123" s="14">
        <f t="shared" si="95"/>
        <v>65.842504497456659</v>
      </c>
      <c r="CW123" s="22">
        <f t="shared" si="67"/>
        <v>593.0850553330705</v>
      </c>
      <c r="CX123" s="60">
        <f t="shared" si="68"/>
        <v>886.41838866640387</v>
      </c>
      <c r="CY123" s="60">
        <f ca="1">AVERAGE(OFFSET($CX$3,0,0,'Données projet'!$E$13+1,1))-AVERAGE(OFFSET($H$3,0,0,'Données projet'!$E$13+1,1))</f>
        <v>394.8445842828649</v>
      </c>
      <c r="CZ123" s="60">
        <f t="shared" si="96"/>
        <v>246.54010105494143</v>
      </c>
      <c r="DA123" s="16">
        <f>IF(ISNA(VLOOKUP(A123,'Données projet'!$A$139:$I$159,3,0)),0,VLOOKUP(A123,'Données projet'!$A$139:$I$159,3,0))</f>
        <v>20</v>
      </c>
      <c r="DB123" s="16">
        <f>IF(ISNA(VLOOKUP(A123,'Données projet'!$A$139:$I$159,4,0)),0,VLOOKUP(A123,'Données projet'!$A$139:$I$159,4,0))</f>
        <v>284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5.8135884143818841E-13</v>
      </c>
      <c r="DI123" s="24">
        <f t="shared" si="69"/>
        <v>5.8135884143818841E-13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5.6843418860808015E-14</v>
      </c>
      <c r="DP123" s="18">
        <f>DO123*VLOOKUP('Données projet'!$B$14,Paramètres!$A$1:$I$89,3,0)*VLOOKUP('Données projet'!$B$14,Paramètres!$A$1:$I$89,5,0)</f>
        <v>4.9658410716801891E-14</v>
      </c>
      <c r="DQ123" s="14">
        <f t="shared" si="97"/>
        <v>8.0934058173791862E-13</v>
      </c>
      <c r="DR123" s="22">
        <f t="shared" si="70"/>
        <v>1.4960899118586383E-12</v>
      </c>
      <c r="DS123" s="60">
        <f t="shared" si="71"/>
        <v>293.33333333333479</v>
      </c>
      <c r="DT123" s="60">
        <f ca="1">AVERAGE(OFFSET($DS$3,0,0,'Données projet'!$E$14+1,1))-AVERAGE(OFFSET($H$3,0,0,'Données projet'!$E$14+1,1))</f>
        <v>266.98113257513319</v>
      </c>
      <c r="DU123" s="60">
        <f t="shared" si="98"/>
        <v>275.73257102713393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0.91819736399137686</v>
      </c>
      <c r="EC123" s="23">
        <f>EXP(-LN(2)/2)*EC122+(1-EXP(-LN(2)/2))/(LN(2)/2)*DW123*DZ123*VLOOKUP('Données projet'!$B$14,Paramètres!$A$1:$I$89,3,0)*0.475*44/12</f>
        <v>2.9747861803824963E-13</v>
      </c>
      <c r="ED123" s="24">
        <f t="shared" si="72"/>
        <v>0.91819736399167429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284</v>
      </c>
      <c r="EH123" s="13">
        <f>VLOOKUP(A123,'Données projet'!$A$191:$I$211,9,0)</f>
        <v>3.6</v>
      </c>
      <c r="EI123" s="13">
        <f t="array" ref="EI123">INDEX(EH:EH,MIN(IF(ISNUMBER(EH123:EH319),ROW(EH123:EH319),"")))</f>
        <v>3.6</v>
      </c>
      <c r="EJ123" s="13">
        <f>IF('Données projet'!$A$192&gt;35,EJ122+EI123-ER122,IF(A123&lt;'Données projet'!$A$192,$EG$205^A123,IF(A123='Données projet'!$A$192,'Données projet'!$B$192,EJ122+EI123-ER122)))</f>
        <v>284.00000000000011</v>
      </c>
      <c r="EK123" s="18">
        <f>EJ123*VLOOKUP('Données projet'!$B$15,Paramètres!$A$1:$I$89,3,0)*VLOOKUP('Données projet'!$B$15,Paramètres!$A$1:$I$89,5,0)</f>
        <v>323.41920000000016</v>
      </c>
      <c r="EL123" s="14">
        <f t="shared" si="99"/>
        <v>76.06434405252827</v>
      </c>
      <c r="EM123" s="22">
        <f t="shared" si="73"/>
        <v>695.76717255815367</v>
      </c>
      <c r="EN123" s="60">
        <f t="shared" si="74"/>
        <v>989.10050589148705</v>
      </c>
      <c r="EO123" s="60">
        <f ca="1">AVERAGE(OFFSET($EN$3,0,0,'Données projet'!$E$15+1,1))-AVERAGE(OFFSET($H$3,0,0,'Données projet'!$E$15+1,1))</f>
        <v>457.62828850677369</v>
      </c>
      <c r="EP123" s="60">
        <f t="shared" si="100"/>
        <v>282.78263556175563</v>
      </c>
      <c r="EQ123" s="16">
        <f>IF(ISNA(VLOOKUP(A123,'Données projet'!$A$191:$I$211,3,0)),0,VLOOKUP(A123,'Données projet'!$A$191:$I$211,3,0))</f>
        <v>20</v>
      </c>
      <c r="ER123" s="16">
        <f>IF(ISNA(VLOOKUP(A123,'Données projet'!$A$191:$I$211,4,0)),0,VLOOKUP(A123,'Données projet'!$A$191:$I$211,4,0))</f>
        <v>284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>
        <f>VLOOKUP(A123,'Données projet'!$A$217:$I$237,2,0)</f>
        <v>284</v>
      </c>
      <c r="FC123" s="13">
        <f>VLOOKUP(A123,'Données projet'!$A$217:$I$237,9,0)</f>
        <v>3.6</v>
      </c>
      <c r="FD123" s="13">
        <f t="array" ref="FD123">INDEX(FC:FC,MIN(IF(ISNUMBER(FC123:FC319),ROW(FC123:FC319),"")))</f>
        <v>3.6</v>
      </c>
      <c r="FE123" s="13">
        <f>IF('Données projet'!$A$218&gt;35,FE122+FD123-FM122,IF(A123&lt;'Données projet'!$A$218,$FB$205^A123,IF(A123='Données projet'!$A$218,'Données projet'!$B$218,FE122+FD123-FM122)))</f>
        <v>284.00000000000011</v>
      </c>
      <c r="FF123" s="18">
        <f>FE123*VLOOKUP('Données projet'!$B$16,Paramètres!$A$1:$I$89,3,0)*VLOOKUP('Données projet'!$B$16,Paramètres!$A$1:$I$89,5,0)</f>
        <v>310.1280000000001</v>
      </c>
      <c r="FG123" s="14">
        <f t="shared" si="101"/>
        <v>73.295561024036147</v>
      </c>
      <c r="FH123" s="22">
        <f t="shared" si="76"/>
        <v>667.79603545019643</v>
      </c>
      <c r="FI123" s="60">
        <f t="shared" si="77"/>
        <v>961.1293687835298</v>
      </c>
      <c r="FJ123" s="60">
        <f ca="1">AVERAGE(OFFSET($FI$3,0,0,'Données projet'!$E$16+1,1))-AVERAGE(OFFSET($H$3,0,0,'Données projet'!$E$16+1,1))</f>
        <v>440.52623925652182</v>
      </c>
      <c r="FK123" s="60">
        <f t="shared" si="102"/>
        <v>272.91122662088918</v>
      </c>
      <c r="FL123" s="16">
        <f>IF(ISNA(VLOOKUP(A123,'Données projet'!$A$217:$I$237,3,0)),0,VLOOKUP(A123,'Données projet'!$A$217:$I$237,3,0))</f>
        <v>20</v>
      </c>
      <c r="FM123" s="16">
        <f>IF(ISNA(VLOOKUP(A123,'Données projet'!$A$217:$I$237,4,0)),0,VLOOKUP(A123,'Données projet'!$A$217:$I$237,4,0))</f>
        <v>284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3.4106051316484809E-13</v>
      </c>
      <c r="GA123" s="18">
        <f>FZ123*VLOOKUP('Données projet'!$B$17,Paramètres!$A$1:$I$89,3,0)*VLOOKUP('Données projet'!$B$17,Paramètres!$A$1:$I$89,5,0)</f>
        <v>1.5961632016114892E-13</v>
      </c>
      <c r="GB123" s="14">
        <f t="shared" si="103"/>
        <v>2.2708641912150958E-12</v>
      </c>
      <c r="GC123" s="22">
        <f t="shared" si="79"/>
        <v>4.2330868906469593E-12</v>
      </c>
      <c r="GD123" s="60">
        <f t="shared" si="80"/>
        <v>293.33333333333752</v>
      </c>
      <c r="GE123" s="60">
        <f ca="1">AVERAGE(OFFSET($GD$3,0,0,'Données projet'!$E$17+1,1))-AVERAGE(OFFSET($H$3,0,0,'Données projet'!$E$17+1,1))</f>
        <v>317.54276561627643</v>
      </c>
      <c r="GF123" s="60">
        <f t="shared" si="104"/>
        <v>238.92443174298893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>
        <f>GU123*VLOOKUP('Données projet'!$B$18,Paramètres!$A$1:$I$89,3,0)*VLOOKUP('Données projet'!$B$18,Paramètres!$A$1:$I$89,5,0)</f>
        <v>0</v>
      </c>
      <c r="GW123" s="14" t="e">
        <f t="shared" si="105"/>
        <v>#NUM!</v>
      </c>
      <c r="GX123" s="22" t="e">
        <f t="shared" si="82"/>
        <v>#NUM!</v>
      </c>
      <c r="GY123" s="60" t="e">
        <f t="shared" si="83"/>
        <v>#NUM!</v>
      </c>
      <c r="GZ123" s="60">
        <f ca="1">AVERAGE(OFFSET($GY$3,0,0,'Données projet'!$E$18+1,1))-AVERAGE(OFFSET($H$3,0,0,'Données projet'!$E$18+1,1))</f>
        <v>79.868679770907136</v>
      </c>
      <c r="HA123" s="60">
        <f t="shared" si="106"/>
        <v>370.47471103028312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10.452975418307009</v>
      </c>
      <c r="HH123" s="23">
        <f>EXP(-LN(2)/25)*HH122+(1-EXP(-LN(2)/25))/(LN(2)/25)*Calculateur!HC123*Calculateur!HE123*VLOOKUP('Données projet'!$B$18,Paramètres!$A$1:$I$89,3,0)*0.475*44/12</f>
        <v>1.2458320192272674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11.698807437534276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0">
        <f t="shared" si="55"/>
        <v>293.33333333333439</v>
      </c>
      <c r="S124" s="60">
        <f ca="1">AVERAGE(OFFSET($R$3,0,0,'Données projet'!$E$9+1,1))-AVERAGE(OFFSET($H$3,0,0,'Données projet'!$E$9+1,1))</f>
        <v>206.5885410269899</v>
      </c>
      <c r="T124" s="60">
        <f t="shared" si="88"/>
        <v>347.41156847586302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3.3992364478763198E-14</v>
      </c>
      <c r="AK124" s="14">
        <f t="shared" si="89"/>
        <v>5.790027782444094E-13</v>
      </c>
      <c r="AL124" s="22">
        <f t="shared" si="58"/>
        <v>1.0676332069095257E-12</v>
      </c>
      <c r="AM124" s="60">
        <f t="shared" si="59"/>
        <v>293.33333333333439</v>
      </c>
      <c r="AN124" s="60">
        <f ca="1">AVERAGE(OFFSET($AM$3,0,0,'Données projet'!$E$10+1,1))-AVERAGE(OFFSET($H$3,0,0,'Données projet'!$E$10+1,1))</f>
        <v>206.5885410269899</v>
      </c>
      <c r="AO124" s="60">
        <f t="shared" si="90"/>
        <v>347.41156847586302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18.042603873957169</v>
      </c>
      <c r="AV124" s="23">
        <f>EXP(-LN(2)/25)*AV123+(1-EXP(-LN(2)/25))/(LN(2)/25)*Calculateur!AQ124*Calculateur!AS124*VLOOKUP('Données projet'!$B$10,Paramètres!$A$1:$I$89,3,0)*0.475*44/12</f>
        <v>0.2681620198742557</v>
      </c>
      <c r="AW124" s="23">
        <f>EXP(-LN(2)/2)*AW123+(1-EXP(-LN(2)/2))/(LN(2)/2)*AQ124*AT124*VLOOKUP('Données projet'!$B$10,Paramètres!$A$1:$I$89,3,0)*0.475*44/12</f>
        <v>2.2137422178627571E-11</v>
      </c>
      <c r="AX124" s="23">
        <f t="shared" si="60"/>
        <v>18.310765893853564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1.0818439477588981E-13</v>
      </c>
      <c r="BF124" s="14">
        <f t="shared" si="91"/>
        <v>1.6104228458716316E-12</v>
      </c>
      <c r="BG124" s="22">
        <f t="shared" si="61"/>
        <v>2.9932409441277661E-12</v>
      </c>
      <c r="BH124" s="60">
        <f t="shared" si="62"/>
        <v>293.33333333333633</v>
      </c>
      <c r="BI124" s="60">
        <f ca="1">AVERAGE(OFFSET($BH$3,0,0,'Données projet'!$E$11+1,1))-AVERAGE(OFFSET($H$3,0,0,'Données projet'!$E$11+1,1))</f>
        <v>389.12604446638119</v>
      </c>
      <c r="BJ124" s="60">
        <f t="shared" si="92"/>
        <v>243.23852967152732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1.0286385077051818E-13</v>
      </c>
      <c r="CA124" s="14">
        <f t="shared" si="93"/>
        <v>1.5402366592183556E-12</v>
      </c>
      <c r="CB124" s="22">
        <f t="shared" si="64"/>
        <v>2.8617333882306215E-12</v>
      </c>
      <c r="CC124" s="60">
        <f t="shared" si="65"/>
        <v>293.33333333333616</v>
      </c>
      <c r="CD124" s="60">
        <f ca="1">AVERAGE(OFFSET($CC$3,0,0,'Données projet'!$E$12+1,1))-AVERAGE(OFFSET($H$3,0,0,'Données projet'!$E$12+1,1))</f>
        <v>371.95849973474657</v>
      </c>
      <c r="CE124" s="60">
        <f t="shared" si="94"/>
        <v>233.32640143610547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3.8456130946539455E-13</v>
      </c>
      <c r="CN124" s="24">
        <f t="shared" si="66"/>
        <v>3.8456130946539455E-13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1.0995790944434703E-13</v>
      </c>
      <c r="CV124" s="14">
        <f t="shared" si="95"/>
        <v>1.6337280948049956E-12</v>
      </c>
      <c r="CW124" s="22">
        <f t="shared" si="67"/>
        <v>3.036919790734272E-12</v>
      </c>
      <c r="CX124" s="60">
        <f t="shared" si="68"/>
        <v>293.33333333333633</v>
      </c>
      <c r="CY124" s="60">
        <f ca="1">AVERAGE(OFFSET($CX$3,0,0,'Données projet'!$E$13+1,1))-AVERAGE(OFFSET($H$3,0,0,'Données projet'!$E$13+1,1))</f>
        <v>394.8445842828649</v>
      </c>
      <c r="CZ124" s="60">
        <f t="shared" si="96"/>
        <v>246.54010105494143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4.1108277908369788E-13</v>
      </c>
      <c r="DI124" s="24">
        <f t="shared" si="69"/>
        <v>4.1108277908369788E-13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5.6843418860808015E-14</v>
      </c>
      <c r="DP124" s="18">
        <f>DO124*VLOOKUP('Données projet'!$B$14,Paramètres!$A$1:$I$89,3,0)*VLOOKUP('Données projet'!$B$14,Paramètres!$A$1:$I$89,5,0)</f>
        <v>4.9658410716801891E-14</v>
      </c>
      <c r="DQ124" s="14">
        <f t="shared" si="97"/>
        <v>8.0934058173791862E-13</v>
      </c>
      <c r="DR124" s="22">
        <f t="shared" si="70"/>
        <v>1.4960899118586383E-12</v>
      </c>
      <c r="DS124" s="60">
        <f t="shared" si="71"/>
        <v>293.33333333333479</v>
      </c>
      <c r="DT124" s="60">
        <f ca="1">AVERAGE(OFFSET($DS$3,0,0,'Données projet'!$E$14+1,1))-AVERAGE(OFFSET($H$3,0,0,'Données projet'!$E$14+1,1))</f>
        <v>266.98113257513319</v>
      </c>
      <c r="DU124" s="60">
        <f t="shared" si="98"/>
        <v>275.73257102713393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0.89308920878713183</v>
      </c>
      <c r="EC124" s="23">
        <f>EXP(-LN(2)/2)*EC123+(1-EXP(-LN(2)/2))/(LN(2)/2)*DW124*DZ124*VLOOKUP('Données projet'!$B$14,Paramètres!$A$1:$I$89,3,0)*0.475*44/12</f>
        <v>2.1034914807284913E-13</v>
      </c>
      <c r="ED124" s="24">
        <f t="shared" si="72"/>
        <v>0.89308920878734221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1.1368683772161603E-13</v>
      </c>
      <c r="EK124" s="18">
        <f>EJ124*VLOOKUP('Données projet'!$B$15,Paramètres!$A$1:$I$89,3,0)*VLOOKUP('Données projet'!$B$15,Paramètres!$A$1:$I$89,5,0)</f>
        <v>1.2946657079737634E-13</v>
      </c>
      <c r="EL124" s="14">
        <f t="shared" si="99"/>
        <v>1.8873591890224769E-12</v>
      </c>
      <c r="EM124" s="22">
        <f t="shared" si="73"/>
        <v>3.5126381983529106E-12</v>
      </c>
      <c r="EN124" s="60">
        <f t="shared" si="74"/>
        <v>293.33333333333684</v>
      </c>
      <c r="EO124" s="60">
        <f ca="1">AVERAGE(OFFSET($EN$3,0,0,'Données projet'!$E$15+1,1))-AVERAGE(OFFSET($H$3,0,0,'Données projet'!$E$15+1,1))</f>
        <v>457.62828850677369</v>
      </c>
      <c r="EP124" s="60">
        <f t="shared" si="100"/>
        <v>282.78263556175563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1.1368683772161603E-13</v>
      </c>
      <c r="FF124" s="18">
        <f>FE124*VLOOKUP('Données projet'!$B$16,Paramètres!$A$1:$I$89,3,0)*VLOOKUP('Données projet'!$B$16,Paramètres!$A$1:$I$89,5,0)</f>
        <v>1.2414602679200469E-13</v>
      </c>
      <c r="FG124" s="14">
        <f t="shared" si="101"/>
        <v>1.8186582995804361E-12</v>
      </c>
      <c r="FH124" s="22">
        <f t="shared" si="76"/>
        <v>3.3837175350986671E-12</v>
      </c>
      <c r="FI124" s="60">
        <f t="shared" si="77"/>
        <v>293.33333333333672</v>
      </c>
      <c r="FJ124" s="60">
        <f ca="1">AVERAGE(OFFSET($FI$3,0,0,'Données projet'!$E$16+1,1))-AVERAGE(OFFSET($H$3,0,0,'Données projet'!$E$16+1,1))</f>
        <v>440.52623925652182</v>
      </c>
      <c r="FK124" s="60">
        <f t="shared" si="102"/>
        <v>272.91122662088918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3.4106051316484809E-13</v>
      </c>
      <c r="GA124" s="18">
        <f>FZ124*VLOOKUP('Données projet'!$B$17,Paramètres!$A$1:$I$89,3,0)*VLOOKUP('Données projet'!$B$17,Paramètres!$A$1:$I$89,5,0)</f>
        <v>1.5961632016114892E-13</v>
      </c>
      <c r="GB124" s="14">
        <f t="shared" si="103"/>
        <v>2.2708641912150958E-12</v>
      </c>
      <c r="GC124" s="22">
        <f t="shared" si="79"/>
        <v>4.2330868906469593E-12</v>
      </c>
      <c r="GD124" s="60">
        <f t="shared" si="80"/>
        <v>293.33333333333752</v>
      </c>
      <c r="GE124" s="60">
        <f ca="1">AVERAGE(OFFSET($GD$3,0,0,'Données projet'!$E$17+1,1))-AVERAGE(OFFSET($H$3,0,0,'Données projet'!$E$17+1,1))</f>
        <v>317.54276561627643</v>
      </c>
      <c r="GF124" s="60">
        <f t="shared" si="104"/>
        <v>238.92443174298893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>
        <f>GU124*VLOOKUP('Données projet'!$B$18,Paramètres!$A$1:$I$89,3,0)*VLOOKUP('Données projet'!$B$18,Paramètres!$A$1:$I$89,5,0)</f>
        <v>0</v>
      </c>
      <c r="GW124" s="14" t="e">
        <f t="shared" si="105"/>
        <v>#NUM!</v>
      </c>
      <c r="GX124" s="22" t="e">
        <f t="shared" si="82"/>
        <v>#NUM!</v>
      </c>
      <c r="GY124" s="60" t="e">
        <f t="shared" si="83"/>
        <v>#NUM!</v>
      </c>
      <c r="GZ124" s="60">
        <f ca="1">AVERAGE(OFFSET($GY$3,0,0,'Données projet'!$E$18+1,1))-AVERAGE(OFFSET($H$3,0,0,'Données projet'!$E$18+1,1))</f>
        <v>79.868679770907136</v>
      </c>
      <c r="HA124" s="60">
        <f t="shared" si="106"/>
        <v>370.47471103028312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10.247998946039466</v>
      </c>
      <c r="HH124" s="23">
        <f>EXP(-LN(2)/25)*HH123+(1-EXP(-LN(2)/25))/(LN(2)/25)*Calculateur!HC124*Calculateur!HE124*VLOOKUP('Données projet'!$B$18,Paramètres!$A$1:$I$89,3,0)*0.475*44/12</f>
        <v>1.2117646771460393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11.459763623185506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0">
        <f t="shared" si="55"/>
        <v>293.33333333333439</v>
      </c>
      <c r="S125" s="60">
        <f ca="1">AVERAGE(OFFSET($R$3,0,0,'Données projet'!$E$9+1,1))-AVERAGE(OFFSET($H$3,0,0,'Données projet'!$E$9+1,1))</f>
        <v>206.5885410269899</v>
      </c>
      <c r="T125" s="60">
        <f t="shared" si="88"/>
        <v>347.41156847586302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3.3992364478763198E-14</v>
      </c>
      <c r="AK125" s="14">
        <f t="shared" si="89"/>
        <v>5.790027782444094E-13</v>
      </c>
      <c r="AL125" s="22">
        <f t="shared" si="58"/>
        <v>1.0676332069095257E-12</v>
      </c>
      <c r="AM125" s="60">
        <f t="shared" si="59"/>
        <v>293.33333333333439</v>
      </c>
      <c r="AN125" s="60">
        <f ca="1">AVERAGE(OFFSET($AM$3,0,0,'Données projet'!$E$10+1,1))-AVERAGE(OFFSET($H$3,0,0,'Données projet'!$E$10+1,1))</f>
        <v>206.5885410269899</v>
      </c>
      <c r="AO125" s="60">
        <f t="shared" si="90"/>
        <v>347.41156847586302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17.688799416890589</v>
      </c>
      <c r="AV125" s="23">
        <f>EXP(-LN(2)/25)*AV124+(1-EXP(-LN(2)/25))/(LN(2)/25)*Calculateur!AQ125*Calculateur!AS125*VLOOKUP('Données projet'!$B$10,Paramètres!$A$1:$I$89,3,0)*0.475*44/12</f>
        <v>0.26082911533876646</v>
      </c>
      <c r="AW125" s="23">
        <f>EXP(-LN(2)/2)*AW124+(1-EXP(-LN(2)/2))/(LN(2)/2)*AQ125*AT125*VLOOKUP('Données projet'!$B$10,Paramètres!$A$1:$I$89,3,0)*0.475*44/12</f>
        <v>1.565352134049703E-11</v>
      </c>
      <c r="AX125" s="23">
        <f t="shared" si="60"/>
        <v>17.949628532245008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1.0818439477588981E-13</v>
      </c>
      <c r="BF125" s="14">
        <f t="shared" si="91"/>
        <v>1.6104228458716316E-12</v>
      </c>
      <c r="BG125" s="22">
        <f t="shared" si="61"/>
        <v>2.9932409441277661E-12</v>
      </c>
      <c r="BH125" s="60">
        <f t="shared" si="62"/>
        <v>293.33333333333633</v>
      </c>
      <c r="BI125" s="60">
        <f ca="1">AVERAGE(OFFSET($BH$3,0,0,'Données projet'!$E$11+1,1))-AVERAGE(OFFSET($H$3,0,0,'Données projet'!$E$11+1,1))</f>
        <v>389.12604446638119</v>
      </c>
      <c r="BJ125" s="60">
        <f t="shared" si="92"/>
        <v>243.23852967152732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1.0286385077051818E-13</v>
      </c>
      <c r="CA125" s="14">
        <f t="shared" si="93"/>
        <v>1.5402366592183556E-12</v>
      </c>
      <c r="CB125" s="22">
        <f t="shared" si="64"/>
        <v>2.8617333882306215E-12</v>
      </c>
      <c r="CC125" s="60">
        <f t="shared" si="65"/>
        <v>293.33333333333616</v>
      </c>
      <c r="CD125" s="60">
        <f ca="1">AVERAGE(OFFSET($CC$3,0,0,'Données projet'!$E$12+1,1))-AVERAGE(OFFSET($H$3,0,0,'Données projet'!$E$12+1,1))</f>
        <v>371.95849973474657</v>
      </c>
      <c r="CE125" s="60">
        <f t="shared" si="94"/>
        <v>233.32640143610547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2.7192590970495893E-13</v>
      </c>
      <c r="CN125" s="24">
        <f t="shared" si="66"/>
        <v>2.7192590970495893E-13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1.0995790944434703E-13</v>
      </c>
      <c r="CV125" s="14">
        <f t="shared" si="95"/>
        <v>1.6337280948049956E-12</v>
      </c>
      <c r="CW125" s="22">
        <f t="shared" si="67"/>
        <v>3.036919790734272E-12</v>
      </c>
      <c r="CX125" s="60">
        <f t="shared" si="68"/>
        <v>293.33333333333633</v>
      </c>
      <c r="CY125" s="60">
        <f ca="1">AVERAGE(OFFSET($CX$3,0,0,'Données projet'!$E$13+1,1))-AVERAGE(OFFSET($H$3,0,0,'Données projet'!$E$13+1,1))</f>
        <v>394.8445842828649</v>
      </c>
      <c r="CZ125" s="60">
        <f t="shared" si="96"/>
        <v>246.54010105494143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2.9067942071909421E-13</v>
      </c>
      <c r="DI125" s="24">
        <f t="shared" si="69"/>
        <v>2.9067942071909421E-13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5.6843418860808015E-14</v>
      </c>
      <c r="DP125" s="18">
        <f>DO125*VLOOKUP('Données projet'!$B$14,Paramètres!$A$1:$I$89,3,0)*VLOOKUP('Données projet'!$B$14,Paramètres!$A$1:$I$89,5,0)</f>
        <v>4.9658410716801891E-14</v>
      </c>
      <c r="DQ125" s="14">
        <f t="shared" si="97"/>
        <v>8.0934058173791862E-13</v>
      </c>
      <c r="DR125" s="22">
        <f t="shared" si="70"/>
        <v>1.4960899118586383E-12</v>
      </c>
      <c r="DS125" s="60">
        <f t="shared" si="71"/>
        <v>293.33333333333479</v>
      </c>
      <c r="DT125" s="60">
        <f ca="1">AVERAGE(OFFSET($DS$3,0,0,'Données projet'!$E$14+1,1))-AVERAGE(OFFSET($H$3,0,0,'Données projet'!$E$14+1,1))</f>
        <v>266.98113257513319</v>
      </c>
      <c r="DU125" s="60">
        <f t="shared" si="98"/>
        <v>275.73257102713393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0.86866763740732744</v>
      </c>
      <c r="EC125" s="23">
        <f>EXP(-LN(2)/2)*EC124+(1-EXP(-LN(2)/2))/(LN(2)/2)*DW125*DZ125*VLOOKUP('Données projet'!$B$14,Paramètres!$A$1:$I$89,3,0)*0.475*44/12</f>
        <v>1.4873930901912481E-13</v>
      </c>
      <c r="ED125" s="24">
        <f t="shared" si="72"/>
        <v>0.86866763740747621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1.1368683772161603E-13</v>
      </c>
      <c r="EK125" s="18">
        <f>EJ125*VLOOKUP('Données projet'!$B$15,Paramètres!$A$1:$I$89,3,0)*VLOOKUP('Données projet'!$B$15,Paramètres!$A$1:$I$89,5,0)</f>
        <v>1.2946657079737634E-13</v>
      </c>
      <c r="EL125" s="14">
        <f t="shared" si="99"/>
        <v>1.8873591890224769E-12</v>
      </c>
      <c r="EM125" s="22">
        <f t="shared" si="73"/>
        <v>3.5126381983529106E-12</v>
      </c>
      <c r="EN125" s="60">
        <f t="shared" si="74"/>
        <v>293.33333333333684</v>
      </c>
      <c r="EO125" s="60">
        <f ca="1">AVERAGE(OFFSET($EN$3,0,0,'Données projet'!$E$15+1,1))-AVERAGE(OFFSET($H$3,0,0,'Données projet'!$E$15+1,1))</f>
        <v>457.62828850677369</v>
      </c>
      <c r="EP125" s="60">
        <f t="shared" si="100"/>
        <v>282.78263556175563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1.1368683772161603E-13</v>
      </c>
      <c r="FF125" s="18">
        <f>FE125*VLOOKUP('Données projet'!$B$16,Paramètres!$A$1:$I$89,3,0)*VLOOKUP('Données projet'!$B$16,Paramètres!$A$1:$I$89,5,0)</f>
        <v>1.2414602679200469E-13</v>
      </c>
      <c r="FG125" s="14">
        <f t="shared" si="101"/>
        <v>1.8186582995804361E-12</v>
      </c>
      <c r="FH125" s="22">
        <f t="shared" si="76"/>
        <v>3.3837175350986671E-12</v>
      </c>
      <c r="FI125" s="60">
        <f t="shared" si="77"/>
        <v>293.33333333333672</v>
      </c>
      <c r="FJ125" s="60">
        <f ca="1">AVERAGE(OFFSET($FI$3,0,0,'Données projet'!$E$16+1,1))-AVERAGE(OFFSET($H$3,0,0,'Données projet'!$E$16+1,1))</f>
        <v>440.52623925652182</v>
      </c>
      <c r="FK125" s="60">
        <f t="shared" si="102"/>
        <v>272.91122662088918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3.4106051316484809E-13</v>
      </c>
      <c r="GA125" s="18">
        <f>FZ125*VLOOKUP('Données projet'!$B$17,Paramètres!$A$1:$I$89,3,0)*VLOOKUP('Données projet'!$B$17,Paramètres!$A$1:$I$89,5,0)</f>
        <v>1.5961632016114892E-13</v>
      </c>
      <c r="GB125" s="14">
        <f t="shared" si="103"/>
        <v>2.2708641912150958E-12</v>
      </c>
      <c r="GC125" s="22">
        <f t="shared" si="79"/>
        <v>4.2330868906469593E-12</v>
      </c>
      <c r="GD125" s="60">
        <f t="shared" si="80"/>
        <v>293.33333333333752</v>
      </c>
      <c r="GE125" s="60">
        <f ca="1">AVERAGE(OFFSET($GD$3,0,0,'Données projet'!$E$17+1,1))-AVERAGE(OFFSET($H$3,0,0,'Données projet'!$E$17+1,1))</f>
        <v>317.54276561627643</v>
      </c>
      <c r="GF125" s="60">
        <f t="shared" si="104"/>
        <v>238.92443174298893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>
        <f>GU125*VLOOKUP('Données projet'!$B$18,Paramètres!$A$1:$I$89,3,0)*VLOOKUP('Données projet'!$B$18,Paramètres!$A$1:$I$89,5,0)</f>
        <v>0</v>
      </c>
      <c r="GW125" s="14" t="e">
        <f t="shared" si="105"/>
        <v>#NUM!</v>
      </c>
      <c r="GX125" s="22" t="e">
        <f t="shared" si="82"/>
        <v>#NUM!</v>
      </c>
      <c r="GY125" s="60" t="e">
        <f t="shared" si="83"/>
        <v>#NUM!</v>
      </c>
      <c r="GZ125" s="60">
        <f ca="1">AVERAGE(OFFSET($GY$3,0,0,'Données projet'!$E$18+1,1))-AVERAGE(OFFSET($H$3,0,0,'Données projet'!$E$18+1,1))</f>
        <v>79.868679770907136</v>
      </c>
      <c r="HA125" s="60">
        <f t="shared" si="106"/>
        <v>370.47471103028312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10.047041937369787</v>
      </c>
      <c r="HH125" s="23">
        <f>EXP(-LN(2)/25)*HH124+(1-EXP(-LN(2)/25))/(LN(2)/25)*Calculateur!HC125*Calculateur!HE125*VLOOKUP('Données projet'!$B$18,Paramètres!$A$1:$I$89,3,0)*0.475*44/12</f>
        <v>1.1786289083255461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11.225670845695333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0">
        <f t="shared" si="55"/>
        <v>293.33333333333439</v>
      </c>
      <c r="S126" s="60">
        <f ca="1">AVERAGE(OFFSET($R$3,0,0,'Données projet'!$E$9+1,1))-AVERAGE(OFFSET($H$3,0,0,'Données projet'!$E$9+1,1))</f>
        <v>206.5885410269899</v>
      </c>
      <c r="T126" s="60">
        <f t="shared" si="88"/>
        <v>347.41156847586302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3.3992364478763198E-14</v>
      </c>
      <c r="AK126" s="14">
        <f t="shared" si="89"/>
        <v>5.790027782444094E-13</v>
      </c>
      <c r="AL126" s="22">
        <f t="shared" si="58"/>
        <v>1.0676332069095257E-12</v>
      </c>
      <c r="AM126" s="60">
        <f t="shared" si="59"/>
        <v>293.33333333333439</v>
      </c>
      <c r="AN126" s="60">
        <f ca="1">AVERAGE(OFFSET($AM$3,0,0,'Données projet'!$E$10+1,1))-AVERAGE(OFFSET($H$3,0,0,'Données projet'!$E$10+1,1))</f>
        <v>206.5885410269899</v>
      </c>
      <c r="AO126" s="60">
        <f t="shared" si="90"/>
        <v>347.41156847586302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17.341932849427675</v>
      </c>
      <c r="AV126" s="23">
        <f>EXP(-LN(2)/25)*AV125+(1-EXP(-LN(2)/25))/(LN(2)/25)*Calculateur!AQ126*Calculateur!AS126*VLOOKUP('Données projet'!$B$10,Paramètres!$A$1:$I$89,3,0)*0.475*44/12</f>
        <v>0.25369672946342087</v>
      </c>
      <c r="AW126" s="23">
        <f>EXP(-LN(2)/2)*AW125+(1-EXP(-LN(2)/2))/(LN(2)/2)*AQ126*AT126*VLOOKUP('Données projet'!$B$10,Paramètres!$A$1:$I$89,3,0)*0.475*44/12</f>
        <v>1.1068711089313786E-11</v>
      </c>
      <c r="AX126" s="23">
        <f t="shared" si="60"/>
        <v>17.595629578902166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1.0818439477588981E-13</v>
      </c>
      <c r="BF126" s="14">
        <f t="shared" si="91"/>
        <v>1.6104228458716316E-12</v>
      </c>
      <c r="BG126" s="22">
        <f t="shared" si="61"/>
        <v>2.9932409441277661E-12</v>
      </c>
      <c r="BH126" s="60">
        <f t="shared" si="62"/>
        <v>293.33333333333633</v>
      </c>
      <c r="BI126" s="60">
        <f ca="1">AVERAGE(OFFSET($BH$3,0,0,'Données projet'!$E$11+1,1))-AVERAGE(OFFSET($H$3,0,0,'Données projet'!$E$11+1,1))</f>
        <v>389.12604446638119</v>
      </c>
      <c r="BJ126" s="60">
        <f t="shared" si="92"/>
        <v>243.23852967152732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1.0286385077051818E-13</v>
      </c>
      <c r="CA126" s="14">
        <f t="shared" si="93"/>
        <v>1.5402366592183556E-12</v>
      </c>
      <c r="CB126" s="22">
        <f t="shared" si="64"/>
        <v>2.8617333882306215E-12</v>
      </c>
      <c r="CC126" s="60">
        <f t="shared" si="65"/>
        <v>293.33333333333616</v>
      </c>
      <c r="CD126" s="60">
        <f ca="1">AVERAGE(OFFSET($CC$3,0,0,'Données projet'!$E$12+1,1))-AVERAGE(OFFSET($H$3,0,0,'Données projet'!$E$12+1,1))</f>
        <v>371.95849973474657</v>
      </c>
      <c r="CE126" s="60">
        <f t="shared" si="94"/>
        <v>233.32640143610547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1.9228065473269728E-13</v>
      </c>
      <c r="CN126" s="24">
        <f t="shared" si="66"/>
        <v>1.9228065473269728E-13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1.0995790944434703E-13</v>
      </c>
      <c r="CV126" s="14">
        <f t="shared" si="95"/>
        <v>1.6337280948049956E-12</v>
      </c>
      <c r="CW126" s="22">
        <f t="shared" si="67"/>
        <v>3.036919790734272E-12</v>
      </c>
      <c r="CX126" s="60">
        <f t="shared" si="68"/>
        <v>293.33333333333633</v>
      </c>
      <c r="CY126" s="60">
        <f ca="1">AVERAGE(OFFSET($CX$3,0,0,'Données projet'!$E$13+1,1))-AVERAGE(OFFSET($H$3,0,0,'Données projet'!$E$13+1,1))</f>
        <v>394.8445842828649</v>
      </c>
      <c r="CZ126" s="60">
        <f t="shared" si="96"/>
        <v>246.54010105494143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2.0554138954184894E-13</v>
      </c>
      <c r="DI126" s="24">
        <f t="shared" si="69"/>
        <v>2.0554138954184894E-13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5.6843418860808015E-14</v>
      </c>
      <c r="DP126" s="18">
        <f>DO126*VLOOKUP('Données projet'!$B$14,Paramètres!$A$1:$I$89,3,0)*VLOOKUP('Données projet'!$B$14,Paramètres!$A$1:$I$89,5,0)</f>
        <v>4.9658410716801891E-14</v>
      </c>
      <c r="DQ126" s="14">
        <f t="shared" si="97"/>
        <v>8.0934058173791862E-13</v>
      </c>
      <c r="DR126" s="22">
        <f t="shared" si="70"/>
        <v>1.4960899118586383E-12</v>
      </c>
      <c r="DS126" s="60">
        <f t="shared" si="71"/>
        <v>293.33333333333479</v>
      </c>
      <c r="DT126" s="60">
        <f ca="1">AVERAGE(OFFSET($DS$3,0,0,'Données projet'!$E$14+1,1))-AVERAGE(OFFSET($H$3,0,0,'Données projet'!$E$14+1,1))</f>
        <v>266.98113257513319</v>
      </c>
      <c r="DU126" s="60">
        <f t="shared" si="98"/>
        <v>275.73257102713393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0.84491387518117844</v>
      </c>
      <c r="EC126" s="23">
        <f>EXP(-LN(2)/2)*EC125+(1-EXP(-LN(2)/2))/(LN(2)/2)*DW126*DZ126*VLOOKUP('Données projet'!$B$14,Paramètres!$A$1:$I$89,3,0)*0.475*44/12</f>
        <v>1.0517457403642457E-13</v>
      </c>
      <c r="ED126" s="24">
        <f t="shared" si="72"/>
        <v>0.84491387518128358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1.1368683772161603E-13</v>
      </c>
      <c r="EK126" s="18">
        <f>EJ126*VLOOKUP('Données projet'!$B$15,Paramètres!$A$1:$I$89,3,0)*VLOOKUP('Données projet'!$B$15,Paramètres!$A$1:$I$89,5,0)</f>
        <v>1.2946657079737634E-13</v>
      </c>
      <c r="EL126" s="14">
        <f t="shared" si="99"/>
        <v>1.8873591890224769E-12</v>
      </c>
      <c r="EM126" s="22">
        <f t="shared" si="73"/>
        <v>3.5126381983529106E-12</v>
      </c>
      <c r="EN126" s="60">
        <f t="shared" si="74"/>
        <v>293.33333333333684</v>
      </c>
      <c r="EO126" s="60">
        <f ca="1">AVERAGE(OFFSET($EN$3,0,0,'Données projet'!$E$15+1,1))-AVERAGE(OFFSET($H$3,0,0,'Données projet'!$E$15+1,1))</f>
        <v>457.62828850677369</v>
      </c>
      <c r="EP126" s="60">
        <f t="shared" si="100"/>
        <v>282.78263556175563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1.1368683772161603E-13</v>
      </c>
      <c r="FF126" s="18">
        <f>FE126*VLOOKUP('Données projet'!$B$16,Paramètres!$A$1:$I$89,3,0)*VLOOKUP('Données projet'!$B$16,Paramètres!$A$1:$I$89,5,0)</f>
        <v>1.2414602679200469E-13</v>
      </c>
      <c r="FG126" s="14">
        <f t="shared" si="101"/>
        <v>1.8186582995804361E-12</v>
      </c>
      <c r="FH126" s="22">
        <f t="shared" si="76"/>
        <v>3.3837175350986671E-12</v>
      </c>
      <c r="FI126" s="60">
        <f t="shared" si="77"/>
        <v>293.33333333333672</v>
      </c>
      <c r="FJ126" s="60">
        <f ca="1">AVERAGE(OFFSET($FI$3,0,0,'Données projet'!$E$16+1,1))-AVERAGE(OFFSET($H$3,0,0,'Données projet'!$E$16+1,1))</f>
        <v>440.52623925652182</v>
      </c>
      <c r="FK126" s="60">
        <f t="shared" si="102"/>
        <v>272.91122662088918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3.4106051316484809E-13</v>
      </c>
      <c r="GA126" s="18">
        <f>FZ126*VLOOKUP('Données projet'!$B$17,Paramètres!$A$1:$I$89,3,0)*VLOOKUP('Données projet'!$B$17,Paramètres!$A$1:$I$89,5,0)</f>
        <v>1.5961632016114892E-13</v>
      </c>
      <c r="GB126" s="14">
        <f t="shared" si="103"/>
        <v>2.2708641912150958E-12</v>
      </c>
      <c r="GC126" s="22">
        <f t="shared" si="79"/>
        <v>4.2330868906469593E-12</v>
      </c>
      <c r="GD126" s="60">
        <f t="shared" si="80"/>
        <v>293.33333333333752</v>
      </c>
      <c r="GE126" s="60">
        <f ca="1">AVERAGE(OFFSET($GD$3,0,0,'Données projet'!$E$17+1,1))-AVERAGE(OFFSET($H$3,0,0,'Données projet'!$E$17+1,1))</f>
        <v>317.54276561627643</v>
      </c>
      <c r="GF126" s="60">
        <f t="shared" si="104"/>
        <v>238.92443174298893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>
        <f>GU126*VLOOKUP('Données projet'!$B$18,Paramètres!$A$1:$I$89,3,0)*VLOOKUP('Données projet'!$B$18,Paramètres!$A$1:$I$89,5,0)</f>
        <v>0</v>
      </c>
      <c r="GW126" s="14" t="e">
        <f t="shared" si="105"/>
        <v>#NUM!</v>
      </c>
      <c r="GX126" s="22" t="e">
        <f t="shared" si="82"/>
        <v>#NUM!</v>
      </c>
      <c r="GY126" s="60" t="e">
        <f t="shared" si="83"/>
        <v>#NUM!</v>
      </c>
      <c r="GZ126" s="60">
        <f ca="1">AVERAGE(OFFSET($GY$3,0,0,'Données projet'!$E$18+1,1))-AVERAGE(OFFSET($H$3,0,0,'Données projet'!$E$18+1,1))</f>
        <v>79.868679770907136</v>
      </c>
      <c r="HA126" s="60">
        <f t="shared" si="106"/>
        <v>370.47471103028312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9.8500255730684483</v>
      </c>
      <c r="HH126" s="23">
        <f>EXP(-LN(2)/25)*HH125+(1-EXP(-LN(2)/25))/(LN(2)/25)*Calculateur!HC126*Calculateur!HE126*VLOOKUP('Données projet'!$B$18,Paramètres!$A$1:$I$89,3,0)*0.475*44/12</f>
        <v>1.1463992388459836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10.996424811914432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0">
        <f t="shared" si="55"/>
        <v>293.33333333333439</v>
      </c>
      <c r="S127" s="60">
        <f ca="1">AVERAGE(OFFSET($R$3,0,0,'Données projet'!$E$9+1,1))-AVERAGE(OFFSET($H$3,0,0,'Données projet'!$E$9+1,1))</f>
        <v>206.5885410269899</v>
      </c>
      <c r="T127" s="60">
        <f t="shared" si="88"/>
        <v>347.41156847586302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3.3992364478763198E-14</v>
      </c>
      <c r="AK127" s="14">
        <f t="shared" si="89"/>
        <v>5.790027782444094E-13</v>
      </c>
      <c r="AL127" s="22">
        <f t="shared" si="58"/>
        <v>1.0676332069095257E-12</v>
      </c>
      <c r="AM127" s="60">
        <f t="shared" si="59"/>
        <v>293.33333333333439</v>
      </c>
      <c r="AN127" s="60">
        <f ca="1">AVERAGE(OFFSET($AM$3,0,0,'Données projet'!$E$10+1,1))-AVERAGE(OFFSET($H$3,0,0,'Données projet'!$E$10+1,1))</f>
        <v>206.5885410269899</v>
      </c>
      <c r="AO127" s="60">
        <f t="shared" si="90"/>
        <v>347.41156847586302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17.001868123784991</v>
      </c>
      <c r="AV127" s="23">
        <f>EXP(-LN(2)/25)*AV126+(1-EXP(-LN(2)/25))/(LN(2)/25)*Calculateur!AQ127*Calculateur!AS127*VLOOKUP('Données projet'!$B$10,Paramètres!$A$1:$I$89,3,0)*0.475*44/12</f>
        <v>0.24675937905491246</v>
      </c>
      <c r="AW127" s="23">
        <f>EXP(-LN(2)/2)*AW126+(1-EXP(-LN(2)/2))/(LN(2)/2)*AQ127*AT127*VLOOKUP('Données projet'!$B$10,Paramètres!$A$1:$I$89,3,0)*0.475*44/12</f>
        <v>7.8267606702485151E-12</v>
      </c>
      <c r="AX127" s="23">
        <f t="shared" si="60"/>
        <v>17.248627502847729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1.0818439477588981E-13</v>
      </c>
      <c r="BF127" s="14">
        <f t="shared" si="91"/>
        <v>1.6104228458716316E-12</v>
      </c>
      <c r="BG127" s="22">
        <f t="shared" si="61"/>
        <v>2.9932409441277661E-12</v>
      </c>
      <c r="BH127" s="60">
        <f t="shared" si="62"/>
        <v>293.33333333333633</v>
      </c>
      <c r="BI127" s="60">
        <f ca="1">AVERAGE(OFFSET($BH$3,0,0,'Données projet'!$E$11+1,1))-AVERAGE(OFFSET($H$3,0,0,'Données projet'!$E$11+1,1))</f>
        <v>389.12604446638119</v>
      </c>
      <c r="BJ127" s="60">
        <f t="shared" si="92"/>
        <v>243.23852967152732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1.0286385077051818E-13</v>
      </c>
      <c r="CA127" s="14">
        <f t="shared" si="93"/>
        <v>1.5402366592183556E-12</v>
      </c>
      <c r="CB127" s="22">
        <f t="shared" si="64"/>
        <v>2.8617333882306215E-12</v>
      </c>
      <c r="CC127" s="60">
        <f t="shared" si="65"/>
        <v>293.33333333333616</v>
      </c>
      <c r="CD127" s="60">
        <f ca="1">AVERAGE(OFFSET($CC$3,0,0,'Données projet'!$E$12+1,1))-AVERAGE(OFFSET($H$3,0,0,'Données projet'!$E$12+1,1))</f>
        <v>371.95849973474657</v>
      </c>
      <c r="CE127" s="60">
        <f t="shared" si="94"/>
        <v>233.32640143610547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1.3596295485247946E-13</v>
      </c>
      <c r="CN127" s="24">
        <f t="shared" si="66"/>
        <v>1.3596295485247946E-13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1.0995790944434703E-13</v>
      </c>
      <c r="CV127" s="14">
        <f t="shared" si="95"/>
        <v>1.6337280948049956E-12</v>
      </c>
      <c r="CW127" s="22">
        <f t="shared" si="67"/>
        <v>3.036919790734272E-12</v>
      </c>
      <c r="CX127" s="60">
        <f t="shared" si="68"/>
        <v>293.33333333333633</v>
      </c>
      <c r="CY127" s="60">
        <f ca="1">AVERAGE(OFFSET($CX$3,0,0,'Données projet'!$E$13+1,1))-AVERAGE(OFFSET($H$3,0,0,'Données projet'!$E$13+1,1))</f>
        <v>394.8445842828649</v>
      </c>
      <c r="CZ127" s="60">
        <f t="shared" si="96"/>
        <v>246.54010105494143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1.453397103595471E-13</v>
      </c>
      <c r="DI127" s="24">
        <f t="shared" si="69"/>
        <v>1.453397103595471E-13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5.6843418860808015E-14</v>
      </c>
      <c r="DP127" s="18">
        <f>DO127*VLOOKUP('Données projet'!$B$14,Paramètres!$A$1:$I$89,3,0)*VLOOKUP('Données projet'!$B$14,Paramètres!$A$1:$I$89,5,0)</f>
        <v>4.9658410716801891E-14</v>
      </c>
      <c r="DQ127" s="14">
        <f t="shared" si="97"/>
        <v>8.0934058173791862E-13</v>
      </c>
      <c r="DR127" s="22">
        <f t="shared" si="70"/>
        <v>1.4960899118586383E-12</v>
      </c>
      <c r="DS127" s="60">
        <f t="shared" si="71"/>
        <v>293.33333333333479</v>
      </c>
      <c r="DT127" s="60">
        <f ca="1">AVERAGE(OFFSET($DS$3,0,0,'Données projet'!$E$14+1,1))-AVERAGE(OFFSET($H$3,0,0,'Données projet'!$E$14+1,1))</f>
        <v>266.98113257513319</v>
      </c>
      <c r="DU127" s="60">
        <f t="shared" si="98"/>
        <v>275.73257102713393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0.82180966083225948</v>
      </c>
      <c r="EC127" s="23">
        <f>EXP(-LN(2)/2)*EC126+(1-EXP(-LN(2)/2))/(LN(2)/2)*DW127*DZ127*VLOOKUP('Données projet'!$B$14,Paramètres!$A$1:$I$89,3,0)*0.475*44/12</f>
        <v>7.4369654509562406E-14</v>
      </c>
      <c r="ED127" s="24">
        <f t="shared" si="72"/>
        <v>0.82180966083233387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1.1368683772161603E-13</v>
      </c>
      <c r="EK127" s="18">
        <f>EJ127*VLOOKUP('Données projet'!$B$15,Paramètres!$A$1:$I$89,3,0)*VLOOKUP('Données projet'!$B$15,Paramètres!$A$1:$I$89,5,0)</f>
        <v>1.2946657079737634E-13</v>
      </c>
      <c r="EL127" s="14">
        <f t="shared" si="99"/>
        <v>1.8873591890224769E-12</v>
      </c>
      <c r="EM127" s="22">
        <f t="shared" si="73"/>
        <v>3.5126381983529106E-12</v>
      </c>
      <c r="EN127" s="60">
        <f t="shared" si="74"/>
        <v>293.33333333333684</v>
      </c>
      <c r="EO127" s="60">
        <f ca="1">AVERAGE(OFFSET($EN$3,0,0,'Données projet'!$E$15+1,1))-AVERAGE(OFFSET($H$3,0,0,'Données projet'!$E$15+1,1))</f>
        <v>457.62828850677369</v>
      </c>
      <c r="EP127" s="60">
        <f t="shared" si="100"/>
        <v>282.78263556175563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1.1368683772161603E-13</v>
      </c>
      <c r="FF127" s="18">
        <f>FE127*VLOOKUP('Données projet'!$B$16,Paramètres!$A$1:$I$89,3,0)*VLOOKUP('Données projet'!$B$16,Paramètres!$A$1:$I$89,5,0)</f>
        <v>1.2414602679200469E-13</v>
      </c>
      <c r="FG127" s="14">
        <f t="shared" si="101"/>
        <v>1.8186582995804361E-12</v>
      </c>
      <c r="FH127" s="22">
        <f t="shared" si="76"/>
        <v>3.3837175350986671E-12</v>
      </c>
      <c r="FI127" s="60">
        <f t="shared" si="77"/>
        <v>293.33333333333672</v>
      </c>
      <c r="FJ127" s="60">
        <f ca="1">AVERAGE(OFFSET($FI$3,0,0,'Données projet'!$E$16+1,1))-AVERAGE(OFFSET($H$3,0,0,'Données projet'!$E$16+1,1))</f>
        <v>440.52623925652182</v>
      </c>
      <c r="FK127" s="60">
        <f t="shared" si="102"/>
        <v>272.91122662088918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3.4106051316484809E-13</v>
      </c>
      <c r="GA127" s="18">
        <f>FZ127*VLOOKUP('Données projet'!$B$17,Paramètres!$A$1:$I$89,3,0)*VLOOKUP('Données projet'!$B$17,Paramètres!$A$1:$I$89,5,0)</f>
        <v>1.5961632016114892E-13</v>
      </c>
      <c r="GB127" s="14">
        <f t="shared" si="103"/>
        <v>2.2708641912150958E-12</v>
      </c>
      <c r="GC127" s="22">
        <f t="shared" si="79"/>
        <v>4.2330868906469593E-12</v>
      </c>
      <c r="GD127" s="60">
        <f t="shared" si="80"/>
        <v>293.33333333333752</v>
      </c>
      <c r="GE127" s="60">
        <f ca="1">AVERAGE(OFFSET($GD$3,0,0,'Données projet'!$E$17+1,1))-AVERAGE(OFFSET($H$3,0,0,'Données projet'!$E$17+1,1))</f>
        <v>317.54276561627643</v>
      </c>
      <c r="GF127" s="60">
        <f t="shared" si="104"/>
        <v>238.92443174298893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>
        <f>GU127*VLOOKUP('Données projet'!$B$18,Paramètres!$A$1:$I$89,3,0)*VLOOKUP('Données projet'!$B$18,Paramètres!$A$1:$I$89,5,0)</f>
        <v>0</v>
      </c>
      <c r="GW127" s="14" t="e">
        <f t="shared" si="105"/>
        <v>#NUM!</v>
      </c>
      <c r="GX127" s="22" t="e">
        <f t="shared" si="82"/>
        <v>#NUM!</v>
      </c>
      <c r="GY127" s="60" t="e">
        <f t="shared" si="83"/>
        <v>#NUM!</v>
      </c>
      <c r="GZ127" s="60">
        <f ca="1">AVERAGE(OFFSET($GY$3,0,0,'Données projet'!$E$18+1,1))-AVERAGE(OFFSET($H$3,0,0,'Données projet'!$E$18+1,1))</f>
        <v>79.868679770907136</v>
      </c>
      <c r="HA127" s="60">
        <f t="shared" si="106"/>
        <v>370.47471103028312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9.6568725795029433</v>
      </c>
      <c r="HH127" s="23">
        <f>EXP(-LN(2)/25)*HH126+(1-EXP(-LN(2)/25))/(LN(2)/25)*Calculateur!HC127*Calculateur!HE127*VLOOKUP('Données projet'!$B$18,Paramètres!$A$1:$I$89,3,0)*0.475*44/12</f>
        <v>1.1150508913732244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10.771923470876168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0">
        <f t="shared" si="55"/>
        <v>293.33333333333439</v>
      </c>
      <c r="S128" s="60">
        <f ca="1">AVERAGE(OFFSET($R$3,0,0,'Données projet'!$E$9+1,1))-AVERAGE(OFFSET($H$3,0,0,'Données projet'!$E$9+1,1))</f>
        <v>206.5885410269899</v>
      </c>
      <c r="T128" s="60">
        <f t="shared" si="88"/>
        <v>347.41156847586302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3.3992364478763198E-14</v>
      </c>
      <c r="AK128" s="14">
        <f t="shared" si="89"/>
        <v>5.790027782444094E-13</v>
      </c>
      <c r="AL128" s="22">
        <f t="shared" si="58"/>
        <v>1.0676332069095257E-12</v>
      </c>
      <c r="AM128" s="60">
        <f t="shared" si="59"/>
        <v>293.33333333333439</v>
      </c>
      <c r="AN128" s="60">
        <f ca="1">AVERAGE(OFFSET($AM$3,0,0,'Données projet'!$E$10+1,1))-AVERAGE(OFFSET($H$3,0,0,'Données projet'!$E$10+1,1))</f>
        <v>206.5885410269899</v>
      </c>
      <c r="AO128" s="60">
        <f t="shared" si="90"/>
        <v>347.41156847586302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16.668471859993158</v>
      </c>
      <c r="AV128" s="23">
        <f>EXP(-LN(2)/25)*AV127+(1-EXP(-LN(2)/25))/(LN(2)/25)*Calculateur!AQ128*Calculateur!AS128*VLOOKUP('Données projet'!$B$10,Paramètres!$A$1:$I$89,3,0)*0.475*44/12</f>
        <v>0.24001173085814412</v>
      </c>
      <c r="AW128" s="23">
        <f>EXP(-LN(2)/2)*AW127+(1-EXP(-LN(2)/2))/(LN(2)/2)*AQ128*AT128*VLOOKUP('Données projet'!$B$10,Paramètres!$A$1:$I$89,3,0)*0.475*44/12</f>
        <v>5.5343555446568928E-12</v>
      </c>
      <c r="AX128" s="23">
        <f t="shared" si="60"/>
        <v>16.908483590856836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1.0818439477588981E-13</v>
      </c>
      <c r="BF128" s="14">
        <f t="shared" si="91"/>
        <v>1.6104228458716316E-12</v>
      </c>
      <c r="BG128" s="22">
        <f t="shared" si="61"/>
        <v>2.9932409441277661E-12</v>
      </c>
      <c r="BH128" s="60">
        <f t="shared" si="62"/>
        <v>293.33333333333633</v>
      </c>
      <c r="BI128" s="60">
        <f ca="1">AVERAGE(OFFSET($BH$3,0,0,'Données projet'!$E$11+1,1))-AVERAGE(OFFSET($H$3,0,0,'Données projet'!$E$11+1,1))</f>
        <v>389.12604446638119</v>
      </c>
      <c r="BJ128" s="60">
        <f t="shared" si="92"/>
        <v>243.23852967152732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1.0286385077051818E-13</v>
      </c>
      <c r="CA128" s="14">
        <f t="shared" si="93"/>
        <v>1.5402366592183556E-12</v>
      </c>
      <c r="CB128" s="22">
        <f t="shared" si="64"/>
        <v>2.8617333882306215E-12</v>
      </c>
      <c r="CC128" s="60">
        <f t="shared" si="65"/>
        <v>293.33333333333616</v>
      </c>
      <c r="CD128" s="60">
        <f ca="1">AVERAGE(OFFSET($CC$3,0,0,'Données projet'!$E$12+1,1))-AVERAGE(OFFSET($H$3,0,0,'Données projet'!$E$12+1,1))</f>
        <v>371.95849973474657</v>
      </c>
      <c r="CE128" s="60">
        <f t="shared" si="94"/>
        <v>233.32640143610547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9.6140327366348638E-14</v>
      </c>
      <c r="CN128" s="24">
        <f t="shared" si="66"/>
        <v>9.6140327366348638E-14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1.0995790944434703E-13</v>
      </c>
      <c r="CV128" s="14">
        <f t="shared" si="95"/>
        <v>1.6337280948049956E-12</v>
      </c>
      <c r="CW128" s="22">
        <f t="shared" si="67"/>
        <v>3.036919790734272E-12</v>
      </c>
      <c r="CX128" s="60">
        <f t="shared" si="68"/>
        <v>293.33333333333633</v>
      </c>
      <c r="CY128" s="60">
        <f ca="1">AVERAGE(OFFSET($CX$3,0,0,'Données projet'!$E$13+1,1))-AVERAGE(OFFSET($H$3,0,0,'Données projet'!$E$13+1,1))</f>
        <v>394.8445842828649</v>
      </c>
      <c r="CZ128" s="60">
        <f t="shared" si="96"/>
        <v>246.54010105494143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1.0277069477092447E-13</v>
      </c>
      <c r="DI128" s="24">
        <f t="shared" si="69"/>
        <v>1.0277069477092447E-13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5.6843418860808015E-14</v>
      </c>
      <c r="DP128" s="18">
        <f>DO128*VLOOKUP('Données projet'!$B$14,Paramètres!$A$1:$I$89,3,0)*VLOOKUP('Données projet'!$B$14,Paramètres!$A$1:$I$89,5,0)</f>
        <v>4.9658410716801891E-14</v>
      </c>
      <c r="DQ128" s="14">
        <f t="shared" si="97"/>
        <v>8.0934058173791862E-13</v>
      </c>
      <c r="DR128" s="22">
        <f t="shared" si="70"/>
        <v>1.4960899118586383E-12</v>
      </c>
      <c r="DS128" s="60">
        <f t="shared" si="71"/>
        <v>293.33333333333479</v>
      </c>
      <c r="DT128" s="60">
        <f ca="1">AVERAGE(OFFSET($DS$3,0,0,'Données projet'!$E$14+1,1))-AVERAGE(OFFSET($H$3,0,0,'Données projet'!$E$14+1,1))</f>
        <v>266.98113257513319</v>
      </c>
      <c r="DU128" s="60">
        <f t="shared" si="98"/>
        <v>275.73257102713393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0.79933723243970956</v>
      </c>
      <c r="EC128" s="23">
        <f>EXP(-LN(2)/2)*EC127+(1-EXP(-LN(2)/2))/(LN(2)/2)*DW128*DZ128*VLOOKUP('Données projet'!$B$14,Paramètres!$A$1:$I$89,3,0)*0.475*44/12</f>
        <v>5.2587287018212283E-14</v>
      </c>
      <c r="ED128" s="24">
        <f t="shared" si="72"/>
        <v>0.79933723243976218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1.1368683772161603E-13</v>
      </c>
      <c r="EK128" s="18">
        <f>EJ128*VLOOKUP('Données projet'!$B$15,Paramètres!$A$1:$I$89,3,0)*VLOOKUP('Données projet'!$B$15,Paramètres!$A$1:$I$89,5,0)</f>
        <v>1.2946657079737634E-13</v>
      </c>
      <c r="EL128" s="14">
        <f t="shared" si="99"/>
        <v>1.8873591890224769E-12</v>
      </c>
      <c r="EM128" s="22">
        <f t="shared" si="73"/>
        <v>3.5126381983529106E-12</v>
      </c>
      <c r="EN128" s="60">
        <f t="shared" si="74"/>
        <v>293.33333333333684</v>
      </c>
      <c r="EO128" s="60">
        <f ca="1">AVERAGE(OFFSET($EN$3,0,0,'Données projet'!$E$15+1,1))-AVERAGE(OFFSET($H$3,0,0,'Données projet'!$E$15+1,1))</f>
        <v>457.62828850677369</v>
      </c>
      <c r="EP128" s="60">
        <f t="shared" si="100"/>
        <v>282.78263556175563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1.1368683772161603E-13</v>
      </c>
      <c r="FF128" s="18">
        <f>FE128*VLOOKUP('Données projet'!$B$16,Paramètres!$A$1:$I$89,3,0)*VLOOKUP('Données projet'!$B$16,Paramètres!$A$1:$I$89,5,0)</f>
        <v>1.2414602679200469E-13</v>
      </c>
      <c r="FG128" s="14">
        <f t="shared" si="101"/>
        <v>1.8186582995804361E-12</v>
      </c>
      <c r="FH128" s="22">
        <f t="shared" si="76"/>
        <v>3.3837175350986671E-12</v>
      </c>
      <c r="FI128" s="60">
        <f t="shared" si="77"/>
        <v>293.33333333333672</v>
      </c>
      <c r="FJ128" s="60">
        <f ca="1">AVERAGE(OFFSET($FI$3,0,0,'Données projet'!$E$16+1,1))-AVERAGE(OFFSET($H$3,0,0,'Données projet'!$E$16+1,1))</f>
        <v>440.52623925652182</v>
      </c>
      <c r="FK128" s="60">
        <f t="shared" si="102"/>
        <v>272.91122662088918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3.4106051316484809E-13</v>
      </c>
      <c r="GA128" s="18">
        <f>FZ128*VLOOKUP('Données projet'!$B$17,Paramètres!$A$1:$I$89,3,0)*VLOOKUP('Données projet'!$B$17,Paramètres!$A$1:$I$89,5,0)</f>
        <v>1.5961632016114892E-13</v>
      </c>
      <c r="GB128" s="14">
        <f t="shared" si="103"/>
        <v>2.2708641912150958E-12</v>
      </c>
      <c r="GC128" s="22">
        <f t="shared" si="79"/>
        <v>4.2330868906469593E-12</v>
      </c>
      <c r="GD128" s="60">
        <f t="shared" si="80"/>
        <v>293.33333333333752</v>
      </c>
      <c r="GE128" s="60">
        <f ca="1">AVERAGE(OFFSET($GD$3,0,0,'Données projet'!$E$17+1,1))-AVERAGE(OFFSET($H$3,0,0,'Données projet'!$E$17+1,1))</f>
        <v>317.54276561627643</v>
      </c>
      <c r="GF128" s="60">
        <f t="shared" si="104"/>
        <v>238.92443174298893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>
        <f>GU128*VLOOKUP('Données projet'!$B$18,Paramètres!$A$1:$I$89,3,0)*VLOOKUP('Données projet'!$B$18,Paramètres!$A$1:$I$89,5,0)</f>
        <v>0</v>
      </c>
      <c r="GW128" s="14" t="e">
        <f t="shared" si="105"/>
        <v>#NUM!</v>
      </c>
      <c r="GX128" s="22" t="e">
        <f t="shared" si="82"/>
        <v>#NUM!</v>
      </c>
      <c r="GY128" s="60" t="e">
        <f t="shared" si="83"/>
        <v>#NUM!</v>
      </c>
      <c r="GZ128" s="60">
        <f ca="1">AVERAGE(OFFSET($GY$3,0,0,'Données projet'!$E$18+1,1))-AVERAGE(OFFSET($H$3,0,0,'Données projet'!$E$18+1,1))</f>
        <v>79.868679770907136</v>
      </c>
      <c r="HA128" s="60">
        <f t="shared" si="106"/>
        <v>370.47471103028312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9.4675071983295638</v>
      </c>
      <c r="HH128" s="23">
        <f>EXP(-LN(2)/25)*HH127+(1-EXP(-LN(2)/25))/(LN(2)/25)*Calculateur!HC128*Calculateur!HE128*VLOOKUP('Données projet'!$B$18,Paramètres!$A$1:$I$89,3,0)*0.475*44/12</f>
        <v>1.0845597661106456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10.552066964440209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0">
        <f t="shared" si="55"/>
        <v>293.33333333333439</v>
      </c>
      <c r="S129" s="60">
        <f ca="1">AVERAGE(OFFSET($R$3,0,0,'Données projet'!$E$9+1,1))-AVERAGE(OFFSET($H$3,0,0,'Données projet'!$E$9+1,1))</f>
        <v>206.5885410269899</v>
      </c>
      <c r="T129" s="60">
        <f t="shared" si="88"/>
        <v>347.41156847586302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3.3992364478763198E-14</v>
      </c>
      <c r="AK129" s="14">
        <f t="shared" si="89"/>
        <v>5.790027782444094E-13</v>
      </c>
      <c r="AL129" s="22">
        <f t="shared" si="58"/>
        <v>1.0676332069095257E-12</v>
      </c>
      <c r="AM129" s="60">
        <f t="shared" si="59"/>
        <v>293.33333333333439</v>
      </c>
      <c r="AN129" s="60">
        <f ca="1">AVERAGE(OFFSET($AM$3,0,0,'Données projet'!$E$10+1,1))-AVERAGE(OFFSET($H$3,0,0,'Données projet'!$E$10+1,1))</f>
        <v>206.5885410269899</v>
      </c>
      <c r="AO129" s="60">
        <f t="shared" si="90"/>
        <v>347.41156847586302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16.341613293582643</v>
      </c>
      <c r="AV129" s="23">
        <f>EXP(-LN(2)/25)*AV128+(1-EXP(-LN(2)/25))/(LN(2)/25)*Calculateur!AQ129*Calculateur!AS129*VLOOKUP('Données projet'!$B$10,Paramètres!$A$1:$I$89,3,0)*0.475*44/12</f>
        <v>0.23344859745615978</v>
      </c>
      <c r="AW129" s="23">
        <f>EXP(-LN(2)/2)*AW128+(1-EXP(-LN(2)/2))/(LN(2)/2)*AQ129*AT129*VLOOKUP('Données projet'!$B$10,Paramètres!$A$1:$I$89,3,0)*0.475*44/12</f>
        <v>3.9133803351242575E-12</v>
      </c>
      <c r="AX129" s="23">
        <f t="shared" si="60"/>
        <v>16.575061891042719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1.0818439477588981E-13</v>
      </c>
      <c r="BF129" s="14">
        <f t="shared" si="91"/>
        <v>1.6104228458716316E-12</v>
      </c>
      <c r="BG129" s="22">
        <f t="shared" si="61"/>
        <v>2.9932409441277661E-12</v>
      </c>
      <c r="BH129" s="60">
        <f t="shared" si="62"/>
        <v>293.33333333333633</v>
      </c>
      <c r="BI129" s="60">
        <f ca="1">AVERAGE(OFFSET($BH$3,0,0,'Données projet'!$E$11+1,1))-AVERAGE(OFFSET($H$3,0,0,'Données projet'!$E$11+1,1))</f>
        <v>389.12604446638119</v>
      </c>
      <c r="BJ129" s="60">
        <f t="shared" si="92"/>
        <v>243.23852967152732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1.0286385077051818E-13</v>
      </c>
      <c r="CA129" s="14">
        <f t="shared" si="93"/>
        <v>1.5402366592183556E-12</v>
      </c>
      <c r="CB129" s="22">
        <f t="shared" si="64"/>
        <v>2.8617333882306215E-12</v>
      </c>
      <c r="CC129" s="60">
        <f t="shared" si="65"/>
        <v>293.33333333333616</v>
      </c>
      <c r="CD129" s="60">
        <f ca="1">AVERAGE(OFFSET($CC$3,0,0,'Données projet'!$E$12+1,1))-AVERAGE(OFFSET($H$3,0,0,'Données projet'!$E$12+1,1))</f>
        <v>371.95849973474657</v>
      </c>
      <c r="CE129" s="60">
        <f t="shared" si="94"/>
        <v>233.32640143610547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6.7981477426239732E-14</v>
      </c>
      <c r="CN129" s="24">
        <f t="shared" si="66"/>
        <v>6.7981477426239732E-14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1.0995790944434703E-13</v>
      </c>
      <c r="CV129" s="14">
        <f t="shared" si="95"/>
        <v>1.6337280948049956E-12</v>
      </c>
      <c r="CW129" s="22">
        <f t="shared" si="67"/>
        <v>3.036919790734272E-12</v>
      </c>
      <c r="CX129" s="60">
        <f t="shared" si="68"/>
        <v>293.33333333333633</v>
      </c>
      <c r="CY129" s="60">
        <f ca="1">AVERAGE(OFFSET($CX$3,0,0,'Données projet'!$E$13+1,1))-AVERAGE(OFFSET($H$3,0,0,'Données projet'!$E$13+1,1))</f>
        <v>394.8445842828649</v>
      </c>
      <c r="CZ129" s="60">
        <f t="shared" si="96"/>
        <v>246.54010105494143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7.2669855179773552E-14</v>
      </c>
      <c r="DI129" s="24">
        <f t="shared" si="69"/>
        <v>7.2669855179773552E-14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5.6843418860808015E-14</v>
      </c>
      <c r="DP129" s="18">
        <f>DO129*VLOOKUP('Données projet'!$B$14,Paramètres!$A$1:$I$89,3,0)*VLOOKUP('Données projet'!$B$14,Paramètres!$A$1:$I$89,5,0)</f>
        <v>4.9658410716801891E-14</v>
      </c>
      <c r="DQ129" s="14">
        <f t="shared" si="97"/>
        <v>8.0934058173791862E-13</v>
      </c>
      <c r="DR129" s="22">
        <f t="shared" si="70"/>
        <v>1.4960899118586383E-12</v>
      </c>
      <c r="DS129" s="60">
        <f t="shared" si="71"/>
        <v>293.33333333333479</v>
      </c>
      <c r="DT129" s="60">
        <f ca="1">AVERAGE(OFFSET($DS$3,0,0,'Données projet'!$E$14+1,1))-AVERAGE(OFFSET($H$3,0,0,'Données projet'!$E$14+1,1))</f>
        <v>266.98113257513319</v>
      </c>
      <c r="DU129" s="60">
        <f t="shared" si="98"/>
        <v>275.73257102713393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0.77747931378332757</v>
      </c>
      <c r="EC129" s="23">
        <f>EXP(-LN(2)/2)*EC128+(1-EXP(-LN(2)/2))/(LN(2)/2)*DW129*DZ129*VLOOKUP('Données projet'!$B$14,Paramètres!$A$1:$I$89,3,0)*0.475*44/12</f>
        <v>3.7184827254781203E-14</v>
      </c>
      <c r="ED129" s="24">
        <f t="shared" si="72"/>
        <v>0.77747931378336477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1.1368683772161603E-13</v>
      </c>
      <c r="EK129" s="18">
        <f>EJ129*VLOOKUP('Données projet'!$B$15,Paramètres!$A$1:$I$89,3,0)*VLOOKUP('Données projet'!$B$15,Paramètres!$A$1:$I$89,5,0)</f>
        <v>1.2946657079737634E-13</v>
      </c>
      <c r="EL129" s="14">
        <f t="shared" si="99"/>
        <v>1.8873591890224769E-12</v>
      </c>
      <c r="EM129" s="22">
        <f t="shared" si="73"/>
        <v>3.5126381983529106E-12</v>
      </c>
      <c r="EN129" s="60">
        <f t="shared" si="74"/>
        <v>293.33333333333684</v>
      </c>
      <c r="EO129" s="60">
        <f ca="1">AVERAGE(OFFSET($EN$3,0,0,'Données projet'!$E$15+1,1))-AVERAGE(OFFSET($H$3,0,0,'Données projet'!$E$15+1,1))</f>
        <v>457.62828850677369</v>
      </c>
      <c r="EP129" s="60">
        <f t="shared" si="100"/>
        <v>282.78263556175563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1.1368683772161603E-13</v>
      </c>
      <c r="FF129" s="18">
        <f>FE129*VLOOKUP('Données projet'!$B$16,Paramètres!$A$1:$I$89,3,0)*VLOOKUP('Données projet'!$B$16,Paramètres!$A$1:$I$89,5,0)</f>
        <v>1.2414602679200469E-13</v>
      </c>
      <c r="FG129" s="14">
        <f t="shared" si="101"/>
        <v>1.8186582995804361E-12</v>
      </c>
      <c r="FH129" s="22">
        <f t="shared" si="76"/>
        <v>3.3837175350986671E-12</v>
      </c>
      <c r="FI129" s="60">
        <f t="shared" si="77"/>
        <v>293.33333333333672</v>
      </c>
      <c r="FJ129" s="60">
        <f ca="1">AVERAGE(OFFSET($FI$3,0,0,'Données projet'!$E$16+1,1))-AVERAGE(OFFSET($H$3,0,0,'Données projet'!$E$16+1,1))</f>
        <v>440.52623925652182</v>
      </c>
      <c r="FK129" s="60">
        <f t="shared" si="102"/>
        <v>272.91122662088918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3.4106051316484809E-13</v>
      </c>
      <c r="GA129" s="18">
        <f>FZ129*VLOOKUP('Données projet'!$B$17,Paramètres!$A$1:$I$89,3,0)*VLOOKUP('Données projet'!$B$17,Paramètres!$A$1:$I$89,5,0)</f>
        <v>1.5961632016114892E-13</v>
      </c>
      <c r="GB129" s="14">
        <f t="shared" si="103"/>
        <v>2.2708641912150958E-12</v>
      </c>
      <c r="GC129" s="22">
        <f t="shared" si="79"/>
        <v>4.2330868906469593E-12</v>
      </c>
      <c r="GD129" s="60">
        <f t="shared" si="80"/>
        <v>293.33333333333752</v>
      </c>
      <c r="GE129" s="60">
        <f ca="1">AVERAGE(OFFSET($GD$3,0,0,'Données projet'!$E$17+1,1))-AVERAGE(OFFSET($H$3,0,0,'Données projet'!$E$17+1,1))</f>
        <v>317.54276561627643</v>
      </c>
      <c r="GF129" s="60">
        <f t="shared" si="104"/>
        <v>238.92443174298893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>
        <f>GU129*VLOOKUP('Données projet'!$B$18,Paramètres!$A$1:$I$89,3,0)*VLOOKUP('Données projet'!$B$18,Paramètres!$A$1:$I$89,5,0)</f>
        <v>0</v>
      </c>
      <c r="GW129" s="14" t="e">
        <f t="shared" si="105"/>
        <v>#NUM!</v>
      </c>
      <c r="GX129" s="22" t="e">
        <f t="shared" si="82"/>
        <v>#NUM!</v>
      </c>
      <c r="GY129" s="60" t="e">
        <f t="shared" si="83"/>
        <v>#NUM!</v>
      </c>
      <c r="GZ129" s="60">
        <f ca="1">AVERAGE(OFFSET($GY$3,0,0,'Données projet'!$E$18+1,1))-AVERAGE(OFFSET($H$3,0,0,'Données projet'!$E$18+1,1))</f>
        <v>79.868679770907136</v>
      </c>
      <c r="HA129" s="60">
        <f t="shared" si="106"/>
        <v>370.47471103028312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9.2818551567795176</v>
      </c>
      <c r="HH129" s="23">
        <f>EXP(-LN(2)/25)*HH128+(1-EXP(-LN(2)/25))/(LN(2)/25)*Calculateur!HC129*Calculateur!HE129*VLOOKUP('Données projet'!$B$18,Paramètres!$A$1:$I$89,3,0)*0.475*44/12</f>
        <v>1.0549024222718306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10.336757579051348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0">
        <f t="shared" si="55"/>
        <v>293.33333333333439</v>
      </c>
      <c r="S130" s="60">
        <f ca="1">AVERAGE(OFFSET($R$3,0,0,'Données projet'!$E$9+1,1))-AVERAGE(OFFSET($H$3,0,0,'Données projet'!$E$9+1,1))</f>
        <v>206.5885410269899</v>
      </c>
      <c r="T130" s="60">
        <f t="shared" si="88"/>
        <v>347.41156847586302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3.3992364478763198E-14</v>
      </c>
      <c r="AK130" s="14">
        <f t="shared" si="89"/>
        <v>5.790027782444094E-13</v>
      </c>
      <c r="AL130" s="22">
        <f t="shared" si="58"/>
        <v>1.0676332069095257E-12</v>
      </c>
      <c r="AM130" s="60">
        <f t="shared" si="59"/>
        <v>293.33333333333439</v>
      </c>
      <c r="AN130" s="60">
        <f ca="1">AVERAGE(OFFSET($AM$3,0,0,'Données projet'!$E$10+1,1))-AVERAGE(OFFSET($H$3,0,0,'Données projet'!$E$10+1,1))</f>
        <v>206.5885410269899</v>
      </c>
      <c r="AO130" s="60">
        <f t="shared" si="90"/>
        <v>347.41156847586302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16.021164224295397</v>
      </c>
      <c r="AV130" s="23">
        <f>EXP(-LN(2)/25)*AV129+(1-EXP(-LN(2)/25))/(LN(2)/25)*Calculateur!AQ130*Calculateur!AS130*VLOOKUP('Données projet'!$B$10,Paramètres!$A$1:$I$89,3,0)*0.475*44/12</f>
        <v>0.2270649332821929</v>
      </c>
      <c r="AW130" s="23">
        <f>EXP(-LN(2)/2)*AW129+(1-EXP(-LN(2)/2))/(LN(2)/2)*AQ130*AT130*VLOOKUP('Données projet'!$B$10,Paramètres!$A$1:$I$89,3,0)*0.475*44/12</f>
        <v>2.7671777723284464E-12</v>
      </c>
      <c r="AX130" s="23">
        <f t="shared" si="60"/>
        <v>16.248229157580358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1.0818439477588981E-13</v>
      </c>
      <c r="BF130" s="14">
        <f t="shared" si="91"/>
        <v>1.6104228458716316E-12</v>
      </c>
      <c r="BG130" s="22">
        <f t="shared" si="61"/>
        <v>2.9932409441277661E-12</v>
      </c>
      <c r="BH130" s="60">
        <f t="shared" si="62"/>
        <v>293.33333333333633</v>
      </c>
      <c r="BI130" s="60">
        <f ca="1">AVERAGE(OFFSET($BH$3,0,0,'Données projet'!$E$11+1,1))-AVERAGE(OFFSET($H$3,0,0,'Données projet'!$E$11+1,1))</f>
        <v>389.12604446638119</v>
      </c>
      <c r="BJ130" s="60">
        <f t="shared" si="92"/>
        <v>243.23852967152732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1.0286385077051818E-13</v>
      </c>
      <c r="CA130" s="14">
        <f t="shared" si="93"/>
        <v>1.5402366592183556E-12</v>
      </c>
      <c r="CB130" s="22">
        <f t="shared" si="64"/>
        <v>2.8617333882306215E-12</v>
      </c>
      <c r="CC130" s="60">
        <f t="shared" si="65"/>
        <v>293.33333333333616</v>
      </c>
      <c r="CD130" s="60">
        <f ca="1">AVERAGE(OFFSET($CC$3,0,0,'Données projet'!$E$12+1,1))-AVERAGE(OFFSET($H$3,0,0,'Données projet'!$E$12+1,1))</f>
        <v>371.95849973474657</v>
      </c>
      <c r="CE130" s="60">
        <f t="shared" si="94"/>
        <v>233.32640143610547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4.8070163683174319E-14</v>
      </c>
      <c r="CN130" s="24">
        <f t="shared" si="66"/>
        <v>4.8070163683174319E-14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1.0995790944434703E-13</v>
      </c>
      <c r="CV130" s="14">
        <f t="shared" si="95"/>
        <v>1.6337280948049956E-12</v>
      </c>
      <c r="CW130" s="22">
        <f t="shared" si="67"/>
        <v>3.036919790734272E-12</v>
      </c>
      <c r="CX130" s="60">
        <f t="shared" si="68"/>
        <v>293.33333333333633</v>
      </c>
      <c r="CY130" s="60">
        <f ca="1">AVERAGE(OFFSET($CX$3,0,0,'Données projet'!$E$13+1,1))-AVERAGE(OFFSET($H$3,0,0,'Données projet'!$E$13+1,1))</f>
        <v>394.8445842828649</v>
      </c>
      <c r="CZ130" s="60">
        <f t="shared" si="96"/>
        <v>246.54010105494143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5.1385347385462235E-14</v>
      </c>
      <c r="DI130" s="24">
        <f t="shared" si="69"/>
        <v>5.1385347385462235E-14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5.6843418860808015E-14</v>
      </c>
      <c r="DP130" s="18">
        <f>DO130*VLOOKUP('Données projet'!$B$14,Paramètres!$A$1:$I$89,3,0)*VLOOKUP('Données projet'!$B$14,Paramètres!$A$1:$I$89,5,0)</f>
        <v>4.9658410716801891E-14</v>
      </c>
      <c r="DQ130" s="14">
        <f t="shared" si="97"/>
        <v>8.0934058173791862E-13</v>
      </c>
      <c r="DR130" s="22">
        <f t="shared" si="70"/>
        <v>1.4960899118586383E-12</v>
      </c>
      <c r="DS130" s="60">
        <f t="shared" si="71"/>
        <v>293.33333333333479</v>
      </c>
      <c r="DT130" s="60">
        <f ca="1">AVERAGE(OFFSET($DS$3,0,0,'Données projet'!$E$14+1,1))-AVERAGE(OFFSET($H$3,0,0,'Données projet'!$E$14+1,1))</f>
        <v>266.98113257513319</v>
      </c>
      <c r="DU130" s="60">
        <f t="shared" si="98"/>
        <v>275.73257102713393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0.75621910106206236</v>
      </c>
      <c r="EC130" s="23">
        <f>EXP(-LN(2)/2)*EC129+(1-EXP(-LN(2)/2))/(LN(2)/2)*DW130*DZ130*VLOOKUP('Données projet'!$B$14,Paramètres!$A$1:$I$89,3,0)*0.475*44/12</f>
        <v>2.6293643509106141E-14</v>
      </c>
      <c r="ED130" s="24">
        <f t="shared" si="72"/>
        <v>0.75621910106208867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1.1368683772161603E-13</v>
      </c>
      <c r="EK130" s="18">
        <f>EJ130*VLOOKUP('Données projet'!$B$15,Paramètres!$A$1:$I$89,3,0)*VLOOKUP('Données projet'!$B$15,Paramètres!$A$1:$I$89,5,0)</f>
        <v>1.2946657079737634E-13</v>
      </c>
      <c r="EL130" s="14">
        <f t="shared" si="99"/>
        <v>1.8873591890224769E-12</v>
      </c>
      <c r="EM130" s="22">
        <f t="shared" si="73"/>
        <v>3.5126381983529106E-12</v>
      </c>
      <c r="EN130" s="60">
        <f t="shared" si="74"/>
        <v>293.33333333333684</v>
      </c>
      <c r="EO130" s="60">
        <f ca="1">AVERAGE(OFFSET($EN$3,0,0,'Données projet'!$E$15+1,1))-AVERAGE(OFFSET($H$3,0,0,'Données projet'!$E$15+1,1))</f>
        <v>457.62828850677369</v>
      </c>
      <c r="EP130" s="60">
        <f t="shared" si="100"/>
        <v>282.78263556175563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1.1368683772161603E-13</v>
      </c>
      <c r="FF130" s="18">
        <f>FE130*VLOOKUP('Données projet'!$B$16,Paramètres!$A$1:$I$89,3,0)*VLOOKUP('Données projet'!$B$16,Paramètres!$A$1:$I$89,5,0)</f>
        <v>1.2414602679200469E-13</v>
      </c>
      <c r="FG130" s="14">
        <f t="shared" si="101"/>
        <v>1.8186582995804361E-12</v>
      </c>
      <c r="FH130" s="22">
        <f t="shared" si="76"/>
        <v>3.3837175350986671E-12</v>
      </c>
      <c r="FI130" s="60">
        <f t="shared" si="77"/>
        <v>293.33333333333672</v>
      </c>
      <c r="FJ130" s="60">
        <f ca="1">AVERAGE(OFFSET($FI$3,0,0,'Données projet'!$E$16+1,1))-AVERAGE(OFFSET($H$3,0,0,'Données projet'!$E$16+1,1))</f>
        <v>440.52623925652182</v>
      </c>
      <c r="FK130" s="60">
        <f t="shared" si="102"/>
        <v>272.91122662088918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3.4106051316484809E-13</v>
      </c>
      <c r="GA130" s="18">
        <f>FZ130*VLOOKUP('Données projet'!$B$17,Paramètres!$A$1:$I$89,3,0)*VLOOKUP('Données projet'!$B$17,Paramètres!$A$1:$I$89,5,0)</f>
        <v>1.5961632016114892E-13</v>
      </c>
      <c r="GB130" s="14">
        <f t="shared" si="103"/>
        <v>2.2708641912150958E-12</v>
      </c>
      <c r="GC130" s="22">
        <f t="shared" si="79"/>
        <v>4.2330868906469593E-12</v>
      </c>
      <c r="GD130" s="60">
        <f t="shared" si="80"/>
        <v>293.33333333333752</v>
      </c>
      <c r="GE130" s="60">
        <f ca="1">AVERAGE(OFFSET($GD$3,0,0,'Données projet'!$E$17+1,1))-AVERAGE(OFFSET($H$3,0,0,'Données projet'!$E$17+1,1))</f>
        <v>317.54276561627643</v>
      </c>
      <c r="GF130" s="60">
        <f t="shared" si="104"/>
        <v>238.92443174298893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>
        <f>GU130*VLOOKUP('Données projet'!$B$18,Paramètres!$A$1:$I$89,3,0)*VLOOKUP('Données projet'!$B$18,Paramètres!$A$1:$I$89,5,0)</f>
        <v>0</v>
      </c>
      <c r="GW130" s="14" t="e">
        <f t="shared" si="105"/>
        <v>#NUM!</v>
      </c>
      <c r="GX130" s="22" t="e">
        <f t="shared" si="82"/>
        <v>#NUM!</v>
      </c>
      <c r="GY130" s="60" t="e">
        <f t="shared" si="83"/>
        <v>#NUM!</v>
      </c>
      <c r="GZ130" s="60">
        <f ca="1">AVERAGE(OFFSET($GY$3,0,0,'Données projet'!$E$18+1,1))-AVERAGE(OFFSET($H$3,0,0,'Données projet'!$E$18+1,1))</f>
        <v>79.868679770907136</v>
      </c>
      <c r="HA130" s="60">
        <f t="shared" si="106"/>
        <v>370.47471103028312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9.0998436385277035</v>
      </c>
      <c r="HH130" s="23">
        <f>EXP(-LN(2)/25)*HH129+(1-EXP(-LN(2)/25))/(LN(2)/25)*Calculateur!HC130*Calculateur!HE130*VLOOKUP('Données projet'!$B$18,Paramètres!$A$1:$I$89,3,0)*0.475*44/12</f>
        <v>1.0260560600599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10.125899698587604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0">
        <f t="shared" ref="R131:R194" si="109">Q131+(I131+J131)*44/12</f>
        <v>293.33333333333439</v>
      </c>
      <c r="S131" s="60">
        <f ca="1">AVERAGE(OFFSET($R$3,0,0,'Données projet'!$E$9+1,1))-AVERAGE(OFFSET($H$3,0,0,'Données projet'!$E$9+1,1))</f>
        <v>206.5885410269899</v>
      </c>
      <c r="T131" s="60">
        <f t="shared" si="88"/>
        <v>347.41156847586302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3.3992364478763198E-14</v>
      </c>
      <c r="AK131" s="14">
        <f t="shared" si="89"/>
        <v>5.790027782444094E-13</v>
      </c>
      <c r="AL131" s="22">
        <f t="shared" si="58"/>
        <v>1.0676332069095257E-12</v>
      </c>
      <c r="AM131" s="60">
        <f t="shared" si="59"/>
        <v>293.33333333333439</v>
      </c>
      <c r="AN131" s="60">
        <f ca="1">AVERAGE(OFFSET($AM$3,0,0,'Données projet'!$E$10+1,1))-AVERAGE(OFFSET($H$3,0,0,'Données projet'!$E$10+1,1))</f>
        <v>206.5885410269899</v>
      </c>
      <c r="AO131" s="60">
        <f t="shared" si="90"/>
        <v>347.41156847586302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15.706998965802242</v>
      </c>
      <c r="AV131" s="23">
        <f>EXP(-LN(2)/25)*AV130+(1-EXP(-LN(2)/25))/(LN(2)/25)*Calculateur!AQ131*Calculateur!AS131*VLOOKUP('Données projet'!$B$10,Paramètres!$A$1:$I$89,3,0)*0.475*44/12</f>
        <v>0.22085583074076545</v>
      </c>
      <c r="AW131" s="23">
        <f>EXP(-LN(2)/2)*AW130+(1-EXP(-LN(2)/2))/(LN(2)/2)*AQ131*AT131*VLOOKUP('Données projet'!$B$10,Paramètres!$A$1:$I$89,3,0)*0.475*44/12</f>
        <v>1.9566901675621288E-12</v>
      </c>
      <c r="AX131" s="23">
        <f t="shared" si="60"/>
        <v>15.927854796544965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1.0818439477588981E-13</v>
      </c>
      <c r="BF131" s="14">
        <f t="shared" si="91"/>
        <v>1.6104228458716316E-12</v>
      </c>
      <c r="BG131" s="22">
        <f t="shared" si="61"/>
        <v>2.9932409441277661E-12</v>
      </c>
      <c r="BH131" s="60">
        <f t="shared" si="62"/>
        <v>293.33333333333633</v>
      </c>
      <c r="BI131" s="60">
        <f ca="1">AVERAGE(OFFSET($BH$3,0,0,'Données projet'!$E$11+1,1))-AVERAGE(OFFSET($H$3,0,0,'Données projet'!$E$11+1,1))</f>
        <v>389.12604446638119</v>
      </c>
      <c r="BJ131" s="60">
        <f t="shared" si="92"/>
        <v>243.23852967152732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1.0286385077051818E-13</v>
      </c>
      <c r="CA131" s="14">
        <f t="shared" si="93"/>
        <v>1.5402366592183556E-12</v>
      </c>
      <c r="CB131" s="22">
        <f t="shared" si="64"/>
        <v>2.8617333882306215E-12</v>
      </c>
      <c r="CC131" s="60">
        <f t="shared" si="65"/>
        <v>293.33333333333616</v>
      </c>
      <c r="CD131" s="60">
        <f ca="1">AVERAGE(OFFSET($CC$3,0,0,'Données projet'!$E$12+1,1))-AVERAGE(OFFSET($H$3,0,0,'Données projet'!$E$12+1,1))</f>
        <v>371.95849973474657</v>
      </c>
      <c r="CE131" s="60">
        <f t="shared" si="94"/>
        <v>233.32640143610547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3.3990738713119866E-14</v>
      </c>
      <c r="CN131" s="24">
        <f t="shared" si="66"/>
        <v>3.3990738713119866E-14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1.0995790944434703E-13</v>
      </c>
      <c r="CV131" s="14">
        <f t="shared" si="95"/>
        <v>1.6337280948049956E-12</v>
      </c>
      <c r="CW131" s="22">
        <f t="shared" si="67"/>
        <v>3.036919790734272E-12</v>
      </c>
      <c r="CX131" s="60">
        <f t="shared" si="68"/>
        <v>293.33333333333633</v>
      </c>
      <c r="CY131" s="60">
        <f ca="1">AVERAGE(OFFSET($CX$3,0,0,'Données projet'!$E$13+1,1))-AVERAGE(OFFSET($H$3,0,0,'Données projet'!$E$13+1,1))</f>
        <v>394.8445842828649</v>
      </c>
      <c r="CZ131" s="60">
        <f t="shared" si="96"/>
        <v>246.54010105494143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3.6334927589886776E-14</v>
      </c>
      <c r="DI131" s="24">
        <f t="shared" si="69"/>
        <v>3.6334927589886776E-14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5.6843418860808015E-14</v>
      </c>
      <c r="DP131" s="18">
        <f>DO131*VLOOKUP('Données projet'!$B$14,Paramètres!$A$1:$I$89,3,0)*VLOOKUP('Données projet'!$B$14,Paramètres!$A$1:$I$89,5,0)</f>
        <v>4.9658410716801891E-14</v>
      </c>
      <c r="DQ131" s="14">
        <f t="shared" si="97"/>
        <v>8.0934058173791862E-13</v>
      </c>
      <c r="DR131" s="22">
        <f t="shared" si="70"/>
        <v>1.4960899118586383E-12</v>
      </c>
      <c r="DS131" s="60">
        <f t="shared" si="71"/>
        <v>293.33333333333479</v>
      </c>
      <c r="DT131" s="60">
        <f ca="1">AVERAGE(OFFSET($DS$3,0,0,'Données projet'!$E$14+1,1))-AVERAGE(OFFSET($H$3,0,0,'Données projet'!$E$14+1,1))</f>
        <v>266.98113257513319</v>
      </c>
      <c r="DU131" s="60">
        <f t="shared" si="98"/>
        <v>275.73257102713393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0.73554024997568612</v>
      </c>
      <c r="EC131" s="23">
        <f>EXP(-LN(2)/2)*EC130+(1-EXP(-LN(2)/2))/(LN(2)/2)*DW131*DZ131*VLOOKUP('Données projet'!$B$14,Paramètres!$A$1:$I$89,3,0)*0.475*44/12</f>
        <v>1.8592413627390602E-14</v>
      </c>
      <c r="ED131" s="24">
        <f t="shared" si="72"/>
        <v>0.73554024997570466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1.1368683772161603E-13</v>
      </c>
      <c r="EK131" s="18">
        <f>EJ131*VLOOKUP('Données projet'!$B$15,Paramètres!$A$1:$I$89,3,0)*VLOOKUP('Données projet'!$B$15,Paramètres!$A$1:$I$89,5,0)</f>
        <v>1.2946657079737634E-13</v>
      </c>
      <c r="EL131" s="14">
        <f t="shared" si="99"/>
        <v>1.8873591890224769E-12</v>
      </c>
      <c r="EM131" s="22">
        <f t="shared" si="73"/>
        <v>3.5126381983529106E-12</v>
      </c>
      <c r="EN131" s="60">
        <f t="shared" si="74"/>
        <v>293.33333333333684</v>
      </c>
      <c r="EO131" s="60">
        <f ca="1">AVERAGE(OFFSET($EN$3,0,0,'Données projet'!$E$15+1,1))-AVERAGE(OFFSET($H$3,0,0,'Données projet'!$E$15+1,1))</f>
        <v>457.62828850677369</v>
      </c>
      <c r="EP131" s="60">
        <f t="shared" si="100"/>
        <v>282.78263556175563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1.1368683772161603E-13</v>
      </c>
      <c r="FF131" s="18">
        <f>FE131*VLOOKUP('Données projet'!$B$16,Paramètres!$A$1:$I$89,3,0)*VLOOKUP('Données projet'!$B$16,Paramètres!$A$1:$I$89,5,0)</f>
        <v>1.2414602679200469E-13</v>
      </c>
      <c r="FG131" s="14">
        <f t="shared" si="101"/>
        <v>1.8186582995804361E-12</v>
      </c>
      <c r="FH131" s="22">
        <f t="shared" si="76"/>
        <v>3.3837175350986671E-12</v>
      </c>
      <c r="FI131" s="60">
        <f t="shared" si="77"/>
        <v>293.33333333333672</v>
      </c>
      <c r="FJ131" s="60">
        <f ca="1">AVERAGE(OFFSET($FI$3,0,0,'Données projet'!$E$16+1,1))-AVERAGE(OFFSET($H$3,0,0,'Données projet'!$E$16+1,1))</f>
        <v>440.52623925652182</v>
      </c>
      <c r="FK131" s="60">
        <f t="shared" si="102"/>
        <v>272.91122662088918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3.4106051316484809E-13</v>
      </c>
      <c r="GA131" s="18">
        <f>FZ131*VLOOKUP('Données projet'!$B$17,Paramètres!$A$1:$I$89,3,0)*VLOOKUP('Données projet'!$B$17,Paramètres!$A$1:$I$89,5,0)</f>
        <v>1.5961632016114892E-13</v>
      </c>
      <c r="GB131" s="14">
        <f t="shared" si="103"/>
        <v>2.2708641912150958E-12</v>
      </c>
      <c r="GC131" s="22">
        <f t="shared" si="79"/>
        <v>4.2330868906469593E-12</v>
      </c>
      <c r="GD131" s="60">
        <f t="shared" si="80"/>
        <v>293.33333333333752</v>
      </c>
      <c r="GE131" s="60">
        <f ca="1">AVERAGE(OFFSET($GD$3,0,0,'Données projet'!$E$17+1,1))-AVERAGE(OFFSET($H$3,0,0,'Données projet'!$E$17+1,1))</f>
        <v>317.54276561627643</v>
      </c>
      <c r="GF131" s="60">
        <f t="shared" si="104"/>
        <v>238.92443174298893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>
        <f>GU131*VLOOKUP('Données projet'!$B$18,Paramètres!$A$1:$I$89,3,0)*VLOOKUP('Données projet'!$B$18,Paramètres!$A$1:$I$89,5,0)</f>
        <v>0</v>
      </c>
      <c r="GW131" s="14" t="e">
        <f t="shared" si="105"/>
        <v>#NUM!</v>
      </c>
      <c r="GX131" s="22" t="e">
        <f t="shared" si="82"/>
        <v>#NUM!</v>
      </c>
      <c r="GY131" s="60" t="e">
        <f t="shared" si="83"/>
        <v>#NUM!</v>
      </c>
      <c r="GZ131" s="60">
        <f ca="1">AVERAGE(OFFSET($GY$3,0,0,'Données projet'!$E$18+1,1))-AVERAGE(OFFSET($H$3,0,0,'Données projet'!$E$18+1,1))</f>
        <v>79.868679770907136</v>
      </c>
      <c r="HA131" s="60">
        <f t="shared" si="106"/>
        <v>370.47471103028312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8.9214012551327428</v>
      </c>
      <c r="HH131" s="23">
        <f>EXP(-LN(2)/25)*HH130+(1-EXP(-LN(2)/25))/(LN(2)/25)*Calculateur!HC131*Calculateur!HE131*VLOOKUP('Données projet'!$B$18,Paramètres!$A$1:$I$89,3,0)*0.475*44/12</f>
        <v>0.99799850313961891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9.9193997582723625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0">
        <f t="shared" si="109"/>
        <v>293.33333333333439</v>
      </c>
      <c r="S132" s="60">
        <f ca="1">AVERAGE(OFFSET($R$3,0,0,'Données projet'!$E$9+1,1))-AVERAGE(OFFSET($H$3,0,0,'Données projet'!$E$9+1,1))</f>
        <v>206.5885410269899</v>
      </c>
      <c r="T132" s="60">
        <f t="shared" si="88"/>
        <v>347.41156847586302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3.3992364478763198E-14</v>
      </c>
      <c r="AK132" s="14">
        <f t="shared" si="89"/>
        <v>5.790027782444094E-13</v>
      </c>
      <c r="AL132" s="22">
        <f t="shared" ref="AL132:AL153" si="112">(AJ132+AK132)*0.475*44/12</f>
        <v>1.0676332069095257E-12</v>
      </c>
      <c r="AM132" s="60">
        <f t="shared" ref="AM132:AM195" si="113">AL132+(AD132+AE132)*44/12</f>
        <v>293.33333333333439</v>
      </c>
      <c r="AN132" s="60">
        <f ca="1">AVERAGE(OFFSET($AM$3,0,0,'Données projet'!$E$10+1,1))-AVERAGE(OFFSET($H$3,0,0,'Données projet'!$E$10+1,1))</f>
        <v>206.5885410269899</v>
      </c>
      <c r="AO132" s="60">
        <f t="shared" si="90"/>
        <v>347.41156847586302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15.398994296406251</v>
      </c>
      <c r="AV132" s="23">
        <f>EXP(-LN(2)/25)*AV131+(1-EXP(-LN(2)/25))/(LN(2)/25)*Calculateur!AQ132*Calculateur!AS132*VLOOKUP('Données projet'!$B$10,Paramètres!$A$1:$I$89,3,0)*0.475*44/12</f>
        <v>0.21481651643485586</v>
      </c>
      <c r="AW132" s="23">
        <f>EXP(-LN(2)/2)*AW131+(1-EXP(-LN(2)/2))/(LN(2)/2)*AQ132*AT132*VLOOKUP('Données projet'!$B$10,Paramètres!$A$1:$I$89,3,0)*0.475*44/12</f>
        <v>1.3835888861642232E-12</v>
      </c>
      <c r="AX132" s="23">
        <f t="shared" ref="AX132:AX153" si="114">SUM(AU132:AW132)</f>
        <v>15.613810812842491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1.0818439477588981E-13</v>
      </c>
      <c r="BF132" s="14">
        <f t="shared" si="91"/>
        <v>1.6104228458716316E-12</v>
      </c>
      <c r="BG132" s="22">
        <f t="shared" ref="BG132:BG153" si="115">(BE132+BF132)*0.475*44/12</f>
        <v>2.9932409441277661E-12</v>
      </c>
      <c r="BH132" s="60">
        <f t="shared" ref="BH132:BH195" si="116">BG132+(AY132+AZ132)*44/12</f>
        <v>293.33333333333633</v>
      </c>
      <c r="BI132" s="60">
        <f ca="1">AVERAGE(OFFSET($BH$3,0,0,'Données projet'!$E$11+1,1))-AVERAGE(OFFSET($H$3,0,0,'Données projet'!$E$11+1,1))</f>
        <v>389.12604446638119</v>
      </c>
      <c r="BJ132" s="60">
        <f t="shared" si="92"/>
        <v>243.23852967152732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1.0286385077051818E-13</v>
      </c>
      <c r="CA132" s="14">
        <f t="shared" si="93"/>
        <v>1.5402366592183556E-12</v>
      </c>
      <c r="CB132" s="22">
        <f t="shared" ref="CB132:CB153" si="118">(BZ132+CA132)*0.475*44/12</f>
        <v>2.8617333882306215E-12</v>
      </c>
      <c r="CC132" s="60">
        <f t="shared" ref="CC132:CC195" si="119">CB132+(BT132+BU132)*44/12</f>
        <v>293.33333333333616</v>
      </c>
      <c r="CD132" s="60">
        <f ca="1">AVERAGE(OFFSET($CC$3,0,0,'Données projet'!$E$12+1,1))-AVERAGE(OFFSET($H$3,0,0,'Données projet'!$E$12+1,1))</f>
        <v>371.95849973474657</v>
      </c>
      <c r="CE132" s="60">
        <f t="shared" si="94"/>
        <v>233.32640143610547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2.4035081841587159E-14</v>
      </c>
      <c r="CN132" s="24">
        <f t="shared" ref="CN132:CN153" si="120">SUM(CK132:CM132)</f>
        <v>2.4035081841587159E-14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1.0995790944434703E-13</v>
      </c>
      <c r="CV132" s="14">
        <f t="shared" si="95"/>
        <v>1.6337280948049956E-12</v>
      </c>
      <c r="CW132" s="22">
        <f t="shared" ref="CW132:CW153" si="121">(CU132+CV132)*0.475*44/12</f>
        <v>3.036919790734272E-12</v>
      </c>
      <c r="CX132" s="60">
        <f t="shared" ref="CX132:CX195" si="122">CW132+(CO132+CP132)*44/12</f>
        <v>293.33333333333633</v>
      </c>
      <c r="CY132" s="60">
        <f ca="1">AVERAGE(OFFSET($CX$3,0,0,'Données projet'!$E$13+1,1))-AVERAGE(OFFSET($H$3,0,0,'Données projet'!$E$13+1,1))</f>
        <v>394.8445842828649</v>
      </c>
      <c r="CZ132" s="60">
        <f t="shared" si="96"/>
        <v>246.54010105494143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2.5692673692731117E-14</v>
      </c>
      <c r="DI132" s="24">
        <f t="shared" ref="DI132:DI153" si="123">SUM(DF132:DH132)</f>
        <v>2.5692673692731117E-14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5.6843418860808015E-14</v>
      </c>
      <c r="DP132" s="18">
        <f>DO132*VLOOKUP('Données projet'!$B$14,Paramètres!$A$1:$I$89,3,0)*VLOOKUP('Données projet'!$B$14,Paramètres!$A$1:$I$89,5,0)</f>
        <v>4.9658410716801891E-14</v>
      </c>
      <c r="DQ132" s="14">
        <f t="shared" si="97"/>
        <v>8.0934058173791862E-13</v>
      </c>
      <c r="DR132" s="22">
        <f t="shared" ref="DR132:DR153" si="124">(DP132+DQ132)*0.475*44/12</f>
        <v>1.4960899118586383E-12</v>
      </c>
      <c r="DS132" s="60">
        <f t="shared" ref="DS132:DS195" si="125">DR132+(DJ132+DK132)*44/12</f>
        <v>293.33333333333479</v>
      </c>
      <c r="DT132" s="60">
        <f ca="1">AVERAGE(OFFSET($DS$3,0,0,'Données projet'!$E$14+1,1))-AVERAGE(OFFSET($H$3,0,0,'Données projet'!$E$14+1,1))</f>
        <v>266.98113257513319</v>
      </c>
      <c r="DU132" s="60">
        <f t="shared" si="98"/>
        <v>275.73257102713393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0.71542686315972037</v>
      </c>
      <c r="EC132" s="23">
        <f>EXP(-LN(2)/2)*EC131+(1-EXP(-LN(2)/2))/(LN(2)/2)*DW132*DZ132*VLOOKUP('Données projet'!$B$14,Paramètres!$A$1:$I$89,3,0)*0.475*44/12</f>
        <v>1.3146821754553071E-14</v>
      </c>
      <c r="ED132" s="24">
        <f t="shared" ref="ED132:ED153" si="126">SUM(EA132:EC132)</f>
        <v>0.71542686315973347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1.1368683772161603E-13</v>
      </c>
      <c r="EK132" s="18">
        <f>EJ132*VLOOKUP('Données projet'!$B$15,Paramètres!$A$1:$I$89,3,0)*VLOOKUP('Données projet'!$B$15,Paramètres!$A$1:$I$89,5,0)</f>
        <v>1.2946657079737634E-13</v>
      </c>
      <c r="EL132" s="14">
        <f t="shared" si="99"/>
        <v>1.8873591890224769E-12</v>
      </c>
      <c r="EM132" s="22">
        <f t="shared" ref="EM132:EM153" si="127">(EK132+EL132)*0.475*44/12</f>
        <v>3.5126381983529106E-12</v>
      </c>
      <c r="EN132" s="60">
        <f t="shared" ref="EN132:EN195" si="128">EM132+(EE132+EF132)*44/12</f>
        <v>293.33333333333684</v>
      </c>
      <c r="EO132" s="60">
        <f ca="1">AVERAGE(OFFSET($EN$3,0,0,'Données projet'!$E$15+1,1))-AVERAGE(OFFSET($H$3,0,0,'Données projet'!$E$15+1,1))</f>
        <v>457.62828850677369</v>
      </c>
      <c r="EP132" s="60">
        <f t="shared" si="100"/>
        <v>282.78263556175563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1.1368683772161603E-13</v>
      </c>
      <c r="FF132" s="18">
        <f>FE132*VLOOKUP('Données projet'!$B$16,Paramètres!$A$1:$I$89,3,0)*VLOOKUP('Données projet'!$B$16,Paramètres!$A$1:$I$89,5,0)</f>
        <v>1.2414602679200469E-13</v>
      </c>
      <c r="FG132" s="14">
        <f t="shared" si="101"/>
        <v>1.8186582995804361E-12</v>
      </c>
      <c r="FH132" s="22">
        <f t="shared" ref="FH132:FH153" si="130">(FF132+FG132)*0.475*44/12</f>
        <v>3.3837175350986671E-12</v>
      </c>
      <c r="FI132" s="60">
        <f t="shared" ref="FI132:FI195" si="131">FH132+(EZ132+FA132)*44/12</f>
        <v>293.33333333333672</v>
      </c>
      <c r="FJ132" s="60">
        <f ca="1">AVERAGE(OFFSET($FI$3,0,0,'Données projet'!$E$16+1,1))-AVERAGE(OFFSET($H$3,0,0,'Données projet'!$E$16+1,1))</f>
        <v>440.52623925652182</v>
      </c>
      <c r="FK132" s="60">
        <f t="shared" si="102"/>
        <v>272.91122662088918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3.4106051316484809E-13</v>
      </c>
      <c r="GA132" s="18">
        <f>FZ132*VLOOKUP('Données projet'!$B$17,Paramètres!$A$1:$I$89,3,0)*VLOOKUP('Données projet'!$B$17,Paramètres!$A$1:$I$89,5,0)</f>
        <v>1.5961632016114892E-13</v>
      </c>
      <c r="GB132" s="14">
        <f t="shared" si="103"/>
        <v>2.2708641912150958E-12</v>
      </c>
      <c r="GC132" s="22">
        <f t="shared" ref="GC132:GC153" si="133">(GA132+GB132)*0.475*44/12</f>
        <v>4.2330868906469593E-12</v>
      </c>
      <c r="GD132" s="60">
        <f t="shared" ref="GD132:GD195" si="134">GC132+(FU132+FV132)*44/12</f>
        <v>293.33333333333752</v>
      </c>
      <c r="GE132" s="60">
        <f ca="1">AVERAGE(OFFSET($GD$3,0,0,'Données projet'!$E$17+1,1))-AVERAGE(OFFSET($H$3,0,0,'Données projet'!$E$17+1,1))</f>
        <v>317.54276561627643</v>
      </c>
      <c r="GF132" s="60">
        <f t="shared" si="104"/>
        <v>238.92443174298893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>
        <f>GU132*VLOOKUP('Données projet'!$B$18,Paramètres!$A$1:$I$89,3,0)*VLOOKUP('Données projet'!$B$18,Paramètres!$A$1:$I$89,5,0)</f>
        <v>0</v>
      </c>
      <c r="GW132" s="14" t="e">
        <f t="shared" si="105"/>
        <v>#NUM!</v>
      </c>
      <c r="GX132" s="22" t="e">
        <f t="shared" ref="GX132:GX153" si="136">(GV132+GW132)*0.475*44/12</f>
        <v>#NUM!</v>
      </c>
      <c r="GY132" s="60" t="e">
        <f t="shared" ref="GY132:GY195" si="137">GX132+(GP132+GQ132)*44/12</f>
        <v>#NUM!</v>
      </c>
      <c r="GZ132" s="60">
        <f ca="1">AVERAGE(OFFSET($GY$3,0,0,'Données projet'!$E$18+1,1))-AVERAGE(OFFSET($H$3,0,0,'Données projet'!$E$18+1,1))</f>
        <v>79.868679770907136</v>
      </c>
      <c r="HA132" s="60">
        <f t="shared" si="106"/>
        <v>370.47471103028312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8.7464580180370497</v>
      </c>
      <c r="HH132" s="23">
        <f>EXP(-LN(2)/25)*HH131+(1-EXP(-LN(2)/25))/(LN(2)/25)*Calculateur!HC132*Calculateur!HE132*VLOOKUP('Données projet'!$B$18,Paramètres!$A$1:$I$89,3,0)*0.475*44/12</f>
        <v>0.97070818158880567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9.717166199625856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0">
        <f t="shared" si="109"/>
        <v>293.33333333333439</v>
      </c>
      <c r="S133" s="60">
        <f ca="1">AVERAGE(OFFSET($R$3,0,0,'Données projet'!$E$9+1,1))-AVERAGE(OFFSET($H$3,0,0,'Données projet'!$E$9+1,1))</f>
        <v>206.5885410269899</v>
      </c>
      <c r="T133" s="60">
        <f t="shared" ref="T133:T196" si="142">$T$3</f>
        <v>347.41156847586302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3.3992364478763198E-14</v>
      </c>
      <c r="AK133" s="14">
        <f t="shared" ref="AK133:AK153" si="143">EXP(-1.0587+0.8836*LN(AJ133)+0.284)</f>
        <v>5.790027782444094E-13</v>
      </c>
      <c r="AL133" s="22">
        <f t="shared" si="112"/>
        <v>1.0676332069095257E-12</v>
      </c>
      <c r="AM133" s="60">
        <f t="shared" si="113"/>
        <v>293.33333333333439</v>
      </c>
      <c r="AN133" s="60">
        <f ca="1">AVERAGE(OFFSET($AM$3,0,0,'Données projet'!$E$10+1,1))-AVERAGE(OFFSET($H$3,0,0,'Données projet'!$E$10+1,1))</f>
        <v>206.5885410269899</v>
      </c>
      <c r="AO133" s="60">
        <f t="shared" ref="AO133:AO196" si="144">$AO$3</f>
        <v>347.41156847586302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15.097029410712816</v>
      </c>
      <c r="AV133" s="23">
        <f>EXP(-LN(2)/25)*AV132+(1-EXP(-LN(2)/25))/(LN(2)/25)*Calculateur!AQ133*Calculateur!AS133*VLOOKUP('Données projet'!$B$10,Paramètres!$A$1:$I$89,3,0)*0.475*44/12</f>
        <v>0.20894234749623511</v>
      </c>
      <c r="AW133" s="23">
        <f>EXP(-LN(2)/2)*AW132+(1-EXP(-LN(2)/2))/(LN(2)/2)*AQ133*AT133*VLOOKUP('Données projet'!$B$10,Paramètres!$A$1:$I$89,3,0)*0.475*44/12</f>
        <v>9.7834508378106438E-13</v>
      </c>
      <c r="AX133" s="23">
        <f t="shared" si="114"/>
        <v>15.305971758210029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1.0818439477588981E-13</v>
      </c>
      <c r="BF133" s="14">
        <f t="shared" ref="BF133:BF153" si="145">EXP(-1.0587+0.8836*LN(BE133)+0.284)</f>
        <v>1.6104228458716316E-12</v>
      </c>
      <c r="BG133" s="22">
        <f t="shared" si="115"/>
        <v>2.9932409441277661E-12</v>
      </c>
      <c r="BH133" s="60">
        <f t="shared" si="116"/>
        <v>293.33333333333633</v>
      </c>
      <c r="BI133" s="60">
        <f ca="1">AVERAGE(OFFSET($BH$3,0,0,'Données projet'!$E$11+1,1))-AVERAGE(OFFSET($H$3,0,0,'Données projet'!$E$11+1,1))</f>
        <v>389.12604446638119</v>
      </c>
      <c r="BJ133" s="60">
        <f t="shared" ref="BJ133:BJ196" si="146">$BJ$3</f>
        <v>243.23852967152732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1.0286385077051818E-13</v>
      </c>
      <c r="CA133" s="14">
        <f t="shared" ref="CA133:CA153" si="147">EXP(-1.0587+0.8836*LN(BZ133)+0.284)</f>
        <v>1.5402366592183556E-12</v>
      </c>
      <c r="CB133" s="22">
        <f t="shared" si="118"/>
        <v>2.8617333882306215E-12</v>
      </c>
      <c r="CC133" s="60">
        <f t="shared" si="119"/>
        <v>293.33333333333616</v>
      </c>
      <c r="CD133" s="60">
        <f ca="1">AVERAGE(OFFSET($CC$3,0,0,'Données projet'!$E$12+1,1))-AVERAGE(OFFSET($H$3,0,0,'Données projet'!$E$12+1,1))</f>
        <v>371.95849973474657</v>
      </c>
      <c r="CE133" s="60">
        <f t="shared" ref="CE133:CE196" si="148">$CE$3</f>
        <v>233.32640143610547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1.6995369356559933E-14</v>
      </c>
      <c r="CN133" s="24">
        <f t="shared" si="120"/>
        <v>1.6995369356559933E-14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1.0995790944434703E-13</v>
      </c>
      <c r="CV133" s="14">
        <f t="shared" ref="CV133:CV153" si="149">EXP(-1.0587+0.8836*LN(CU133)+0.284)</f>
        <v>1.6337280948049956E-12</v>
      </c>
      <c r="CW133" s="22">
        <f t="shared" si="121"/>
        <v>3.036919790734272E-12</v>
      </c>
      <c r="CX133" s="60">
        <f t="shared" si="122"/>
        <v>293.33333333333633</v>
      </c>
      <c r="CY133" s="60">
        <f ca="1">AVERAGE(OFFSET($CX$3,0,0,'Données projet'!$E$13+1,1))-AVERAGE(OFFSET($H$3,0,0,'Données projet'!$E$13+1,1))</f>
        <v>394.8445842828649</v>
      </c>
      <c r="CZ133" s="60">
        <f t="shared" ref="CZ133:CZ196" si="150">$CZ$3</f>
        <v>246.54010105494143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1.8167463794943388E-14</v>
      </c>
      <c r="DI133" s="24">
        <f t="shared" si="123"/>
        <v>1.8167463794943388E-14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5.6843418860808015E-14</v>
      </c>
      <c r="DP133" s="18">
        <f>DO133*VLOOKUP('Données projet'!$B$14,Paramètres!$A$1:$I$89,3,0)*VLOOKUP('Données projet'!$B$14,Paramètres!$A$1:$I$89,5,0)</f>
        <v>4.9658410716801891E-14</v>
      </c>
      <c r="DQ133" s="14">
        <f t="shared" ref="DQ133:DQ153" si="151">EXP(-1.0587+0.8836*LN(DP133)+0.284)</f>
        <v>8.0934058173791862E-13</v>
      </c>
      <c r="DR133" s="22">
        <f t="shared" si="124"/>
        <v>1.4960899118586383E-12</v>
      </c>
      <c r="DS133" s="60">
        <f t="shared" si="125"/>
        <v>293.33333333333479</v>
      </c>
      <c r="DT133" s="60">
        <f ca="1">AVERAGE(OFFSET($DS$3,0,0,'Données projet'!$E$14+1,1))-AVERAGE(OFFSET($H$3,0,0,'Données projet'!$E$14+1,1))</f>
        <v>266.98113257513319</v>
      </c>
      <c r="DU133" s="60">
        <f t="shared" ref="DU133:DU196" si="152">$DU$3</f>
        <v>275.73257102713393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0.6958634779639542</v>
      </c>
      <c r="EC133" s="23">
        <f>EXP(-LN(2)/2)*EC132+(1-EXP(-LN(2)/2))/(LN(2)/2)*DW133*DZ133*VLOOKUP('Données projet'!$B$14,Paramètres!$A$1:$I$89,3,0)*0.475*44/12</f>
        <v>9.2962068136953008E-15</v>
      </c>
      <c r="ED133" s="24">
        <f t="shared" si="126"/>
        <v>0.69586347796396353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1.1368683772161603E-13</v>
      </c>
      <c r="EK133" s="18">
        <f>EJ133*VLOOKUP('Données projet'!$B$15,Paramètres!$A$1:$I$89,3,0)*VLOOKUP('Données projet'!$B$15,Paramètres!$A$1:$I$89,5,0)</f>
        <v>1.2946657079737634E-13</v>
      </c>
      <c r="EL133" s="14">
        <f t="shared" ref="EL133:EL153" si="153">EXP(-1.0587+0.8836*LN(EK133)+0.284)</f>
        <v>1.8873591890224769E-12</v>
      </c>
      <c r="EM133" s="22">
        <f t="shared" si="127"/>
        <v>3.5126381983529106E-12</v>
      </c>
      <c r="EN133" s="60">
        <f t="shared" si="128"/>
        <v>293.33333333333684</v>
      </c>
      <c r="EO133" s="60">
        <f ca="1">AVERAGE(OFFSET($EN$3,0,0,'Données projet'!$E$15+1,1))-AVERAGE(OFFSET($H$3,0,0,'Données projet'!$E$15+1,1))</f>
        <v>457.62828850677369</v>
      </c>
      <c r="EP133" s="60">
        <f t="shared" ref="EP133:EP196" si="154">$EP$3</f>
        <v>282.78263556175563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1.1368683772161603E-13</v>
      </c>
      <c r="FF133" s="18">
        <f>FE133*VLOOKUP('Données projet'!$B$16,Paramètres!$A$1:$I$89,3,0)*VLOOKUP('Données projet'!$B$16,Paramètres!$A$1:$I$89,5,0)</f>
        <v>1.2414602679200469E-13</v>
      </c>
      <c r="FG133" s="14">
        <f t="shared" ref="FG133:FG153" si="155">EXP(-1.0587+0.8836*LN(FF133)+0.284)</f>
        <v>1.8186582995804361E-12</v>
      </c>
      <c r="FH133" s="22">
        <f t="shared" si="130"/>
        <v>3.3837175350986671E-12</v>
      </c>
      <c r="FI133" s="60">
        <f t="shared" si="131"/>
        <v>293.33333333333672</v>
      </c>
      <c r="FJ133" s="60">
        <f ca="1">AVERAGE(OFFSET($FI$3,0,0,'Données projet'!$E$16+1,1))-AVERAGE(OFFSET($H$3,0,0,'Données projet'!$E$16+1,1))</f>
        <v>440.52623925652182</v>
      </c>
      <c r="FK133" s="60">
        <f t="shared" ref="FK133:FK196" si="156">$FK$3</f>
        <v>272.91122662088918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3.4106051316484809E-13</v>
      </c>
      <c r="GA133" s="18">
        <f>FZ133*VLOOKUP('Données projet'!$B$17,Paramètres!$A$1:$I$89,3,0)*VLOOKUP('Données projet'!$B$17,Paramètres!$A$1:$I$89,5,0)</f>
        <v>1.5961632016114892E-13</v>
      </c>
      <c r="GB133" s="14">
        <f t="shared" ref="GB133:GB153" si="157">EXP(-1.0587+0.8836*LN(GA133)+0.284)</f>
        <v>2.2708641912150958E-12</v>
      </c>
      <c r="GC133" s="22">
        <f t="shared" si="133"/>
        <v>4.2330868906469593E-12</v>
      </c>
      <c r="GD133" s="60">
        <f t="shared" si="134"/>
        <v>293.33333333333752</v>
      </c>
      <c r="GE133" s="60">
        <f ca="1">AVERAGE(OFFSET($GD$3,0,0,'Données projet'!$E$17+1,1))-AVERAGE(OFFSET($H$3,0,0,'Données projet'!$E$17+1,1))</f>
        <v>317.54276561627643</v>
      </c>
      <c r="GF133" s="60">
        <f t="shared" ref="GF133:GF196" si="158">$GF$3</f>
        <v>238.92443174298893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>
        <f>GU133*VLOOKUP('Données projet'!$B$18,Paramètres!$A$1:$I$89,3,0)*VLOOKUP('Données projet'!$B$18,Paramètres!$A$1:$I$89,5,0)</f>
        <v>0</v>
      </c>
      <c r="GW133" s="14" t="e">
        <f t="shared" ref="GW133:GW153" si="159">EXP(-1.0587+0.8836*LN(GV133)+0.284)</f>
        <v>#NUM!</v>
      </c>
      <c r="GX133" s="22" t="e">
        <f t="shared" si="136"/>
        <v>#NUM!</v>
      </c>
      <c r="GY133" s="60" t="e">
        <f t="shared" si="137"/>
        <v>#NUM!</v>
      </c>
      <c r="GZ133" s="60">
        <f ca="1">AVERAGE(OFFSET($GY$3,0,0,'Données projet'!$E$18+1,1))-AVERAGE(OFFSET($H$3,0,0,'Données projet'!$E$18+1,1))</f>
        <v>79.868679770907136</v>
      </c>
      <c r="HA133" s="60">
        <f t="shared" ref="HA133:HA196" si="160">$HA$3</f>
        <v>370.47471103028312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8.5749453111159646</v>
      </c>
      <c r="HH133" s="23">
        <f>EXP(-LN(2)/25)*HH132+(1-EXP(-LN(2)/25))/(LN(2)/25)*Calculateur!HC133*Calculateur!HE133*VLOOKUP('Données projet'!$B$18,Paramètres!$A$1:$I$89,3,0)*0.475*44/12</f>
        <v>0.94416411531593514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9.5191094264318998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0">
        <f t="shared" si="109"/>
        <v>293.33333333333439</v>
      </c>
      <c r="S134" s="60">
        <f ca="1">AVERAGE(OFFSET($R$3,0,0,'Données projet'!$E$9+1,1))-AVERAGE(OFFSET($H$3,0,0,'Données projet'!$E$9+1,1))</f>
        <v>206.5885410269899</v>
      </c>
      <c r="T134" s="60">
        <f t="shared" si="142"/>
        <v>347.41156847586302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3.3992364478763198E-14</v>
      </c>
      <c r="AK134" s="14">
        <f t="shared" si="143"/>
        <v>5.790027782444094E-13</v>
      </c>
      <c r="AL134" s="22">
        <f t="shared" si="112"/>
        <v>1.0676332069095257E-12</v>
      </c>
      <c r="AM134" s="60">
        <f t="shared" si="113"/>
        <v>293.33333333333439</v>
      </c>
      <c r="AN134" s="60">
        <f ca="1">AVERAGE(OFFSET($AM$3,0,0,'Données projet'!$E$10+1,1))-AVERAGE(OFFSET($H$3,0,0,'Données projet'!$E$10+1,1))</f>
        <v>206.5885410269899</v>
      </c>
      <c r="AO134" s="60">
        <f t="shared" si="144"/>
        <v>347.41156847586302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14.800985872247436</v>
      </c>
      <c r="AV134" s="23">
        <f>EXP(-LN(2)/25)*AV133+(1-EXP(-LN(2)/25))/(LN(2)/25)*Calculateur!AQ134*Calculateur!AS134*VLOOKUP('Données projet'!$B$10,Paramètres!$A$1:$I$89,3,0)*0.475*44/12</f>
        <v>0.20322880801615004</v>
      </c>
      <c r="AW134" s="23">
        <f>EXP(-LN(2)/2)*AW133+(1-EXP(-LN(2)/2))/(LN(2)/2)*AQ134*AT134*VLOOKUP('Données projet'!$B$10,Paramètres!$A$1:$I$89,3,0)*0.475*44/12</f>
        <v>6.917944430821116E-13</v>
      </c>
      <c r="AX134" s="23">
        <f t="shared" si="114"/>
        <v>15.004214680264276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1.0818439477588981E-13</v>
      </c>
      <c r="BF134" s="14">
        <f t="shared" si="145"/>
        <v>1.6104228458716316E-12</v>
      </c>
      <c r="BG134" s="22">
        <f t="shared" si="115"/>
        <v>2.9932409441277661E-12</v>
      </c>
      <c r="BH134" s="60">
        <f t="shared" si="116"/>
        <v>293.33333333333633</v>
      </c>
      <c r="BI134" s="60">
        <f ca="1">AVERAGE(OFFSET($BH$3,0,0,'Données projet'!$E$11+1,1))-AVERAGE(OFFSET($H$3,0,0,'Données projet'!$E$11+1,1))</f>
        <v>389.12604446638119</v>
      </c>
      <c r="BJ134" s="60">
        <f t="shared" si="146"/>
        <v>243.23852967152732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1.0286385077051818E-13</v>
      </c>
      <c r="CA134" s="14">
        <f t="shared" si="147"/>
        <v>1.5402366592183556E-12</v>
      </c>
      <c r="CB134" s="22">
        <f t="shared" si="118"/>
        <v>2.8617333882306215E-12</v>
      </c>
      <c r="CC134" s="60">
        <f t="shared" si="119"/>
        <v>293.33333333333616</v>
      </c>
      <c r="CD134" s="60">
        <f ca="1">AVERAGE(OFFSET($CC$3,0,0,'Données projet'!$E$12+1,1))-AVERAGE(OFFSET($H$3,0,0,'Données projet'!$E$12+1,1))</f>
        <v>371.95849973474657</v>
      </c>
      <c r="CE134" s="60">
        <f t="shared" si="148"/>
        <v>233.32640143610547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1.201754092079358E-14</v>
      </c>
      <c r="CN134" s="24">
        <f t="shared" si="120"/>
        <v>1.201754092079358E-14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1.0995790944434703E-13</v>
      </c>
      <c r="CV134" s="14">
        <f t="shared" si="149"/>
        <v>1.6337280948049956E-12</v>
      </c>
      <c r="CW134" s="22">
        <f t="shared" si="121"/>
        <v>3.036919790734272E-12</v>
      </c>
      <c r="CX134" s="60">
        <f t="shared" si="122"/>
        <v>293.33333333333633</v>
      </c>
      <c r="CY134" s="60">
        <f ca="1">AVERAGE(OFFSET($CX$3,0,0,'Données projet'!$E$13+1,1))-AVERAGE(OFFSET($H$3,0,0,'Données projet'!$E$13+1,1))</f>
        <v>394.8445842828649</v>
      </c>
      <c r="CZ134" s="60">
        <f t="shared" si="150"/>
        <v>246.54010105494143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1.2846336846365559E-14</v>
      </c>
      <c r="DI134" s="24">
        <f t="shared" si="123"/>
        <v>1.2846336846365559E-14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5.6843418860808015E-14</v>
      </c>
      <c r="DP134" s="18">
        <f>DO134*VLOOKUP('Données projet'!$B$14,Paramètres!$A$1:$I$89,3,0)*VLOOKUP('Données projet'!$B$14,Paramètres!$A$1:$I$89,5,0)</f>
        <v>4.9658410716801891E-14</v>
      </c>
      <c r="DQ134" s="14">
        <f t="shared" si="151"/>
        <v>8.0934058173791862E-13</v>
      </c>
      <c r="DR134" s="22">
        <f t="shared" si="124"/>
        <v>1.4960899118586383E-12</v>
      </c>
      <c r="DS134" s="60">
        <f t="shared" si="125"/>
        <v>293.33333333333479</v>
      </c>
      <c r="DT134" s="60">
        <f ca="1">AVERAGE(OFFSET($DS$3,0,0,'Données projet'!$E$14+1,1))-AVERAGE(OFFSET($H$3,0,0,'Données projet'!$E$14+1,1))</f>
        <v>266.98113257513319</v>
      </c>
      <c r="DU134" s="60">
        <f t="shared" si="152"/>
        <v>275.73257102713393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0.67683505456516002</v>
      </c>
      <c r="EC134" s="23">
        <f>EXP(-LN(2)/2)*EC133+(1-EXP(-LN(2)/2))/(LN(2)/2)*DW134*DZ134*VLOOKUP('Données projet'!$B$14,Paramètres!$A$1:$I$89,3,0)*0.475*44/12</f>
        <v>6.5734108772765353E-15</v>
      </c>
      <c r="ED134" s="24">
        <f t="shared" si="126"/>
        <v>0.67683505456516657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1.1368683772161603E-13</v>
      </c>
      <c r="EK134" s="18">
        <f>EJ134*VLOOKUP('Données projet'!$B$15,Paramètres!$A$1:$I$89,3,0)*VLOOKUP('Données projet'!$B$15,Paramètres!$A$1:$I$89,5,0)</f>
        <v>1.2946657079737634E-13</v>
      </c>
      <c r="EL134" s="14">
        <f t="shared" si="153"/>
        <v>1.8873591890224769E-12</v>
      </c>
      <c r="EM134" s="22">
        <f t="shared" si="127"/>
        <v>3.5126381983529106E-12</v>
      </c>
      <c r="EN134" s="60">
        <f t="shared" si="128"/>
        <v>293.33333333333684</v>
      </c>
      <c r="EO134" s="60">
        <f ca="1">AVERAGE(OFFSET($EN$3,0,0,'Données projet'!$E$15+1,1))-AVERAGE(OFFSET($H$3,0,0,'Données projet'!$E$15+1,1))</f>
        <v>457.62828850677369</v>
      </c>
      <c r="EP134" s="60">
        <f t="shared" si="154"/>
        <v>282.78263556175563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1.1368683772161603E-13</v>
      </c>
      <c r="FF134" s="18">
        <f>FE134*VLOOKUP('Données projet'!$B$16,Paramètres!$A$1:$I$89,3,0)*VLOOKUP('Données projet'!$B$16,Paramètres!$A$1:$I$89,5,0)</f>
        <v>1.2414602679200469E-13</v>
      </c>
      <c r="FG134" s="14">
        <f t="shared" si="155"/>
        <v>1.8186582995804361E-12</v>
      </c>
      <c r="FH134" s="22">
        <f t="shared" si="130"/>
        <v>3.3837175350986671E-12</v>
      </c>
      <c r="FI134" s="60">
        <f t="shared" si="131"/>
        <v>293.33333333333672</v>
      </c>
      <c r="FJ134" s="60">
        <f ca="1">AVERAGE(OFFSET($FI$3,0,0,'Données projet'!$E$16+1,1))-AVERAGE(OFFSET($H$3,0,0,'Données projet'!$E$16+1,1))</f>
        <v>440.52623925652182</v>
      </c>
      <c r="FK134" s="60">
        <f t="shared" si="156"/>
        <v>272.91122662088918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3.4106051316484809E-13</v>
      </c>
      <c r="GA134" s="18">
        <f>FZ134*VLOOKUP('Données projet'!$B$17,Paramètres!$A$1:$I$89,3,0)*VLOOKUP('Données projet'!$B$17,Paramètres!$A$1:$I$89,5,0)</f>
        <v>1.5961632016114892E-13</v>
      </c>
      <c r="GB134" s="14">
        <f t="shared" si="157"/>
        <v>2.2708641912150958E-12</v>
      </c>
      <c r="GC134" s="22">
        <f t="shared" si="133"/>
        <v>4.2330868906469593E-12</v>
      </c>
      <c r="GD134" s="60">
        <f t="shared" si="134"/>
        <v>293.33333333333752</v>
      </c>
      <c r="GE134" s="60">
        <f ca="1">AVERAGE(OFFSET($GD$3,0,0,'Données projet'!$E$17+1,1))-AVERAGE(OFFSET($H$3,0,0,'Données projet'!$E$17+1,1))</f>
        <v>317.54276561627643</v>
      </c>
      <c r="GF134" s="60">
        <f t="shared" si="158"/>
        <v>238.92443174298893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>
        <f>GU134*VLOOKUP('Données projet'!$B$18,Paramètres!$A$1:$I$89,3,0)*VLOOKUP('Données projet'!$B$18,Paramètres!$A$1:$I$89,5,0)</f>
        <v>0</v>
      </c>
      <c r="GW134" s="14" t="e">
        <f t="shared" si="159"/>
        <v>#NUM!</v>
      </c>
      <c r="GX134" s="22" t="e">
        <f t="shared" si="136"/>
        <v>#NUM!</v>
      </c>
      <c r="GY134" s="60" t="e">
        <f t="shared" si="137"/>
        <v>#NUM!</v>
      </c>
      <c r="GZ134" s="60">
        <f ca="1">AVERAGE(OFFSET($GY$3,0,0,'Données projet'!$E$18+1,1))-AVERAGE(OFFSET($H$3,0,0,'Données projet'!$E$18+1,1))</f>
        <v>79.868679770907136</v>
      </c>
      <c r="HA134" s="60">
        <f t="shared" si="160"/>
        <v>370.47471103028312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8.406795863765181</v>
      </c>
      <c r="HH134" s="23">
        <f>EXP(-LN(2)/25)*HH133+(1-EXP(-LN(2)/25))/(LN(2)/25)*Calculateur!HC134*Calculateur!HE134*VLOOKUP('Données projet'!$B$18,Paramètres!$A$1:$I$89,3,0)*0.475*44/12</f>
        <v>0.91834589793118804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9.3251417616963685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0">
        <f t="shared" si="109"/>
        <v>293.33333333333439</v>
      </c>
      <c r="S135" s="60">
        <f ca="1">AVERAGE(OFFSET($R$3,0,0,'Données projet'!$E$9+1,1))-AVERAGE(OFFSET($H$3,0,0,'Données projet'!$E$9+1,1))</f>
        <v>206.5885410269899</v>
      </c>
      <c r="T135" s="60">
        <f t="shared" si="142"/>
        <v>347.41156847586302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3.3992364478763198E-14</v>
      </c>
      <c r="AK135" s="14">
        <f t="shared" si="143"/>
        <v>5.790027782444094E-13</v>
      </c>
      <c r="AL135" s="22">
        <f t="shared" si="112"/>
        <v>1.0676332069095257E-12</v>
      </c>
      <c r="AM135" s="60">
        <f t="shared" si="113"/>
        <v>293.33333333333439</v>
      </c>
      <c r="AN135" s="60">
        <f ca="1">AVERAGE(OFFSET($AM$3,0,0,'Données projet'!$E$10+1,1))-AVERAGE(OFFSET($H$3,0,0,'Données projet'!$E$10+1,1))</f>
        <v>206.5885410269899</v>
      </c>
      <c r="AO135" s="60">
        <f t="shared" si="144"/>
        <v>347.41156847586302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14.510747567002634</v>
      </c>
      <c r="AV135" s="23">
        <f>EXP(-LN(2)/25)*AV134+(1-EXP(-LN(2)/25))/(LN(2)/25)*Calculateur!AQ135*Calculateur!AS135*VLOOKUP('Données projet'!$B$10,Paramètres!$A$1:$I$89,3,0)*0.475*44/12</f>
        <v>0.19767150557360988</v>
      </c>
      <c r="AW135" s="23">
        <f>EXP(-LN(2)/2)*AW134+(1-EXP(-LN(2)/2))/(LN(2)/2)*AQ135*AT135*VLOOKUP('Données projet'!$B$10,Paramètres!$A$1:$I$89,3,0)*0.475*44/12</f>
        <v>4.8917254189053219E-13</v>
      </c>
      <c r="AX135" s="23">
        <f t="shared" si="114"/>
        <v>14.708419072576731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1.0818439477588981E-13</v>
      </c>
      <c r="BF135" s="14">
        <f t="shared" si="145"/>
        <v>1.6104228458716316E-12</v>
      </c>
      <c r="BG135" s="22">
        <f t="shared" si="115"/>
        <v>2.9932409441277661E-12</v>
      </c>
      <c r="BH135" s="60">
        <f t="shared" si="116"/>
        <v>293.33333333333633</v>
      </c>
      <c r="BI135" s="60">
        <f ca="1">AVERAGE(OFFSET($BH$3,0,0,'Données projet'!$E$11+1,1))-AVERAGE(OFFSET($H$3,0,0,'Données projet'!$E$11+1,1))</f>
        <v>389.12604446638119</v>
      </c>
      <c r="BJ135" s="60">
        <f t="shared" si="146"/>
        <v>243.23852967152732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1.0286385077051818E-13</v>
      </c>
      <c r="CA135" s="14">
        <f t="shared" si="147"/>
        <v>1.5402366592183556E-12</v>
      </c>
      <c r="CB135" s="22">
        <f t="shared" si="118"/>
        <v>2.8617333882306215E-12</v>
      </c>
      <c r="CC135" s="60">
        <f t="shared" si="119"/>
        <v>293.33333333333616</v>
      </c>
      <c r="CD135" s="60">
        <f ca="1">AVERAGE(OFFSET($CC$3,0,0,'Données projet'!$E$12+1,1))-AVERAGE(OFFSET($H$3,0,0,'Données projet'!$E$12+1,1))</f>
        <v>371.95849973474657</v>
      </c>
      <c r="CE135" s="60">
        <f t="shared" si="148"/>
        <v>233.32640143610547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8.4976846782799665E-15</v>
      </c>
      <c r="CN135" s="24">
        <f t="shared" si="120"/>
        <v>8.4976846782799665E-15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1.0995790944434703E-13</v>
      </c>
      <c r="CV135" s="14">
        <f t="shared" si="149"/>
        <v>1.6337280948049956E-12</v>
      </c>
      <c r="CW135" s="22">
        <f t="shared" si="121"/>
        <v>3.036919790734272E-12</v>
      </c>
      <c r="CX135" s="60">
        <f t="shared" si="122"/>
        <v>293.33333333333633</v>
      </c>
      <c r="CY135" s="60">
        <f ca="1">AVERAGE(OFFSET($CX$3,0,0,'Données projet'!$E$13+1,1))-AVERAGE(OFFSET($H$3,0,0,'Données projet'!$E$13+1,1))</f>
        <v>394.8445842828649</v>
      </c>
      <c r="CZ135" s="60">
        <f t="shared" si="150"/>
        <v>246.54010105494143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9.0837318974716939E-15</v>
      </c>
      <c r="DI135" s="24">
        <f t="shared" si="123"/>
        <v>9.0837318974716939E-15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5.6843418860808015E-14</v>
      </c>
      <c r="DP135" s="18">
        <f>DO135*VLOOKUP('Données projet'!$B$14,Paramètres!$A$1:$I$89,3,0)*VLOOKUP('Données projet'!$B$14,Paramètres!$A$1:$I$89,5,0)</f>
        <v>4.9658410716801891E-14</v>
      </c>
      <c r="DQ135" s="14">
        <f t="shared" si="151"/>
        <v>8.0934058173791862E-13</v>
      </c>
      <c r="DR135" s="22">
        <f t="shared" si="124"/>
        <v>1.4960899118586383E-12</v>
      </c>
      <c r="DS135" s="60">
        <f t="shared" si="125"/>
        <v>293.33333333333479</v>
      </c>
      <c r="DT135" s="60">
        <f ca="1">AVERAGE(OFFSET($DS$3,0,0,'Données projet'!$E$14+1,1))-AVERAGE(OFFSET($H$3,0,0,'Données projet'!$E$14+1,1))</f>
        <v>266.98113257513319</v>
      </c>
      <c r="DU135" s="60">
        <f t="shared" si="152"/>
        <v>275.73257102713393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0.65832696440486715</v>
      </c>
      <c r="EC135" s="23">
        <f>EXP(-LN(2)/2)*EC134+(1-EXP(-LN(2)/2))/(LN(2)/2)*DW135*DZ135*VLOOKUP('Données projet'!$B$14,Paramètres!$A$1:$I$89,3,0)*0.475*44/12</f>
        <v>4.6481034068476504E-15</v>
      </c>
      <c r="ED135" s="24">
        <f t="shared" si="126"/>
        <v>0.65832696440487182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1.1368683772161603E-13</v>
      </c>
      <c r="EK135" s="18">
        <f>EJ135*VLOOKUP('Données projet'!$B$15,Paramètres!$A$1:$I$89,3,0)*VLOOKUP('Données projet'!$B$15,Paramètres!$A$1:$I$89,5,0)</f>
        <v>1.2946657079737634E-13</v>
      </c>
      <c r="EL135" s="14">
        <f t="shared" si="153"/>
        <v>1.8873591890224769E-12</v>
      </c>
      <c r="EM135" s="22">
        <f t="shared" si="127"/>
        <v>3.5126381983529106E-12</v>
      </c>
      <c r="EN135" s="60">
        <f t="shared" si="128"/>
        <v>293.33333333333684</v>
      </c>
      <c r="EO135" s="60">
        <f ca="1">AVERAGE(OFFSET($EN$3,0,0,'Données projet'!$E$15+1,1))-AVERAGE(OFFSET($H$3,0,0,'Données projet'!$E$15+1,1))</f>
        <v>457.62828850677369</v>
      </c>
      <c r="EP135" s="60">
        <f t="shared" si="154"/>
        <v>282.78263556175563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1.1368683772161603E-13</v>
      </c>
      <c r="FF135" s="18">
        <f>FE135*VLOOKUP('Données projet'!$B$16,Paramètres!$A$1:$I$89,3,0)*VLOOKUP('Données projet'!$B$16,Paramètres!$A$1:$I$89,5,0)</f>
        <v>1.2414602679200469E-13</v>
      </c>
      <c r="FG135" s="14">
        <f t="shared" si="155"/>
        <v>1.8186582995804361E-12</v>
      </c>
      <c r="FH135" s="22">
        <f t="shared" si="130"/>
        <v>3.3837175350986671E-12</v>
      </c>
      <c r="FI135" s="60">
        <f t="shared" si="131"/>
        <v>293.33333333333672</v>
      </c>
      <c r="FJ135" s="60">
        <f ca="1">AVERAGE(OFFSET($FI$3,0,0,'Données projet'!$E$16+1,1))-AVERAGE(OFFSET($H$3,0,0,'Données projet'!$E$16+1,1))</f>
        <v>440.52623925652182</v>
      </c>
      <c r="FK135" s="60">
        <f t="shared" si="156"/>
        <v>272.91122662088918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3.4106051316484809E-13</v>
      </c>
      <c r="GA135" s="18">
        <f>FZ135*VLOOKUP('Données projet'!$B$17,Paramètres!$A$1:$I$89,3,0)*VLOOKUP('Données projet'!$B$17,Paramètres!$A$1:$I$89,5,0)</f>
        <v>1.5961632016114892E-13</v>
      </c>
      <c r="GB135" s="14">
        <f t="shared" si="157"/>
        <v>2.2708641912150958E-12</v>
      </c>
      <c r="GC135" s="22">
        <f t="shared" si="133"/>
        <v>4.2330868906469593E-12</v>
      </c>
      <c r="GD135" s="60">
        <f t="shared" si="134"/>
        <v>293.33333333333752</v>
      </c>
      <c r="GE135" s="60">
        <f ca="1">AVERAGE(OFFSET($GD$3,0,0,'Données projet'!$E$17+1,1))-AVERAGE(OFFSET($H$3,0,0,'Données projet'!$E$17+1,1))</f>
        <v>317.54276561627643</v>
      </c>
      <c r="GF135" s="60">
        <f t="shared" si="158"/>
        <v>238.92443174298893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>
        <f>GU135*VLOOKUP('Données projet'!$B$18,Paramètres!$A$1:$I$89,3,0)*VLOOKUP('Données projet'!$B$18,Paramètres!$A$1:$I$89,5,0)</f>
        <v>0</v>
      </c>
      <c r="GW135" s="14" t="e">
        <f t="shared" si="159"/>
        <v>#NUM!</v>
      </c>
      <c r="GX135" s="22" t="e">
        <f t="shared" si="136"/>
        <v>#NUM!</v>
      </c>
      <c r="GY135" s="60" t="e">
        <f t="shared" si="137"/>
        <v>#NUM!</v>
      </c>
      <c r="GZ135" s="60">
        <f ca="1">AVERAGE(OFFSET($GY$3,0,0,'Données projet'!$E$18+1,1))-AVERAGE(OFFSET($H$3,0,0,'Données projet'!$E$18+1,1))</f>
        <v>79.868679770907136</v>
      </c>
      <c r="HA135" s="60">
        <f t="shared" si="160"/>
        <v>370.47471103028312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8.2419437245159095</v>
      </c>
      <c r="HH135" s="23">
        <f>EXP(-LN(2)/25)*HH134+(1-EXP(-LN(2)/25))/(LN(2)/25)*Calculateur!HC135*Calculateur!HE135*VLOOKUP('Données projet'!$B$18,Paramètres!$A$1:$I$89,3,0)*0.475*44/12</f>
        <v>0.89323368105854783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9.1351774055744581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0">
        <f t="shared" si="109"/>
        <v>293.33333333333439</v>
      </c>
      <c r="S136" s="60">
        <f ca="1">AVERAGE(OFFSET($R$3,0,0,'Données projet'!$E$9+1,1))-AVERAGE(OFFSET($H$3,0,0,'Données projet'!$E$9+1,1))</f>
        <v>206.5885410269899</v>
      </c>
      <c r="T136" s="60">
        <f t="shared" si="142"/>
        <v>347.41156847586302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3.3992364478763198E-14</v>
      </c>
      <c r="AK136" s="14">
        <f t="shared" si="143"/>
        <v>5.790027782444094E-13</v>
      </c>
      <c r="AL136" s="22">
        <f t="shared" si="112"/>
        <v>1.0676332069095257E-12</v>
      </c>
      <c r="AM136" s="60">
        <f t="shared" si="113"/>
        <v>293.33333333333439</v>
      </c>
      <c r="AN136" s="60">
        <f ca="1">AVERAGE(OFFSET($AM$3,0,0,'Données projet'!$E$10+1,1))-AVERAGE(OFFSET($H$3,0,0,'Données projet'!$E$10+1,1))</f>
        <v>206.5885410269899</v>
      </c>
      <c r="AO136" s="60">
        <f t="shared" si="144"/>
        <v>347.41156847586302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14.226200657895795</v>
      </c>
      <c r="AV136" s="23">
        <f>EXP(-LN(2)/25)*AV135+(1-EXP(-LN(2)/25))/(LN(2)/25)*Calculateur!AQ136*Calculateur!AS136*VLOOKUP('Données projet'!$B$10,Paramètres!$A$1:$I$89,3,0)*0.475*44/12</f>
        <v>0.19226616785860681</v>
      </c>
      <c r="AW136" s="23">
        <f>EXP(-LN(2)/2)*AW135+(1-EXP(-LN(2)/2))/(LN(2)/2)*AQ136*AT136*VLOOKUP('Données projet'!$B$10,Paramètres!$A$1:$I$89,3,0)*0.475*44/12</f>
        <v>3.458972215410558E-13</v>
      </c>
      <c r="AX136" s="23">
        <f t="shared" si="114"/>
        <v>14.418466825754749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1.0818439477588981E-13</v>
      </c>
      <c r="BF136" s="14">
        <f t="shared" si="145"/>
        <v>1.6104228458716316E-12</v>
      </c>
      <c r="BG136" s="22">
        <f t="shared" si="115"/>
        <v>2.9932409441277661E-12</v>
      </c>
      <c r="BH136" s="60">
        <f t="shared" si="116"/>
        <v>293.33333333333633</v>
      </c>
      <c r="BI136" s="60">
        <f ca="1">AVERAGE(OFFSET($BH$3,0,0,'Données projet'!$E$11+1,1))-AVERAGE(OFFSET($H$3,0,0,'Données projet'!$E$11+1,1))</f>
        <v>389.12604446638119</v>
      </c>
      <c r="BJ136" s="60">
        <f t="shared" si="146"/>
        <v>243.23852967152732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1.0286385077051818E-13</v>
      </c>
      <c r="CA136" s="14">
        <f t="shared" si="147"/>
        <v>1.5402366592183556E-12</v>
      </c>
      <c r="CB136" s="22">
        <f t="shared" si="118"/>
        <v>2.8617333882306215E-12</v>
      </c>
      <c r="CC136" s="60">
        <f t="shared" si="119"/>
        <v>293.33333333333616</v>
      </c>
      <c r="CD136" s="60">
        <f ca="1">AVERAGE(OFFSET($CC$3,0,0,'Données projet'!$E$12+1,1))-AVERAGE(OFFSET($H$3,0,0,'Données projet'!$E$12+1,1))</f>
        <v>371.95849973474657</v>
      </c>
      <c r="CE136" s="60">
        <f t="shared" si="148"/>
        <v>233.32640143610547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6.0087704603967899E-15</v>
      </c>
      <c r="CN136" s="24">
        <f t="shared" si="120"/>
        <v>6.0087704603967899E-15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1.0995790944434703E-13</v>
      </c>
      <c r="CV136" s="14">
        <f t="shared" si="149"/>
        <v>1.6337280948049956E-12</v>
      </c>
      <c r="CW136" s="22">
        <f t="shared" si="121"/>
        <v>3.036919790734272E-12</v>
      </c>
      <c r="CX136" s="60">
        <f t="shared" si="122"/>
        <v>293.33333333333633</v>
      </c>
      <c r="CY136" s="60">
        <f ca="1">AVERAGE(OFFSET($CX$3,0,0,'Données projet'!$E$13+1,1))-AVERAGE(OFFSET($H$3,0,0,'Données projet'!$E$13+1,1))</f>
        <v>394.8445842828649</v>
      </c>
      <c r="CZ136" s="60">
        <f t="shared" si="150"/>
        <v>246.54010105494143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6.4231684231827793E-15</v>
      </c>
      <c r="DI136" s="24">
        <f t="shared" si="123"/>
        <v>6.4231684231827793E-15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5.6843418860808015E-14</v>
      </c>
      <c r="DP136" s="18">
        <f>DO136*VLOOKUP('Données projet'!$B$14,Paramètres!$A$1:$I$89,3,0)*VLOOKUP('Données projet'!$B$14,Paramètres!$A$1:$I$89,5,0)</f>
        <v>4.9658410716801891E-14</v>
      </c>
      <c r="DQ136" s="14">
        <f t="shared" si="151"/>
        <v>8.0934058173791862E-13</v>
      </c>
      <c r="DR136" s="22">
        <f t="shared" si="124"/>
        <v>1.4960899118586383E-12</v>
      </c>
      <c r="DS136" s="60">
        <f t="shared" si="125"/>
        <v>293.33333333333479</v>
      </c>
      <c r="DT136" s="60">
        <f ca="1">AVERAGE(OFFSET($DS$3,0,0,'Données projet'!$E$14+1,1))-AVERAGE(OFFSET($H$3,0,0,'Données projet'!$E$14+1,1))</f>
        <v>266.98113257513319</v>
      </c>
      <c r="DU136" s="60">
        <f t="shared" si="152"/>
        <v>275.73257102713393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0.64032497894330564</v>
      </c>
      <c r="EC136" s="23">
        <f>EXP(-LN(2)/2)*EC135+(1-EXP(-LN(2)/2))/(LN(2)/2)*DW136*DZ136*VLOOKUP('Données projet'!$B$14,Paramètres!$A$1:$I$89,3,0)*0.475*44/12</f>
        <v>3.2867054386382677E-15</v>
      </c>
      <c r="ED136" s="24">
        <f t="shared" si="126"/>
        <v>0.64032497894330898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1.1368683772161603E-13</v>
      </c>
      <c r="EK136" s="18">
        <f>EJ136*VLOOKUP('Données projet'!$B$15,Paramètres!$A$1:$I$89,3,0)*VLOOKUP('Données projet'!$B$15,Paramètres!$A$1:$I$89,5,0)</f>
        <v>1.2946657079737634E-13</v>
      </c>
      <c r="EL136" s="14">
        <f t="shared" si="153"/>
        <v>1.8873591890224769E-12</v>
      </c>
      <c r="EM136" s="22">
        <f t="shared" si="127"/>
        <v>3.5126381983529106E-12</v>
      </c>
      <c r="EN136" s="60">
        <f t="shared" si="128"/>
        <v>293.33333333333684</v>
      </c>
      <c r="EO136" s="60">
        <f ca="1">AVERAGE(OFFSET($EN$3,0,0,'Données projet'!$E$15+1,1))-AVERAGE(OFFSET($H$3,0,0,'Données projet'!$E$15+1,1))</f>
        <v>457.62828850677369</v>
      </c>
      <c r="EP136" s="60">
        <f t="shared" si="154"/>
        <v>282.78263556175563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1.1368683772161603E-13</v>
      </c>
      <c r="FF136" s="18">
        <f>FE136*VLOOKUP('Données projet'!$B$16,Paramètres!$A$1:$I$89,3,0)*VLOOKUP('Données projet'!$B$16,Paramètres!$A$1:$I$89,5,0)</f>
        <v>1.2414602679200469E-13</v>
      </c>
      <c r="FG136" s="14">
        <f t="shared" si="155"/>
        <v>1.8186582995804361E-12</v>
      </c>
      <c r="FH136" s="22">
        <f t="shared" si="130"/>
        <v>3.3837175350986671E-12</v>
      </c>
      <c r="FI136" s="60">
        <f t="shared" si="131"/>
        <v>293.33333333333672</v>
      </c>
      <c r="FJ136" s="60">
        <f ca="1">AVERAGE(OFFSET($FI$3,0,0,'Données projet'!$E$16+1,1))-AVERAGE(OFFSET($H$3,0,0,'Données projet'!$E$16+1,1))</f>
        <v>440.52623925652182</v>
      </c>
      <c r="FK136" s="60">
        <f t="shared" si="156"/>
        <v>272.91122662088918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3.4106051316484809E-13</v>
      </c>
      <c r="GA136" s="18">
        <f>FZ136*VLOOKUP('Données projet'!$B$17,Paramètres!$A$1:$I$89,3,0)*VLOOKUP('Données projet'!$B$17,Paramètres!$A$1:$I$89,5,0)</f>
        <v>1.5961632016114892E-13</v>
      </c>
      <c r="GB136" s="14">
        <f t="shared" si="157"/>
        <v>2.2708641912150958E-12</v>
      </c>
      <c r="GC136" s="22">
        <f t="shared" si="133"/>
        <v>4.2330868906469593E-12</v>
      </c>
      <c r="GD136" s="60">
        <f t="shared" si="134"/>
        <v>293.33333333333752</v>
      </c>
      <c r="GE136" s="60">
        <f ca="1">AVERAGE(OFFSET($GD$3,0,0,'Données projet'!$E$17+1,1))-AVERAGE(OFFSET($H$3,0,0,'Données projet'!$E$17+1,1))</f>
        <v>317.54276561627643</v>
      </c>
      <c r="GF136" s="60">
        <f t="shared" si="158"/>
        <v>238.92443174298893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>
        <f>GU136*VLOOKUP('Données projet'!$B$18,Paramètres!$A$1:$I$89,3,0)*VLOOKUP('Données projet'!$B$18,Paramètres!$A$1:$I$89,5,0)</f>
        <v>0</v>
      </c>
      <c r="GW136" s="14" t="e">
        <f t="shared" si="159"/>
        <v>#NUM!</v>
      </c>
      <c r="GX136" s="22" t="e">
        <f t="shared" si="136"/>
        <v>#NUM!</v>
      </c>
      <c r="GY136" s="60" t="e">
        <f t="shared" si="137"/>
        <v>#NUM!</v>
      </c>
      <c r="GZ136" s="60">
        <f ca="1">AVERAGE(OFFSET($GY$3,0,0,'Données projet'!$E$18+1,1))-AVERAGE(OFFSET($H$3,0,0,'Données projet'!$E$18+1,1))</f>
        <v>79.868679770907136</v>
      </c>
      <c r="HA136" s="60">
        <f t="shared" si="160"/>
        <v>370.47471103028312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8.0803242351674402</v>
      </c>
      <c r="HH136" s="23">
        <f>EXP(-LN(2)/25)*HH135+(1-EXP(-LN(2)/25))/(LN(2)/25)*Calculateur!HC136*Calculateur!HE136*VLOOKUP('Données projet'!$B$18,Paramètres!$A$1:$I$89,3,0)*0.475*44/12</f>
        <v>0.86880815907688402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8.9491323942443248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0">
        <f t="shared" si="109"/>
        <v>293.33333333333439</v>
      </c>
      <c r="S137" s="60">
        <f ca="1">AVERAGE(OFFSET($R$3,0,0,'Données projet'!$E$9+1,1))-AVERAGE(OFFSET($H$3,0,0,'Données projet'!$E$9+1,1))</f>
        <v>206.5885410269899</v>
      </c>
      <c r="T137" s="60">
        <f t="shared" si="142"/>
        <v>347.41156847586302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3.3992364478763198E-14</v>
      </c>
      <c r="AK137" s="14">
        <f t="shared" si="143"/>
        <v>5.790027782444094E-13</v>
      </c>
      <c r="AL137" s="22">
        <f t="shared" si="112"/>
        <v>1.0676332069095257E-12</v>
      </c>
      <c r="AM137" s="60">
        <f t="shared" si="113"/>
        <v>293.33333333333439</v>
      </c>
      <c r="AN137" s="60">
        <f ca="1">AVERAGE(OFFSET($AM$3,0,0,'Données projet'!$E$10+1,1))-AVERAGE(OFFSET($H$3,0,0,'Données projet'!$E$10+1,1))</f>
        <v>206.5885410269899</v>
      </c>
      <c r="AO137" s="60">
        <f t="shared" si="144"/>
        <v>347.41156847586302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13.947233540120065</v>
      </c>
      <c r="AV137" s="23">
        <f>EXP(-LN(2)/25)*AV136+(1-EXP(-LN(2)/25))/(LN(2)/25)*Calculateur!AQ137*Calculateur!AS137*VLOOKUP('Données projet'!$B$10,Paramètres!$A$1:$I$89,3,0)*0.475*44/12</f>
        <v>0.18700863938767487</v>
      </c>
      <c r="AW137" s="23">
        <f>EXP(-LN(2)/2)*AW136+(1-EXP(-LN(2)/2))/(LN(2)/2)*AQ137*AT137*VLOOKUP('Données projet'!$B$10,Paramètres!$A$1:$I$89,3,0)*0.475*44/12</f>
        <v>2.445862709452661E-13</v>
      </c>
      <c r="AX137" s="23">
        <f t="shared" si="114"/>
        <v>14.134242179507986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1.0818439477588981E-13</v>
      </c>
      <c r="BF137" s="14">
        <f t="shared" si="145"/>
        <v>1.6104228458716316E-12</v>
      </c>
      <c r="BG137" s="22">
        <f t="shared" si="115"/>
        <v>2.9932409441277661E-12</v>
      </c>
      <c r="BH137" s="60">
        <f t="shared" si="116"/>
        <v>293.33333333333633</v>
      </c>
      <c r="BI137" s="60">
        <f ca="1">AVERAGE(OFFSET($BH$3,0,0,'Données projet'!$E$11+1,1))-AVERAGE(OFFSET($H$3,0,0,'Données projet'!$E$11+1,1))</f>
        <v>389.12604446638119</v>
      </c>
      <c r="BJ137" s="60">
        <f t="shared" si="146"/>
        <v>243.23852967152732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1.0286385077051818E-13</v>
      </c>
      <c r="CA137" s="14">
        <f t="shared" si="147"/>
        <v>1.5402366592183556E-12</v>
      </c>
      <c r="CB137" s="22">
        <f t="shared" si="118"/>
        <v>2.8617333882306215E-12</v>
      </c>
      <c r="CC137" s="60">
        <f t="shared" si="119"/>
        <v>293.33333333333616</v>
      </c>
      <c r="CD137" s="60">
        <f ca="1">AVERAGE(OFFSET($CC$3,0,0,'Données projet'!$E$12+1,1))-AVERAGE(OFFSET($H$3,0,0,'Données projet'!$E$12+1,1))</f>
        <v>371.95849973474657</v>
      </c>
      <c r="CE137" s="60">
        <f t="shared" si="148"/>
        <v>233.32640143610547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4.2488423391399833E-15</v>
      </c>
      <c r="CN137" s="24">
        <f t="shared" si="120"/>
        <v>4.2488423391399833E-15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1.0995790944434703E-13</v>
      </c>
      <c r="CV137" s="14">
        <f t="shared" si="149"/>
        <v>1.6337280948049956E-12</v>
      </c>
      <c r="CW137" s="22">
        <f t="shared" si="121"/>
        <v>3.036919790734272E-12</v>
      </c>
      <c r="CX137" s="60">
        <f t="shared" si="122"/>
        <v>293.33333333333633</v>
      </c>
      <c r="CY137" s="60">
        <f ca="1">AVERAGE(OFFSET($CX$3,0,0,'Données projet'!$E$13+1,1))-AVERAGE(OFFSET($H$3,0,0,'Données projet'!$E$13+1,1))</f>
        <v>394.8445842828649</v>
      </c>
      <c r="CZ137" s="60">
        <f t="shared" si="150"/>
        <v>246.54010105494143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4.541865948735847E-15</v>
      </c>
      <c r="DI137" s="24">
        <f t="shared" si="123"/>
        <v>4.541865948735847E-15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5.6843418860808015E-14</v>
      </c>
      <c r="DP137" s="18">
        <f>DO137*VLOOKUP('Données projet'!$B$14,Paramètres!$A$1:$I$89,3,0)*VLOOKUP('Données projet'!$B$14,Paramètres!$A$1:$I$89,5,0)</f>
        <v>4.9658410716801891E-14</v>
      </c>
      <c r="DQ137" s="14">
        <f t="shared" si="151"/>
        <v>8.0934058173791862E-13</v>
      </c>
      <c r="DR137" s="22">
        <f t="shared" si="124"/>
        <v>1.4960899118586383E-12</v>
      </c>
      <c r="DS137" s="60">
        <f t="shared" si="125"/>
        <v>293.33333333333479</v>
      </c>
      <c r="DT137" s="60">
        <f ca="1">AVERAGE(OFFSET($DS$3,0,0,'Données projet'!$E$14+1,1))-AVERAGE(OFFSET($H$3,0,0,'Données projet'!$E$14+1,1))</f>
        <v>266.98113257513319</v>
      </c>
      <c r="DU137" s="60">
        <f t="shared" si="152"/>
        <v>275.73257102713393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0.62281525872087384</v>
      </c>
      <c r="EC137" s="23">
        <f>EXP(-LN(2)/2)*EC136+(1-EXP(-LN(2)/2))/(LN(2)/2)*DW137*DZ137*VLOOKUP('Données projet'!$B$14,Paramètres!$A$1:$I$89,3,0)*0.475*44/12</f>
        <v>2.3240517034238252E-15</v>
      </c>
      <c r="ED137" s="24">
        <f t="shared" si="126"/>
        <v>0.62281525872087617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1.1368683772161603E-13</v>
      </c>
      <c r="EK137" s="18">
        <f>EJ137*VLOOKUP('Données projet'!$B$15,Paramètres!$A$1:$I$89,3,0)*VLOOKUP('Données projet'!$B$15,Paramètres!$A$1:$I$89,5,0)</f>
        <v>1.2946657079737634E-13</v>
      </c>
      <c r="EL137" s="14">
        <f t="shared" si="153"/>
        <v>1.8873591890224769E-12</v>
      </c>
      <c r="EM137" s="22">
        <f t="shared" si="127"/>
        <v>3.5126381983529106E-12</v>
      </c>
      <c r="EN137" s="60">
        <f t="shared" si="128"/>
        <v>293.33333333333684</v>
      </c>
      <c r="EO137" s="60">
        <f ca="1">AVERAGE(OFFSET($EN$3,0,0,'Données projet'!$E$15+1,1))-AVERAGE(OFFSET($H$3,0,0,'Données projet'!$E$15+1,1))</f>
        <v>457.62828850677369</v>
      </c>
      <c r="EP137" s="60">
        <f t="shared" si="154"/>
        <v>282.78263556175563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1.1368683772161603E-13</v>
      </c>
      <c r="FF137" s="18">
        <f>FE137*VLOOKUP('Données projet'!$B$16,Paramètres!$A$1:$I$89,3,0)*VLOOKUP('Données projet'!$B$16,Paramètres!$A$1:$I$89,5,0)</f>
        <v>1.2414602679200469E-13</v>
      </c>
      <c r="FG137" s="14">
        <f t="shared" si="155"/>
        <v>1.8186582995804361E-12</v>
      </c>
      <c r="FH137" s="22">
        <f t="shared" si="130"/>
        <v>3.3837175350986671E-12</v>
      </c>
      <c r="FI137" s="60">
        <f t="shared" si="131"/>
        <v>293.33333333333672</v>
      </c>
      <c r="FJ137" s="60">
        <f ca="1">AVERAGE(OFFSET($FI$3,0,0,'Données projet'!$E$16+1,1))-AVERAGE(OFFSET($H$3,0,0,'Données projet'!$E$16+1,1))</f>
        <v>440.52623925652182</v>
      </c>
      <c r="FK137" s="60">
        <f t="shared" si="156"/>
        <v>272.91122662088918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3.4106051316484809E-13</v>
      </c>
      <c r="GA137" s="18">
        <f>FZ137*VLOOKUP('Données projet'!$B$17,Paramètres!$A$1:$I$89,3,0)*VLOOKUP('Données projet'!$B$17,Paramètres!$A$1:$I$89,5,0)</f>
        <v>1.5961632016114892E-13</v>
      </c>
      <c r="GB137" s="14">
        <f t="shared" si="157"/>
        <v>2.2708641912150958E-12</v>
      </c>
      <c r="GC137" s="22">
        <f t="shared" si="133"/>
        <v>4.2330868906469593E-12</v>
      </c>
      <c r="GD137" s="60">
        <f t="shared" si="134"/>
        <v>293.33333333333752</v>
      </c>
      <c r="GE137" s="60">
        <f ca="1">AVERAGE(OFFSET($GD$3,0,0,'Données projet'!$E$17+1,1))-AVERAGE(OFFSET($H$3,0,0,'Données projet'!$E$17+1,1))</f>
        <v>317.54276561627643</v>
      </c>
      <c r="GF137" s="60">
        <f t="shared" si="158"/>
        <v>238.92443174298893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>
        <f>GU137*VLOOKUP('Données projet'!$B$18,Paramètres!$A$1:$I$89,3,0)*VLOOKUP('Données projet'!$B$18,Paramètres!$A$1:$I$89,5,0)</f>
        <v>0</v>
      </c>
      <c r="GW137" s="14" t="e">
        <f t="shared" si="159"/>
        <v>#NUM!</v>
      </c>
      <c r="GX137" s="22" t="e">
        <f t="shared" si="136"/>
        <v>#NUM!</v>
      </c>
      <c r="GY137" s="60" t="e">
        <f t="shared" si="137"/>
        <v>#NUM!</v>
      </c>
      <c r="GZ137" s="60">
        <f ca="1">AVERAGE(OFFSET($GY$3,0,0,'Données projet'!$E$18+1,1))-AVERAGE(OFFSET($H$3,0,0,'Données projet'!$E$18+1,1))</f>
        <v>79.868679770907136</v>
      </c>
      <c r="HA137" s="60">
        <f t="shared" si="160"/>
        <v>370.47471103028312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7.9218740054269405</v>
      </c>
      <c r="HH137" s="23">
        <f>EXP(-LN(2)/25)*HH136+(1-EXP(-LN(2)/25))/(LN(2)/25)*Calculateur!HC137*Calculateur!HE137*VLOOKUP('Données projet'!$B$18,Paramètres!$A$1:$I$89,3,0)*0.475*44/12</f>
        <v>0.84505055427829123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8.766924559705231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0">
        <f t="shared" si="109"/>
        <v>293.33333333333439</v>
      </c>
      <c r="S138" s="60">
        <f ca="1">AVERAGE(OFFSET($R$3,0,0,'Données projet'!$E$9+1,1))-AVERAGE(OFFSET($H$3,0,0,'Données projet'!$E$9+1,1))</f>
        <v>206.5885410269899</v>
      </c>
      <c r="T138" s="60">
        <f t="shared" si="142"/>
        <v>347.41156847586302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3.3992364478763198E-14</v>
      </c>
      <c r="AK138" s="14">
        <f t="shared" si="143"/>
        <v>5.790027782444094E-13</v>
      </c>
      <c r="AL138" s="22">
        <f t="shared" si="112"/>
        <v>1.0676332069095257E-12</v>
      </c>
      <c r="AM138" s="60">
        <f t="shared" si="113"/>
        <v>293.33333333333439</v>
      </c>
      <c r="AN138" s="60">
        <f ca="1">AVERAGE(OFFSET($AM$3,0,0,'Données projet'!$E$10+1,1))-AVERAGE(OFFSET($H$3,0,0,'Données projet'!$E$10+1,1))</f>
        <v>206.5885410269899</v>
      </c>
      <c r="AO138" s="60">
        <f t="shared" si="144"/>
        <v>347.41156847586302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13.673736797370776</v>
      </c>
      <c r="AV138" s="23">
        <f>EXP(-LN(2)/25)*AV137+(1-EXP(-LN(2)/25))/(LN(2)/25)*Calculateur!AQ138*Calculateur!AS138*VLOOKUP('Données projet'!$B$10,Paramètres!$A$1:$I$89,3,0)*0.475*44/12</f>
        <v>0.18189487830926196</v>
      </c>
      <c r="AW138" s="23">
        <f>EXP(-LN(2)/2)*AW137+(1-EXP(-LN(2)/2))/(LN(2)/2)*AQ138*AT138*VLOOKUP('Données projet'!$B$10,Paramètres!$A$1:$I$89,3,0)*0.475*44/12</f>
        <v>1.729486107705279E-13</v>
      </c>
      <c r="AX138" s="23">
        <f t="shared" si="114"/>
        <v>13.855631675680209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1.0818439477588981E-13</v>
      </c>
      <c r="BF138" s="14">
        <f t="shared" si="145"/>
        <v>1.6104228458716316E-12</v>
      </c>
      <c r="BG138" s="22">
        <f t="shared" si="115"/>
        <v>2.9932409441277661E-12</v>
      </c>
      <c r="BH138" s="60">
        <f t="shared" si="116"/>
        <v>293.33333333333633</v>
      </c>
      <c r="BI138" s="60">
        <f ca="1">AVERAGE(OFFSET($BH$3,0,0,'Données projet'!$E$11+1,1))-AVERAGE(OFFSET($H$3,0,0,'Données projet'!$E$11+1,1))</f>
        <v>389.12604446638119</v>
      </c>
      <c r="BJ138" s="60">
        <f t="shared" si="146"/>
        <v>243.23852967152732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1.0286385077051818E-13</v>
      </c>
      <c r="CA138" s="14">
        <f t="shared" si="147"/>
        <v>1.5402366592183556E-12</v>
      </c>
      <c r="CB138" s="22">
        <f t="shared" si="118"/>
        <v>2.8617333882306215E-12</v>
      </c>
      <c r="CC138" s="60">
        <f t="shared" si="119"/>
        <v>293.33333333333616</v>
      </c>
      <c r="CD138" s="60">
        <f ca="1">AVERAGE(OFFSET($CC$3,0,0,'Données projet'!$E$12+1,1))-AVERAGE(OFFSET($H$3,0,0,'Données projet'!$E$12+1,1))</f>
        <v>371.95849973474657</v>
      </c>
      <c r="CE138" s="60">
        <f t="shared" si="148"/>
        <v>233.32640143610547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3.0043852301983949E-15</v>
      </c>
      <c r="CN138" s="24">
        <f t="shared" si="120"/>
        <v>3.0043852301983949E-15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1.0995790944434703E-13</v>
      </c>
      <c r="CV138" s="14">
        <f t="shared" si="149"/>
        <v>1.6337280948049956E-12</v>
      </c>
      <c r="CW138" s="22">
        <f t="shared" si="121"/>
        <v>3.036919790734272E-12</v>
      </c>
      <c r="CX138" s="60">
        <f t="shared" si="122"/>
        <v>293.33333333333633</v>
      </c>
      <c r="CY138" s="60">
        <f ca="1">AVERAGE(OFFSET($CX$3,0,0,'Données projet'!$E$13+1,1))-AVERAGE(OFFSET($H$3,0,0,'Données projet'!$E$13+1,1))</f>
        <v>394.8445842828649</v>
      </c>
      <c r="CZ138" s="60">
        <f t="shared" si="150"/>
        <v>246.54010105494143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3.2115842115913897E-15</v>
      </c>
      <c r="DI138" s="24">
        <f t="shared" si="123"/>
        <v>3.2115842115913897E-15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5.6843418860808015E-14</v>
      </c>
      <c r="DP138" s="18">
        <f>DO138*VLOOKUP('Données projet'!$B$14,Paramètres!$A$1:$I$89,3,0)*VLOOKUP('Données projet'!$B$14,Paramètres!$A$1:$I$89,5,0)</f>
        <v>4.9658410716801891E-14</v>
      </c>
      <c r="DQ138" s="14">
        <f t="shared" si="151"/>
        <v>8.0934058173791862E-13</v>
      </c>
      <c r="DR138" s="22">
        <f t="shared" si="124"/>
        <v>1.4960899118586383E-12</v>
      </c>
      <c r="DS138" s="60">
        <f t="shared" si="125"/>
        <v>293.33333333333479</v>
      </c>
      <c r="DT138" s="60">
        <f ca="1">AVERAGE(OFFSET($DS$3,0,0,'Données projet'!$E$14+1,1))-AVERAGE(OFFSET($H$3,0,0,'Données projet'!$E$14+1,1))</f>
        <v>266.98113257513319</v>
      </c>
      <c r="DU138" s="60">
        <f t="shared" si="152"/>
        <v>275.73257102713393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0.6057843427187205</v>
      </c>
      <c r="EC138" s="23">
        <f>EXP(-LN(2)/2)*EC137+(1-EXP(-LN(2)/2))/(LN(2)/2)*DW138*DZ138*VLOOKUP('Données projet'!$B$14,Paramètres!$A$1:$I$89,3,0)*0.475*44/12</f>
        <v>1.6433527193191338E-15</v>
      </c>
      <c r="ED138" s="24">
        <f t="shared" si="126"/>
        <v>0.60578434271872217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1.1368683772161603E-13</v>
      </c>
      <c r="EK138" s="18">
        <f>EJ138*VLOOKUP('Données projet'!$B$15,Paramètres!$A$1:$I$89,3,0)*VLOOKUP('Données projet'!$B$15,Paramètres!$A$1:$I$89,5,0)</f>
        <v>1.2946657079737634E-13</v>
      </c>
      <c r="EL138" s="14">
        <f t="shared" si="153"/>
        <v>1.8873591890224769E-12</v>
      </c>
      <c r="EM138" s="22">
        <f t="shared" si="127"/>
        <v>3.5126381983529106E-12</v>
      </c>
      <c r="EN138" s="60">
        <f t="shared" si="128"/>
        <v>293.33333333333684</v>
      </c>
      <c r="EO138" s="60">
        <f ca="1">AVERAGE(OFFSET($EN$3,0,0,'Données projet'!$E$15+1,1))-AVERAGE(OFFSET($H$3,0,0,'Données projet'!$E$15+1,1))</f>
        <v>457.62828850677369</v>
      </c>
      <c r="EP138" s="60">
        <f t="shared" si="154"/>
        <v>282.78263556175563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1.1368683772161603E-13</v>
      </c>
      <c r="FF138" s="18">
        <f>FE138*VLOOKUP('Données projet'!$B$16,Paramètres!$A$1:$I$89,3,0)*VLOOKUP('Données projet'!$B$16,Paramètres!$A$1:$I$89,5,0)</f>
        <v>1.2414602679200469E-13</v>
      </c>
      <c r="FG138" s="14">
        <f t="shared" si="155"/>
        <v>1.8186582995804361E-12</v>
      </c>
      <c r="FH138" s="22">
        <f t="shared" si="130"/>
        <v>3.3837175350986671E-12</v>
      </c>
      <c r="FI138" s="60">
        <f t="shared" si="131"/>
        <v>293.33333333333672</v>
      </c>
      <c r="FJ138" s="60">
        <f ca="1">AVERAGE(OFFSET($FI$3,0,0,'Données projet'!$E$16+1,1))-AVERAGE(OFFSET($H$3,0,0,'Données projet'!$E$16+1,1))</f>
        <v>440.52623925652182</v>
      </c>
      <c r="FK138" s="60">
        <f t="shared" si="156"/>
        <v>272.91122662088918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3.4106051316484809E-13</v>
      </c>
      <c r="GA138" s="18">
        <f>FZ138*VLOOKUP('Données projet'!$B$17,Paramètres!$A$1:$I$89,3,0)*VLOOKUP('Données projet'!$B$17,Paramètres!$A$1:$I$89,5,0)</f>
        <v>1.5961632016114892E-13</v>
      </c>
      <c r="GB138" s="14">
        <f t="shared" si="157"/>
        <v>2.2708641912150958E-12</v>
      </c>
      <c r="GC138" s="22">
        <f t="shared" si="133"/>
        <v>4.2330868906469593E-12</v>
      </c>
      <c r="GD138" s="60">
        <f t="shared" si="134"/>
        <v>293.33333333333752</v>
      </c>
      <c r="GE138" s="60">
        <f ca="1">AVERAGE(OFFSET($GD$3,0,0,'Données projet'!$E$17+1,1))-AVERAGE(OFFSET($H$3,0,0,'Données projet'!$E$17+1,1))</f>
        <v>317.54276561627643</v>
      </c>
      <c r="GF138" s="60">
        <f t="shared" si="158"/>
        <v>238.92443174298893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>
        <f>GU138*VLOOKUP('Données projet'!$B$18,Paramètres!$A$1:$I$89,3,0)*VLOOKUP('Données projet'!$B$18,Paramètres!$A$1:$I$89,5,0)</f>
        <v>0</v>
      </c>
      <c r="GW138" s="14" t="e">
        <f t="shared" si="159"/>
        <v>#NUM!</v>
      </c>
      <c r="GX138" s="22" t="e">
        <f t="shared" si="136"/>
        <v>#NUM!</v>
      </c>
      <c r="GY138" s="60" t="e">
        <f t="shared" si="137"/>
        <v>#NUM!</v>
      </c>
      <c r="GZ138" s="60">
        <f ca="1">AVERAGE(OFFSET($GY$3,0,0,'Données projet'!$E$18+1,1))-AVERAGE(OFFSET($H$3,0,0,'Données projet'!$E$18+1,1))</f>
        <v>79.868679770907136</v>
      </c>
      <c r="HA138" s="60">
        <f t="shared" si="160"/>
        <v>370.47471103028312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7.766530888046554</v>
      </c>
      <c r="HH138" s="23">
        <f>EXP(-LN(2)/25)*HH137+(1-EXP(-LN(2)/25))/(LN(2)/25)*Calculateur!HC138*Calculateur!HE138*VLOOKUP('Données projet'!$B$18,Paramètres!$A$1:$I$89,3,0)*0.475*44/12</f>
        <v>0.82194260243227413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8.5884734904788278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0">
        <f t="shared" si="109"/>
        <v>293.33333333333439</v>
      </c>
      <c r="S139" s="60">
        <f ca="1">AVERAGE(OFFSET($R$3,0,0,'Données projet'!$E$9+1,1))-AVERAGE(OFFSET($H$3,0,0,'Données projet'!$E$9+1,1))</f>
        <v>206.5885410269899</v>
      </c>
      <c r="T139" s="60">
        <f t="shared" si="142"/>
        <v>347.41156847586302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3.3992364478763198E-14</v>
      </c>
      <c r="AK139" s="14">
        <f t="shared" si="143"/>
        <v>5.790027782444094E-13</v>
      </c>
      <c r="AL139" s="22">
        <f t="shared" si="112"/>
        <v>1.0676332069095257E-12</v>
      </c>
      <c r="AM139" s="60">
        <f t="shared" si="113"/>
        <v>293.33333333333439</v>
      </c>
      <c r="AN139" s="60">
        <f ca="1">AVERAGE(OFFSET($AM$3,0,0,'Données projet'!$E$10+1,1))-AVERAGE(OFFSET($H$3,0,0,'Données projet'!$E$10+1,1))</f>
        <v>206.5885410269899</v>
      </c>
      <c r="AO139" s="60">
        <f t="shared" si="144"/>
        <v>347.41156847586302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13.405603158930258</v>
      </c>
      <c r="AV139" s="23">
        <f>EXP(-LN(2)/25)*AV138+(1-EXP(-LN(2)/25))/(LN(2)/25)*Calculateur!AQ139*Calculateur!AS139*VLOOKUP('Données projet'!$B$10,Paramètres!$A$1:$I$89,3,0)*0.475*44/12</f>
        <v>0.17692095329645927</v>
      </c>
      <c r="AW139" s="23">
        <f>EXP(-LN(2)/2)*AW138+(1-EXP(-LN(2)/2))/(LN(2)/2)*AQ139*AT139*VLOOKUP('Données projet'!$B$10,Paramètres!$A$1:$I$89,3,0)*0.475*44/12</f>
        <v>1.2229313547263305E-13</v>
      </c>
      <c r="AX139" s="23">
        <f t="shared" si="114"/>
        <v>13.582524112226841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1.0818439477588981E-13</v>
      </c>
      <c r="BF139" s="14">
        <f t="shared" si="145"/>
        <v>1.6104228458716316E-12</v>
      </c>
      <c r="BG139" s="22">
        <f t="shared" si="115"/>
        <v>2.9932409441277661E-12</v>
      </c>
      <c r="BH139" s="60">
        <f t="shared" si="116"/>
        <v>293.33333333333633</v>
      </c>
      <c r="BI139" s="60">
        <f ca="1">AVERAGE(OFFSET($BH$3,0,0,'Données projet'!$E$11+1,1))-AVERAGE(OFFSET($H$3,0,0,'Données projet'!$E$11+1,1))</f>
        <v>389.12604446638119</v>
      </c>
      <c r="BJ139" s="60">
        <f t="shared" si="146"/>
        <v>243.23852967152732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1.0286385077051818E-13</v>
      </c>
      <c r="CA139" s="14">
        <f t="shared" si="147"/>
        <v>1.5402366592183556E-12</v>
      </c>
      <c r="CB139" s="22">
        <f t="shared" si="118"/>
        <v>2.8617333882306215E-12</v>
      </c>
      <c r="CC139" s="60">
        <f t="shared" si="119"/>
        <v>293.33333333333616</v>
      </c>
      <c r="CD139" s="60">
        <f ca="1">AVERAGE(OFFSET($CC$3,0,0,'Données projet'!$E$12+1,1))-AVERAGE(OFFSET($H$3,0,0,'Données projet'!$E$12+1,1))</f>
        <v>371.95849973474657</v>
      </c>
      <c r="CE139" s="60">
        <f t="shared" si="148"/>
        <v>233.32640143610547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2.1244211695699916E-15</v>
      </c>
      <c r="CN139" s="24">
        <f t="shared" si="120"/>
        <v>2.1244211695699916E-15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1.0995790944434703E-13</v>
      </c>
      <c r="CV139" s="14">
        <f t="shared" si="149"/>
        <v>1.6337280948049956E-12</v>
      </c>
      <c r="CW139" s="22">
        <f t="shared" si="121"/>
        <v>3.036919790734272E-12</v>
      </c>
      <c r="CX139" s="60">
        <f t="shared" si="122"/>
        <v>293.33333333333633</v>
      </c>
      <c r="CY139" s="60">
        <f ca="1">AVERAGE(OFFSET($CX$3,0,0,'Données projet'!$E$13+1,1))-AVERAGE(OFFSET($H$3,0,0,'Données projet'!$E$13+1,1))</f>
        <v>394.8445842828649</v>
      </c>
      <c r="CZ139" s="60">
        <f t="shared" si="150"/>
        <v>246.54010105494143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2.2709329743679235E-15</v>
      </c>
      <c r="DI139" s="24">
        <f t="shared" si="123"/>
        <v>2.2709329743679235E-15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5.6843418860808015E-14</v>
      </c>
      <c r="DP139" s="18">
        <f>DO139*VLOOKUP('Données projet'!$B$14,Paramètres!$A$1:$I$89,3,0)*VLOOKUP('Données projet'!$B$14,Paramètres!$A$1:$I$89,5,0)</f>
        <v>4.9658410716801891E-14</v>
      </c>
      <c r="DQ139" s="14">
        <f t="shared" si="151"/>
        <v>8.0934058173791862E-13</v>
      </c>
      <c r="DR139" s="22">
        <f t="shared" si="124"/>
        <v>1.4960899118586383E-12</v>
      </c>
      <c r="DS139" s="60">
        <f t="shared" si="125"/>
        <v>293.33333333333479</v>
      </c>
      <c r="DT139" s="60">
        <f ca="1">AVERAGE(OFFSET($DS$3,0,0,'Données projet'!$E$14+1,1))-AVERAGE(OFFSET($H$3,0,0,'Données projet'!$E$14+1,1))</f>
        <v>266.98113257513319</v>
      </c>
      <c r="DU139" s="60">
        <f t="shared" si="152"/>
        <v>275.73257102713393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0.58921913801026304</v>
      </c>
      <c r="EC139" s="23">
        <f>EXP(-LN(2)/2)*EC138+(1-EXP(-LN(2)/2))/(LN(2)/2)*DW139*DZ139*VLOOKUP('Données projet'!$B$14,Paramètres!$A$1:$I$89,3,0)*0.475*44/12</f>
        <v>1.1620258517119126E-15</v>
      </c>
      <c r="ED139" s="24">
        <f t="shared" si="126"/>
        <v>0.58921913801026415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1.1368683772161603E-13</v>
      </c>
      <c r="EK139" s="18">
        <f>EJ139*VLOOKUP('Données projet'!$B$15,Paramètres!$A$1:$I$89,3,0)*VLOOKUP('Données projet'!$B$15,Paramètres!$A$1:$I$89,5,0)</f>
        <v>1.2946657079737634E-13</v>
      </c>
      <c r="EL139" s="14">
        <f t="shared" si="153"/>
        <v>1.8873591890224769E-12</v>
      </c>
      <c r="EM139" s="22">
        <f t="shared" si="127"/>
        <v>3.5126381983529106E-12</v>
      </c>
      <c r="EN139" s="60">
        <f t="shared" si="128"/>
        <v>293.33333333333684</v>
      </c>
      <c r="EO139" s="60">
        <f ca="1">AVERAGE(OFFSET($EN$3,0,0,'Données projet'!$E$15+1,1))-AVERAGE(OFFSET($H$3,0,0,'Données projet'!$E$15+1,1))</f>
        <v>457.62828850677369</v>
      </c>
      <c r="EP139" s="60">
        <f t="shared" si="154"/>
        <v>282.78263556175563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1.1368683772161603E-13</v>
      </c>
      <c r="FF139" s="18">
        <f>FE139*VLOOKUP('Données projet'!$B$16,Paramètres!$A$1:$I$89,3,0)*VLOOKUP('Données projet'!$B$16,Paramètres!$A$1:$I$89,5,0)</f>
        <v>1.2414602679200469E-13</v>
      </c>
      <c r="FG139" s="14">
        <f t="shared" si="155"/>
        <v>1.8186582995804361E-12</v>
      </c>
      <c r="FH139" s="22">
        <f t="shared" si="130"/>
        <v>3.3837175350986671E-12</v>
      </c>
      <c r="FI139" s="60">
        <f t="shared" si="131"/>
        <v>293.33333333333672</v>
      </c>
      <c r="FJ139" s="60">
        <f ca="1">AVERAGE(OFFSET($FI$3,0,0,'Données projet'!$E$16+1,1))-AVERAGE(OFFSET($H$3,0,0,'Données projet'!$E$16+1,1))</f>
        <v>440.52623925652182</v>
      </c>
      <c r="FK139" s="60">
        <f t="shared" si="156"/>
        <v>272.91122662088918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3.4106051316484809E-13</v>
      </c>
      <c r="GA139" s="18">
        <f>FZ139*VLOOKUP('Données projet'!$B$17,Paramètres!$A$1:$I$89,3,0)*VLOOKUP('Données projet'!$B$17,Paramètres!$A$1:$I$89,5,0)</f>
        <v>1.5961632016114892E-13</v>
      </c>
      <c r="GB139" s="14">
        <f t="shared" si="157"/>
        <v>2.2708641912150958E-12</v>
      </c>
      <c r="GC139" s="22">
        <f t="shared" si="133"/>
        <v>4.2330868906469593E-12</v>
      </c>
      <c r="GD139" s="60">
        <f t="shared" si="134"/>
        <v>293.33333333333752</v>
      </c>
      <c r="GE139" s="60">
        <f ca="1">AVERAGE(OFFSET($GD$3,0,0,'Données projet'!$E$17+1,1))-AVERAGE(OFFSET($H$3,0,0,'Données projet'!$E$17+1,1))</f>
        <v>317.54276561627643</v>
      </c>
      <c r="GF139" s="60">
        <f t="shared" si="158"/>
        <v>238.92443174298893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>
        <f>GU139*VLOOKUP('Données projet'!$B$18,Paramètres!$A$1:$I$89,3,0)*VLOOKUP('Données projet'!$B$18,Paramètres!$A$1:$I$89,5,0)</f>
        <v>0</v>
      </c>
      <c r="GW139" s="14" t="e">
        <f t="shared" si="159"/>
        <v>#NUM!</v>
      </c>
      <c r="GX139" s="22" t="e">
        <f t="shared" si="136"/>
        <v>#NUM!</v>
      </c>
      <c r="GY139" s="60" t="e">
        <f t="shared" si="137"/>
        <v>#NUM!</v>
      </c>
      <c r="GZ139" s="60">
        <f ca="1">AVERAGE(OFFSET($GY$3,0,0,'Données projet'!$E$18+1,1))-AVERAGE(OFFSET($H$3,0,0,'Données projet'!$E$18+1,1))</f>
        <v>79.868679770907136</v>
      </c>
      <c r="HA139" s="60">
        <f t="shared" si="160"/>
        <v>370.47471103028312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7.6142339544480517</v>
      </c>
      <c r="HH139" s="23">
        <f>EXP(-LN(2)/25)*HH138+(1-EXP(-LN(2)/25))/(LN(2)/25)*Calculateur!HC139*Calculateur!HE139*VLOOKUP('Données projet'!$B$18,Paramètres!$A$1:$I$89,3,0)*0.475*44/12</f>
        <v>0.79946653874468065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8.4137004931927315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0">
        <f t="shared" si="109"/>
        <v>293.33333333333439</v>
      </c>
      <c r="S140" s="60">
        <f ca="1">AVERAGE(OFFSET($R$3,0,0,'Données projet'!$E$9+1,1))-AVERAGE(OFFSET($H$3,0,0,'Données projet'!$E$9+1,1))</f>
        <v>206.5885410269899</v>
      </c>
      <c r="T140" s="60">
        <f t="shared" si="142"/>
        <v>347.41156847586302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3.3992364478763198E-14</v>
      </c>
      <c r="AK140" s="14">
        <f t="shared" si="143"/>
        <v>5.790027782444094E-13</v>
      </c>
      <c r="AL140" s="22">
        <f t="shared" si="112"/>
        <v>1.0676332069095257E-12</v>
      </c>
      <c r="AM140" s="60">
        <f t="shared" si="113"/>
        <v>293.33333333333439</v>
      </c>
      <c r="AN140" s="60">
        <f ca="1">AVERAGE(OFFSET($AM$3,0,0,'Données projet'!$E$10+1,1))-AVERAGE(OFFSET($H$3,0,0,'Données projet'!$E$10+1,1))</f>
        <v>206.5885410269899</v>
      </c>
      <c r="AO140" s="60">
        <f t="shared" si="144"/>
        <v>347.41156847586302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13.142727457594189</v>
      </c>
      <c r="AV140" s="23">
        <f>EXP(-LN(2)/25)*AV139+(1-EXP(-LN(2)/25))/(LN(2)/25)*Calculateur!AQ140*Calculateur!AS140*VLOOKUP('Données projet'!$B$10,Paramètres!$A$1:$I$89,3,0)*0.475*44/12</f>
        <v>0.172083040524699</v>
      </c>
      <c r="AW140" s="23">
        <f>EXP(-LN(2)/2)*AW139+(1-EXP(-LN(2)/2))/(LN(2)/2)*AQ140*AT140*VLOOKUP('Données projet'!$B$10,Paramètres!$A$1:$I$89,3,0)*0.475*44/12</f>
        <v>8.647430538526395E-14</v>
      </c>
      <c r="AX140" s="23">
        <f t="shared" si="114"/>
        <v>13.314810498118975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1.0818439477588981E-13</v>
      </c>
      <c r="BF140" s="14">
        <f t="shared" si="145"/>
        <v>1.6104228458716316E-12</v>
      </c>
      <c r="BG140" s="22">
        <f t="shared" si="115"/>
        <v>2.9932409441277661E-12</v>
      </c>
      <c r="BH140" s="60">
        <f t="shared" si="116"/>
        <v>293.33333333333633</v>
      </c>
      <c r="BI140" s="60">
        <f ca="1">AVERAGE(OFFSET($BH$3,0,0,'Données projet'!$E$11+1,1))-AVERAGE(OFFSET($H$3,0,0,'Données projet'!$E$11+1,1))</f>
        <v>389.12604446638119</v>
      </c>
      <c r="BJ140" s="60">
        <f t="shared" si="146"/>
        <v>243.23852967152732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1.0286385077051818E-13</v>
      </c>
      <c r="CA140" s="14">
        <f t="shared" si="147"/>
        <v>1.5402366592183556E-12</v>
      </c>
      <c r="CB140" s="22">
        <f t="shared" si="118"/>
        <v>2.8617333882306215E-12</v>
      </c>
      <c r="CC140" s="60">
        <f t="shared" si="119"/>
        <v>293.33333333333616</v>
      </c>
      <c r="CD140" s="60">
        <f ca="1">AVERAGE(OFFSET($CC$3,0,0,'Données projet'!$E$12+1,1))-AVERAGE(OFFSET($H$3,0,0,'Données projet'!$E$12+1,1))</f>
        <v>371.95849973474657</v>
      </c>
      <c r="CE140" s="60">
        <f t="shared" si="148"/>
        <v>233.32640143610547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1.5021926150991975E-15</v>
      </c>
      <c r="CN140" s="24">
        <f t="shared" si="120"/>
        <v>1.5021926150991975E-15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1.0995790944434703E-13</v>
      </c>
      <c r="CV140" s="14">
        <f t="shared" si="149"/>
        <v>1.6337280948049956E-12</v>
      </c>
      <c r="CW140" s="22">
        <f t="shared" si="121"/>
        <v>3.036919790734272E-12</v>
      </c>
      <c r="CX140" s="60">
        <f t="shared" si="122"/>
        <v>293.33333333333633</v>
      </c>
      <c r="CY140" s="60">
        <f ca="1">AVERAGE(OFFSET($CX$3,0,0,'Données projet'!$E$13+1,1))-AVERAGE(OFFSET($H$3,0,0,'Données projet'!$E$13+1,1))</f>
        <v>394.8445842828649</v>
      </c>
      <c r="CZ140" s="60">
        <f t="shared" si="150"/>
        <v>246.54010105494143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1.6057921057956948E-15</v>
      </c>
      <c r="DI140" s="24">
        <f t="shared" si="123"/>
        <v>1.6057921057956948E-15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5.6843418860808015E-14</v>
      </c>
      <c r="DP140" s="18">
        <f>DO140*VLOOKUP('Données projet'!$B$14,Paramètres!$A$1:$I$89,3,0)*VLOOKUP('Données projet'!$B$14,Paramètres!$A$1:$I$89,5,0)</f>
        <v>4.9658410716801891E-14</v>
      </c>
      <c r="DQ140" s="14">
        <f t="shared" si="151"/>
        <v>8.0934058173791862E-13</v>
      </c>
      <c r="DR140" s="22">
        <f t="shared" si="124"/>
        <v>1.4960899118586383E-12</v>
      </c>
      <c r="DS140" s="60">
        <f t="shared" si="125"/>
        <v>293.33333333333479</v>
      </c>
      <c r="DT140" s="60">
        <f ca="1">AVERAGE(OFFSET($DS$3,0,0,'Données projet'!$E$14+1,1))-AVERAGE(OFFSET($H$3,0,0,'Données projet'!$E$14+1,1))</f>
        <v>266.98113257513319</v>
      </c>
      <c r="DU140" s="60">
        <f t="shared" si="152"/>
        <v>275.73257102713393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0.57310690969568456</v>
      </c>
      <c r="EC140" s="23">
        <f>EXP(-LN(2)/2)*EC139+(1-EXP(-LN(2)/2))/(LN(2)/2)*DW140*DZ140*VLOOKUP('Données projet'!$B$14,Paramètres!$A$1:$I$89,3,0)*0.475*44/12</f>
        <v>8.2167635965956692E-16</v>
      </c>
      <c r="ED140" s="24">
        <f t="shared" si="126"/>
        <v>0.57310690969568534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1.1368683772161603E-13</v>
      </c>
      <c r="EK140" s="18">
        <f>EJ140*VLOOKUP('Données projet'!$B$15,Paramètres!$A$1:$I$89,3,0)*VLOOKUP('Données projet'!$B$15,Paramètres!$A$1:$I$89,5,0)</f>
        <v>1.2946657079737634E-13</v>
      </c>
      <c r="EL140" s="14">
        <f t="shared" si="153"/>
        <v>1.8873591890224769E-12</v>
      </c>
      <c r="EM140" s="22">
        <f t="shared" si="127"/>
        <v>3.5126381983529106E-12</v>
      </c>
      <c r="EN140" s="60">
        <f t="shared" si="128"/>
        <v>293.33333333333684</v>
      </c>
      <c r="EO140" s="60">
        <f ca="1">AVERAGE(OFFSET($EN$3,0,0,'Données projet'!$E$15+1,1))-AVERAGE(OFFSET($H$3,0,0,'Données projet'!$E$15+1,1))</f>
        <v>457.62828850677369</v>
      </c>
      <c r="EP140" s="60">
        <f t="shared" si="154"/>
        <v>282.78263556175563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1.1368683772161603E-13</v>
      </c>
      <c r="FF140" s="18">
        <f>FE140*VLOOKUP('Données projet'!$B$16,Paramètres!$A$1:$I$89,3,0)*VLOOKUP('Données projet'!$B$16,Paramètres!$A$1:$I$89,5,0)</f>
        <v>1.2414602679200469E-13</v>
      </c>
      <c r="FG140" s="14">
        <f t="shared" si="155"/>
        <v>1.8186582995804361E-12</v>
      </c>
      <c r="FH140" s="22">
        <f t="shared" si="130"/>
        <v>3.3837175350986671E-12</v>
      </c>
      <c r="FI140" s="60">
        <f t="shared" si="131"/>
        <v>293.33333333333672</v>
      </c>
      <c r="FJ140" s="60">
        <f ca="1">AVERAGE(OFFSET($FI$3,0,0,'Données projet'!$E$16+1,1))-AVERAGE(OFFSET($H$3,0,0,'Données projet'!$E$16+1,1))</f>
        <v>440.52623925652182</v>
      </c>
      <c r="FK140" s="60">
        <f t="shared" si="156"/>
        <v>272.91122662088918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3.4106051316484809E-13</v>
      </c>
      <c r="GA140" s="18">
        <f>FZ140*VLOOKUP('Données projet'!$B$17,Paramètres!$A$1:$I$89,3,0)*VLOOKUP('Données projet'!$B$17,Paramètres!$A$1:$I$89,5,0)</f>
        <v>1.5961632016114892E-13</v>
      </c>
      <c r="GB140" s="14">
        <f t="shared" si="157"/>
        <v>2.2708641912150958E-12</v>
      </c>
      <c r="GC140" s="22">
        <f t="shared" si="133"/>
        <v>4.2330868906469593E-12</v>
      </c>
      <c r="GD140" s="60">
        <f t="shared" si="134"/>
        <v>293.33333333333752</v>
      </c>
      <c r="GE140" s="60">
        <f ca="1">AVERAGE(OFFSET($GD$3,0,0,'Données projet'!$E$17+1,1))-AVERAGE(OFFSET($H$3,0,0,'Données projet'!$E$17+1,1))</f>
        <v>317.54276561627643</v>
      </c>
      <c r="GF140" s="60">
        <f t="shared" si="158"/>
        <v>238.92443174298893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>
        <f>GU140*VLOOKUP('Données projet'!$B$18,Paramètres!$A$1:$I$89,3,0)*VLOOKUP('Données projet'!$B$18,Paramètres!$A$1:$I$89,5,0)</f>
        <v>0</v>
      </c>
      <c r="GW140" s="14" t="e">
        <f t="shared" si="159"/>
        <v>#NUM!</v>
      </c>
      <c r="GX140" s="22" t="e">
        <f t="shared" si="136"/>
        <v>#NUM!</v>
      </c>
      <c r="GY140" s="60" t="e">
        <f t="shared" si="137"/>
        <v>#NUM!</v>
      </c>
      <c r="GZ140" s="60">
        <f ca="1">AVERAGE(OFFSET($GY$3,0,0,'Données projet'!$E$18+1,1))-AVERAGE(OFFSET($H$3,0,0,'Données projet'!$E$18+1,1))</f>
        <v>79.868679770907136</v>
      </c>
      <c r="HA140" s="60">
        <f t="shared" si="160"/>
        <v>370.47471103028312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7.4649234708254584</v>
      </c>
      <c r="HH140" s="23">
        <f>EXP(-LN(2)/25)*HH139+(1-EXP(-LN(2)/25))/(LN(2)/25)*Calculateur!HC140*Calculateur!HE140*VLOOKUP('Données projet'!$B$18,Paramètres!$A$1:$I$89,3,0)*0.475*44/12</f>
        <v>0.77760508420058927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8.2425285550260483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0">
        <f t="shared" si="109"/>
        <v>293.33333333333439</v>
      </c>
      <c r="S141" s="60">
        <f ca="1">AVERAGE(OFFSET($R$3,0,0,'Données projet'!$E$9+1,1))-AVERAGE(OFFSET($H$3,0,0,'Données projet'!$E$9+1,1))</f>
        <v>206.5885410269899</v>
      </c>
      <c r="T141" s="60">
        <f t="shared" si="142"/>
        <v>347.41156847586302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3.3992364478763198E-14</v>
      </c>
      <c r="AK141" s="14">
        <f t="shared" si="143"/>
        <v>5.790027782444094E-13</v>
      </c>
      <c r="AL141" s="22">
        <f t="shared" si="112"/>
        <v>1.0676332069095257E-12</v>
      </c>
      <c r="AM141" s="60">
        <f t="shared" si="113"/>
        <v>293.33333333333439</v>
      </c>
      <c r="AN141" s="60">
        <f ca="1">AVERAGE(OFFSET($AM$3,0,0,'Données projet'!$E$10+1,1))-AVERAGE(OFFSET($H$3,0,0,'Données projet'!$E$10+1,1))</f>
        <v>206.5885410269899</v>
      </c>
      <c r="AO141" s="60">
        <f t="shared" si="144"/>
        <v>347.41156847586302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12.885006588422975</v>
      </c>
      <c r="AV141" s="23">
        <f>EXP(-LN(2)/25)*AV140+(1-EXP(-LN(2)/25))/(LN(2)/25)*Calculateur!AQ141*Calculateur!AS141*VLOOKUP('Données projet'!$B$10,Paramètres!$A$1:$I$89,3,0)*0.475*44/12</f>
        <v>0.1673774207320973</v>
      </c>
      <c r="AW141" s="23">
        <f>EXP(-LN(2)/2)*AW140+(1-EXP(-LN(2)/2))/(LN(2)/2)*AQ141*AT141*VLOOKUP('Données projet'!$B$10,Paramètres!$A$1:$I$89,3,0)*0.475*44/12</f>
        <v>6.1146567736316524E-14</v>
      </c>
      <c r="AX141" s="23">
        <f t="shared" si="114"/>
        <v>13.052384009155134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1.0818439477588981E-13</v>
      </c>
      <c r="BF141" s="14">
        <f t="shared" si="145"/>
        <v>1.6104228458716316E-12</v>
      </c>
      <c r="BG141" s="22">
        <f t="shared" si="115"/>
        <v>2.9932409441277661E-12</v>
      </c>
      <c r="BH141" s="60">
        <f t="shared" si="116"/>
        <v>293.33333333333633</v>
      </c>
      <c r="BI141" s="60">
        <f ca="1">AVERAGE(OFFSET($BH$3,0,0,'Données projet'!$E$11+1,1))-AVERAGE(OFFSET($H$3,0,0,'Données projet'!$E$11+1,1))</f>
        <v>389.12604446638119</v>
      </c>
      <c r="BJ141" s="60">
        <f t="shared" si="146"/>
        <v>243.23852967152732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1.0286385077051818E-13</v>
      </c>
      <c r="CA141" s="14">
        <f t="shared" si="147"/>
        <v>1.5402366592183556E-12</v>
      </c>
      <c r="CB141" s="22">
        <f t="shared" si="118"/>
        <v>2.8617333882306215E-12</v>
      </c>
      <c r="CC141" s="60">
        <f t="shared" si="119"/>
        <v>293.33333333333616</v>
      </c>
      <c r="CD141" s="60">
        <f ca="1">AVERAGE(OFFSET($CC$3,0,0,'Données projet'!$E$12+1,1))-AVERAGE(OFFSET($H$3,0,0,'Données projet'!$E$12+1,1))</f>
        <v>371.95849973474657</v>
      </c>
      <c r="CE141" s="60">
        <f t="shared" si="148"/>
        <v>233.32640143610547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1.0622105847849958E-15</v>
      </c>
      <c r="CN141" s="24">
        <f t="shared" si="120"/>
        <v>1.0622105847849958E-15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1.0995790944434703E-13</v>
      </c>
      <c r="CV141" s="14">
        <f t="shared" si="149"/>
        <v>1.6337280948049956E-12</v>
      </c>
      <c r="CW141" s="22">
        <f t="shared" si="121"/>
        <v>3.036919790734272E-12</v>
      </c>
      <c r="CX141" s="60">
        <f t="shared" si="122"/>
        <v>293.33333333333633</v>
      </c>
      <c r="CY141" s="60">
        <f ca="1">AVERAGE(OFFSET($CX$3,0,0,'Données projet'!$E$13+1,1))-AVERAGE(OFFSET($H$3,0,0,'Données projet'!$E$13+1,1))</f>
        <v>394.8445842828649</v>
      </c>
      <c r="CZ141" s="60">
        <f t="shared" si="150"/>
        <v>246.54010105494143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1.1354664871839617E-15</v>
      </c>
      <c r="DI141" s="24">
        <f t="shared" si="123"/>
        <v>1.1354664871839617E-15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5.6843418860808015E-14</v>
      </c>
      <c r="DP141" s="18">
        <f>DO141*VLOOKUP('Données projet'!$B$14,Paramètres!$A$1:$I$89,3,0)*VLOOKUP('Données projet'!$B$14,Paramètres!$A$1:$I$89,5,0)</f>
        <v>4.9658410716801891E-14</v>
      </c>
      <c r="DQ141" s="14">
        <f t="shared" si="151"/>
        <v>8.0934058173791862E-13</v>
      </c>
      <c r="DR141" s="22">
        <f t="shared" si="124"/>
        <v>1.4960899118586383E-12</v>
      </c>
      <c r="DS141" s="60">
        <f t="shared" si="125"/>
        <v>293.33333333333479</v>
      </c>
      <c r="DT141" s="60">
        <f ca="1">AVERAGE(OFFSET($DS$3,0,0,'Données projet'!$E$14+1,1))-AVERAGE(OFFSET($H$3,0,0,'Données projet'!$E$14+1,1))</f>
        <v>266.98113257513319</v>
      </c>
      <c r="DU141" s="60">
        <f t="shared" si="152"/>
        <v>275.73257102713393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0.55743527111167357</v>
      </c>
      <c r="EC141" s="23">
        <f>EXP(-LN(2)/2)*EC140+(1-EXP(-LN(2)/2))/(LN(2)/2)*DW141*DZ141*VLOOKUP('Données projet'!$B$14,Paramètres!$A$1:$I$89,3,0)*0.475*44/12</f>
        <v>5.810129258559563E-16</v>
      </c>
      <c r="ED141" s="24">
        <f t="shared" si="126"/>
        <v>0.55743527111167412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1.1368683772161603E-13</v>
      </c>
      <c r="EK141" s="18">
        <f>EJ141*VLOOKUP('Données projet'!$B$15,Paramètres!$A$1:$I$89,3,0)*VLOOKUP('Données projet'!$B$15,Paramètres!$A$1:$I$89,5,0)</f>
        <v>1.2946657079737634E-13</v>
      </c>
      <c r="EL141" s="14">
        <f t="shared" si="153"/>
        <v>1.8873591890224769E-12</v>
      </c>
      <c r="EM141" s="22">
        <f t="shared" si="127"/>
        <v>3.5126381983529106E-12</v>
      </c>
      <c r="EN141" s="60">
        <f t="shared" si="128"/>
        <v>293.33333333333684</v>
      </c>
      <c r="EO141" s="60">
        <f ca="1">AVERAGE(OFFSET($EN$3,0,0,'Données projet'!$E$15+1,1))-AVERAGE(OFFSET($H$3,0,0,'Données projet'!$E$15+1,1))</f>
        <v>457.62828850677369</v>
      </c>
      <c r="EP141" s="60">
        <f t="shared" si="154"/>
        <v>282.78263556175563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1.1368683772161603E-13</v>
      </c>
      <c r="FF141" s="18">
        <f>FE141*VLOOKUP('Données projet'!$B$16,Paramètres!$A$1:$I$89,3,0)*VLOOKUP('Données projet'!$B$16,Paramètres!$A$1:$I$89,5,0)</f>
        <v>1.2414602679200469E-13</v>
      </c>
      <c r="FG141" s="14">
        <f t="shared" si="155"/>
        <v>1.8186582995804361E-12</v>
      </c>
      <c r="FH141" s="22">
        <f t="shared" si="130"/>
        <v>3.3837175350986671E-12</v>
      </c>
      <c r="FI141" s="60">
        <f t="shared" si="131"/>
        <v>293.33333333333672</v>
      </c>
      <c r="FJ141" s="60">
        <f ca="1">AVERAGE(OFFSET($FI$3,0,0,'Données projet'!$E$16+1,1))-AVERAGE(OFFSET($H$3,0,0,'Données projet'!$E$16+1,1))</f>
        <v>440.52623925652182</v>
      </c>
      <c r="FK141" s="60">
        <f t="shared" si="156"/>
        <v>272.91122662088918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3.4106051316484809E-13</v>
      </c>
      <c r="GA141" s="18">
        <f>FZ141*VLOOKUP('Données projet'!$B$17,Paramètres!$A$1:$I$89,3,0)*VLOOKUP('Données projet'!$B$17,Paramètres!$A$1:$I$89,5,0)</f>
        <v>1.5961632016114892E-13</v>
      </c>
      <c r="GB141" s="14">
        <f t="shared" si="157"/>
        <v>2.2708641912150958E-12</v>
      </c>
      <c r="GC141" s="22">
        <f t="shared" si="133"/>
        <v>4.2330868906469593E-12</v>
      </c>
      <c r="GD141" s="60">
        <f t="shared" si="134"/>
        <v>293.33333333333752</v>
      </c>
      <c r="GE141" s="60">
        <f ca="1">AVERAGE(OFFSET($GD$3,0,0,'Données projet'!$E$17+1,1))-AVERAGE(OFFSET($H$3,0,0,'Données projet'!$E$17+1,1))</f>
        <v>317.54276561627643</v>
      </c>
      <c r="GF141" s="60">
        <f t="shared" si="158"/>
        <v>238.92443174298893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>
        <f>GU141*VLOOKUP('Données projet'!$B$18,Paramètres!$A$1:$I$89,3,0)*VLOOKUP('Données projet'!$B$18,Paramètres!$A$1:$I$89,5,0)</f>
        <v>0</v>
      </c>
      <c r="GW141" s="14" t="e">
        <f t="shared" si="159"/>
        <v>#NUM!</v>
      </c>
      <c r="GX141" s="22" t="e">
        <f t="shared" si="136"/>
        <v>#NUM!</v>
      </c>
      <c r="GY141" s="60" t="e">
        <f t="shared" si="137"/>
        <v>#NUM!</v>
      </c>
      <c r="GZ141" s="60">
        <f ca="1">AVERAGE(OFFSET($GY$3,0,0,'Données projet'!$E$18+1,1))-AVERAGE(OFFSET($H$3,0,0,'Données projet'!$E$18+1,1))</f>
        <v>79.868679770907136</v>
      </c>
      <c r="HA141" s="60">
        <f t="shared" si="160"/>
        <v>370.47471103028312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7.3185408747163017</v>
      </c>
      <c r="HH141" s="23">
        <f>EXP(-LN(2)/25)*HH140+(1-EXP(-LN(2)/25))/(LN(2)/25)*Calculateur!HC141*Calculateur!HE141*VLOOKUP('Données projet'!$B$18,Paramètres!$A$1:$I$89,3,0)*0.475*44/12</f>
        <v>0.75634143228064998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8.0748823069969511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0">
        <f t="shared" si="109"/>
        <v>293.33333333333439</v>
      </c>
      <c r="S142" s="60">
        <f ca="1">AVERAGE(OFFSET($R$3,0,0,'Données projet'!$E$9+1,1))-AVERAGE(OFFSET($H$3,0,0,'Données projet'!$E$9+1,1))</f>
        <v>206.5885410269899</v>
      </c>
      <c r="T142" s="60">
        <f t="shared" si="142"/>
        <v>347.41156847586302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3.3992364478763198E-14</v>
      </c>
      <c r="AK142" s="14">
        <f t="shared" si="143"/>
        <v>5.790027782444094E-13</v>
      </c>
      <c r="AL142" s="22">
        <f t="shared" si="112"/>
        <v>1.0676332069095257E-12</v>
      </c>
      <c r="AM142" s="60">
        <f t="shared" si="113"/>
        <v>293.33333333333439</v>
      </c>
      <c r="AN142" s="60">
        <f ca="1">AVERAGE(OFFSET($AM$3,0,0,'Données projet'!$E$10+1,1))-AVERAGE(OFFSET($H$3,0,0,'Données projet'!$E$10+1,1))</f>
        <v>206.5885410269899</v>
      </c>
      <c r="AO142" s="60">
        <f t="shared" si="144"/>
        <v>347.41156847586302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12.632339468302</v>
      </c>
      <c r="AV142" s="23">
        <f>EXP(-LN(2)/25)*AV141+(1-EXP(-LN(2)/25))/(LN(2)/25)*Calculateur!AQ142*Calculateur!AS142*VLOOKUP('Données projet'!$B$10,Paramètres!$A$1:$I$89,3,0)*0.475*44/12</f>
        <v>0.16280047636018208</v>
      </c>
      <c r="AW142" s="23">
        <f>EXP(-LN(2)/2)*AW141+(1-EXP(-LN(2)/2))/(LN(2)/2)*AQ142*AT142*VLOOKUP('Données projet'!$B$10,Paramètres!$A$1:$I$89,3,0)*0.475*44/12</f>
        <v>4.3237152692631975E-14</v>
      </c>
      <c r="AX142" s="23">
        <f t="shared" si="114"/>
        <v>12.795139944662225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1.0818439477588981E-13</v>
      </c>
      <c r="BF142" s="14">
        <f t="shared" si="145"/>
        <v>1.6104228458716316E-12</v>
      </c>
      <c r="BG142" s="22">
        <f t="shared" si="115"/>
        <v>2.9932409441277661E-12</v>
      </c>
      <c r="BH142" s="60">
        <f t="shared" si="116"/>
        <v>293.33333333333633</v>
      </c>
      <c r="BI142" s="60">
        <f ca="1">AVERAGE(OFFSET($BH$3,0,0,'Données projet'!$E$11+1,1))-AVERAGE(OFFSET($H$3,0,0,'Données projet'!$E$11+1,1))</f>
        <v>389.12604446638119</v>
      </c>
      <c r="BJ142" s="60">
        <f t="shared" si="146"/>
        <v>243.23852967152732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1.0286385077051818E-13</v>
      </c>
      <c r="CA142" s="14">
        <f t="shared" si="147"/>
        <v>1.5402366592183556E-12</v>
      </c>
      <c r="CB142" s="22">
        <f t="shared" si="118"/>
        <v>2.8617333882306215E-12</v>
      </c>
      <c r="CC142" s="60">
        <f t="shared" si="119"/>
        <v>293.33333333333616</v>
      </c>
      <c r="CD142" s="60">
        <f ca="1">AVERAGE(OFFSET($CC$3,0,0,'Données projet'!$E$12+1,1))-AVERAGE(OFFSET($H$3,0,0,'Données projet'!$E$12+1,1))</f>
        <v>371.95849973474657</v>
      </c>
      <c r="CE142" s="60">
        <f t="shared" si="148"/>
        <v>233.32640143610547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7.5109630754959873E-16</v>
      </c>
      <c r="CN142" s="24">
        <f t="shared" si="120"/>
        <v>7.5109630754959873E-16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1.0995790944434703E-13</v>
      </c>
      <c r="CV142" s="14">
        <f t="shared" si="149"/>
        <v>1.6337280948049956E-12</v>
      </c>
      <c r="CW142" s="22">
        <f t="shared" si="121"/>
        <v>3.036919790734272E-12</v>
      </c>
      <c r="CX142" s="60">
        <f t="shared" si="122"/>
        <v>293.33333333333633</v>
      </c>
      <c r="CY142" s="60">
        <f ca="1">AVERAGE(OFFSET($CX$3,0,0,'Données projet'!$E$13+1,1))-AVERAGE(OFFSET($H$3,0,0,'Données projet'!$E$13+1,1))</f>
        <v>394.8445842828649</v>
      </c>
      <c r="CZ142" s="60">
        <f t="shared" si="150"/>
        <v>246.54010105494143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8.0289605289784742E-16</v>
      </c>
      <c r="DI142" s="24">
        <f t="shared" si="123"/>
        <v>8.0289605289784742E-16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5.6843418860808015E-14</v>
      </c>
      <c r="DP142" s="18">
        <f>DO142*VLOOKUP('Données projet'!$B$14,Paramètres!$A$1:$I$89,3,0)*VLOOKUP('Données projet'!$B$14,Paramètres!$A$1:$I$89,5,0)</f>
        <v>4.9658410716801891E-14</v>
      </c>
      <c r="DQ142" s="14">
        <f t="shared" si="151"/>
        <v>8.0934058173791862E-13</v>
      </c>
      <c r="DR142" s="22">
        <f t="shared" si="124"/>
        <v>1.4960899118586383E-12</v>
      </c>
      <c r="DS142" s="60">
        <f t="shared" si="125"/>
        <v>293.33333333333479</v>
      </c>
      <c r="DT142" s="60">
        <f ca="1">AVERAGE(OFFSET($DS$3,0,0,'Données projet'!$E$14+1,1))-AVERAGE(OFFSET($H$3,0,0,'Données projet'!$E$14+1,1))</f>
        <v>266.98113257513319</v>
      </c>
      <c r="DU142" s="60">
        <f t="shared" si="152"/>
        <v>275.73257102713393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0.54219217430887801</v>
      </c>
      <c r="EC142" s="23">
        <f>EXP(-LN(2)/2)*EC141+(1-EXP(-LN(2)/2))/(LN(2)/2)*DW142*DZ142*VLOOKUP('Données projet'!$B$14,Paramètres!$A$1:$I$89,3,0)*0.475*44/12</f>
        <v>4.1083817982978346E-16</v>
      </c>
      <c r="ED142" s="24">
        <f t="shared" si="126"/>
        <v>0.54219217430887845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1.1368683772161603E-13</v>
      </c>
      <c r="EK142" s="18">
        <f>EJ142*VLOOKUP('Données projet'!$B$15,Paramètres!$A$1:$I$89,3,0)*VLOOKUP('Données projet'!$B$15,Paramètres!$A$1:$I$89,5,0)</f>
        <v>1.2946657079737634E-13</v>
      </c>
      <c r="EL142" s="14">
        <f t="shared" si="153"/>
        <v>1.8873591890224769E-12</v>
      </c>
      <c r="EM142" s="22">
        <f t="shared" si="127"/>
        <v>3.5126381983529106E-12</v>
      </c>
      <c r="EN142" s="60">
        <f t="shared" si="128"/>
        <v>293.33333333333684</v>
      </c>
      <c r="EO142" s="60">
        <f ca="1">AVERAGE(OFFSET($EN$3,0,0,'Données projet'!$E$15+1,1))-AVERAGE(OFFSET($H$3,0,0,'Données projet'!$E$15+1,1))</f>
        <v>457.62828850677369</v>
      </c>
      <c r="EP142" s="60">
        <f t="shared" si="154"/>
        <v>282.78263556175563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1.1368683772161603E-13</v>
      </c>
      <c r="FF142" s="18">
        <f>FE142*VLOOKUP('Données projet'!$B$16,Paramètres!$A$1:$I$89,3,0)*VLOOKUP('Données projet'!$B$16,Paramètres!$A$1:$I$89,5,0)</f>
        <v>1.2414602679200469E-13</v>
      </c>
      <c r="FG142" s="14">
        <f t="shared" si="155"/>
        <v>1.8186582995804361E-12</v>
      </c>
      <c r="FH142" s="22">
        <f t="shared" si="130"/>
        <v>3.3837175350986671E-12</v>
      </c>
      <c r="FI142" s="60">
        <f t="shared" si="131"/>
        <v>293.33333333333672</v>
      </c>
      <c r="FJ142" s="60">
        <f ca="1">AVERAGE(OFFSET($FI$3,0,0,'Données projet'!$E$16+1,1))-AVERAGE(OFFSET($H$3,0,0,'Données projet'!$E$16+1,1))</f>
        <v>440.52623925652182</v>
      </c>
      <c r="FK142" s="60">
        <f t="shared" si="156"/>
        <v>272.91122662088918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3.4106051316484809E-13</v>
      </c>
      <c r="GA142" s="18">
        <f>FZ142*VLOOKUP('Données projet'!$B$17,Paramètres!$A$1:$I$89,3,0)*VLOOKUP('Données projet'!$B$17,Paramètres!$A$1:$I$89,5,0)</f>
        <v>1.5961632016114892E-13</v>
      </c>
      <c r="GB142" s="14">
        <f t="shared" si="157"/>
        <v>2.2708641912150958E-12</v>
      </c>
      <c r="GC142" s="22">
        <f t="shared" si="133"/>
        <v>4.2330868906469593E-12</v>
      </c>
      <c r="GD142" s="60">
        <f t="shared" si="134"/>
        <v>293.33333333333752</v>
      </c>
      <c r="GE142" s="60">
        <f ca="1">AVERAGE(OFFSET($GD$3,0,0,'Données projet'!$E$17+1,1))-AVERAGE(OFFSET($H$3,0,0,'Données projet'!$E$17+1,1))</f>
        <v>317.54276561627643</v>
      </c>
      <c r="GF142" s="60">
        <f t="shared" si="158"/>
        <v>238.92443174298893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>
        <f>GU142*VLOOKUP('Données projet'!$B$18,Paramètres!$A$1:$I$89,3,0)*VLOOKUP('Données projet'!$B$18,Paramètres!$A$1:$I$89,5,0)</f>
        <v>0</v>
      </c>
      <c r="GW142" s="14" t="e">
        <f t="shared" si="159"/>
        <v>#NUM!</v>
      </c>
      <c r="GX142" s="22" t="e">
        <f t="shared" si="136"/>
        <v>#NUM!</v>
      </c>
      <c r="GY142" s="60" t="e">
        <f t="shared" si="137"/>
        <v>#NUM!</v>
      </c>
      <c r="GZ142" s="60">
        <f ca="1">AVERAGE(OFFSET($GY$3,0,0,'Données projet'!$E$18+1,1))-AVERAGE(OFFSET($H$3,0,0,'Données projet'!$E$18+1,1))</f>
        <v>79.868679770907136</v>
      </c>
      <c r="HA142" s="60">
        <f t="shared" si="160"/>
        <v>370.47471103028312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7.1750287520322784</v>
      </c>
      <c r="HH142" s="23">
        <f>EXP(-LN(2)/25)*HH141+(1-EXP(-LN(2)/25))/(LN(2)/25)*Calculateur!HC142*Calculateur!HE142*VLOOKUP('Données projet'!$B$18,Paramètres!$A$1:$I$89,3,0)*0.475*44/12</f>
        <v>0.7356592360406683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7.9106879880729464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0">
        <f t="shared" si="109"/>
        <v>293.33333333333439</v>
      </c>
      <c r="S143" s="60">
        <f ca="1">AVERAGE(OFFSET($R$3,0,0,'Données projet'!$E$9+1,1))-AVERAGE(OFFSET($H$3,0,0,'Données projet'!$E$9+1,1))</f>
        <v>206.5885410269899</v>
      </c>
      <c r="T143" s="60">
        <f t="shared" si="142"/>
        <v>347.41156847586302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3.3992364478763198E-14</v>
      </c>
      <c r="AK143" s="14">
        <f t="shared" si="143"/>
        <v>5.790027782444094E-13</v>
      </c>
      <c r="AL143" s="22">
        <f t="shared" si="112"/>
        <v>1.0676332069095257E-12</v>
      </c>
      <c r="AM143" s="60">
        <f t="shared" si="113"/>
        <v>293.33333333333439</v>
      </c>
      <c r="AN143" s="60">
        <f ca="1">AVERAGE(OFFSET($AM$3,0,0,'Données projet'!$E$10+1,1))-AVERAGE(OFFSET($H$3,0,0,'Données projet'!$E$10+1,1))</f>
        <v>206.5885410269899</v>
      </c>
      <c r="AO143" s="60">
        <f t="shared" si="144"/>
        <v>347.41156847586302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12.384626996294871</v>
      </c>
      <c r="AV143" s="23">
        <f>EXP(-LN(2)/25)*AV142+(1-EXP(-LN(2)/25))/(LN(2)/25)*Calculateur!AQ143*Calculateur!AS143*VLOOKUP('Données projet'!$B$10,Paramètres!$A$1:$I$89,3,0)*0.475*44/12</f>
        <v>0.15834868877280794</v>
      </c>
      <c r="AW143" s="23">
        <f>EXP(-LN(2)/2)*AW142+(1-EXP(-LN(2)/2))/(LN(2)/2)*AQ143*AT143*VLOOKUP('Données projet'!$B$10,Paramètres!$A$1:$I$89,3,0)*0.475*44/12</f>
        <v>3.0573283868158262E-14</v>
      </c>
      <c r="AX143" s="23">
        <f t="shared" si="114"/>
        <v>12.542975685067709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1.0818439477588981E-13</v>
      </c>
      <c r="BF143" s="14">
        <f t="shared" si="145"/>
        <v>1.6104228458716316E-12</v>
      </c>
      <c r="BG143" s="22">
        <f t="shared" si="115"/>
        <v>2.9932409441277661E-12</v>
      </c>
      <c r="BH143" s="60">
        <f t="shared" si="116"/>
        <v>293.33333333333633</v>
      </c>
      <c r="BI143" s="60">
        <f ca="1">AVERAGE(OFFSET($BH$3,0,0,'Données projet'!$E$11+1,1))-AVERAGE(OFFSET($H$3,0,0,'Données projet'!$E$11+1,1))</f>
        <v>389.12604446638119</v>
      </c>
      <c r="BJ143" s="60">
        <f t="shared" si="146"/>
        <v>243.23852967152732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1.0286385077051818E-13</v>
      </c>
      <c r="CA143" s="14">
        <f t="shared" si="147"/>
        <v>1.5402366592183556E-12</v>
      </c>
      <c r="CB143" s="22">
        <f t="shared" si="118"/>
        <v>2.8617333882306215E-12</v>
      </c>
      <c r="CC143" s="60">
        <f t="shared" si="119"/>
        <v>293.33333333333616</v>
      </c>
      <c r="CD143" s="60">
        <f ca="1">AVERAGE(OFFSET($CC$3,0,0,'Données projet'!$E$12+1,1))-AVERAGE(OFFSET($H$3,0,0,'Données projet'!$E$12+1,1))</f>
        <v>371.95849973474657</v>
      </c>
      <c r="CE143" s="60">
        <f t="shared" si="148"/>
        <v>233.32640143610547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5.3110529239249791E-16</v>
      </c>
      <c r="CN143" s="24">
        <f t="shared" si="120"/>
        <v>5.3110529239249791E-16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1.0995790944434703E-13</v>
      </c>
      <c r="CV143" s="14">
        <f t="shared" si="149"/>
        <v>1.6337280948049956E-12</v>
      </c>
      <c r="CW143" s="22">
        <f t="shared" si="121"/>
        <v>3.036919790734272E-12</v>
      </c>
      <c r="CX143" s="60">
        <f t="shared" si="122"/>
        <v>293.33333333333633</v>
      </c>
      <c r="CY143" s="60">
        <f ca="1">AVERAGE(OFFSET($CX$3,0,0,'Données projet'!$E$13+1,1))-AVERAGE(OFFSET($H$3,0,0,'Données projet'!$E$13+1,1))</f>
        <v>394.8445842828649</v>
      </c>
      <c r="CZ143" s="60">
        <f t="shared" si="150"/>
        <v>246.54010105494143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5.6773324359198087E-16</v>
      </c>
      <c r="DI143" s="24">
        <f t="shared" si="123"/>
        <v>5.6773324359198087E-16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5.6843418860808015E-14</v>
      </c>
      <c r="DP143" s="18">
        <f>DO143*VLOOKUP('Données projet'!$B$14,Paramètres!$A$1:$I$89,3,0)*VLOOKUP('Données projet'!$B$14,Paramètres!$A$1:$I$89,5,0)</f>
        <v>4.9658410716801891E-14</v>
      </c>
      <c r="DQ143" s="14">
        <f t="shared" si="151"/>
        <v>8.0934058173791862E-13</v>
      </c>
      <c r="DR143" s="22">
        <f t="shared" si="124"/>
        <v>1.4960899118586383E-12</v>
      </c>
      <c r="DS143" s="60">
        <f t="shared" si="125"/>
        <v>293.33333333333479</v>
      </c>
      <c r="DT143" s="60">
        <f ca="1">AVERAGE(OFFSET($DS$3,0,0,'Données projet'!$E$14+1,1))-AVERAGE(OFFSET($H$3,0,0,'Données projet'!$E$14+1,1))</f>
        <v>266.98113257513319</v>
      </c>
      <c r="DU143" s="60">
        <f t="shared" si="152"/>
        <v>275.73257102713393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0.52736590078975454</v>
      </c>
      <c r="EC143" s="23">
        <f>EXP(-LN(2)/2)*EC142+(1-EXP(-LN(2)/2))/(LN(2)/2)*DW143*DZ143*VLOOKUP('Données projet'!$B$14,Paramètres!$A$1:$I$89,3,0)*0.475*44/12</f>
        <v>2.9050646292797815E-16</v>
      </c>
      <c r="ED143" s="24">
        <f t="shared" si="126"/>
        <v>0.52736590078975487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1.1368683772161603E-13</v>
      </c>
      <c r="EK143" s="18">
        <f>EJ143*VLOOKUP('Données projet'!$B$15,Paramètres!$A$1:$I$89,3,0)*VLOOKUP('Données projet'!$B$15,Paramètres!$A$1:$I$89,5,0)</f>
        <v>1.2946657079737634E-13</v>
      </c>
      <c r="EL143" s="14">
        <f t="shared" si="153"/>
        <v>1.8873591890224769E-12</v>
      </c>
      <c r="EM143" s="22">
        <f t="shared" si="127"/>
        <v>3.5126381983529106E-12</v>
      </c>
      <c r="EN143" s="60">
        <f t="shared" si="128"/>
        <v>293.33333333333684</v>
      </c>
      <c r="EO143" s="60">
        <f ca="1">AVERAGE(OFFSET($EN$3,0,0,'Données projet'!$E$15+1,1))-AVERAGE(OFFSET($H$3,0,0,'Données projet'!$E$15+1,1))</f>
        <v>457.62828850677369</v>
      </c>
      <c r="EP143" s="60">
        <f t="shared" si="154"/>
        <v>282.78263556175563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1.1368683772161603E-13</v>
      </c>
      <c r="FF143" s="18">
        <f>FE143*VLOOKUP('Données projet'!$B$16,Paramètres!$A$1:$I$89,3,0)*VLOOKUP('Données projet'!$B$16,Paramètres!$A$1:$I$89,5,0)</f>
        <v>1.2414602679200469E-13</v>
      </c>
      <c r="FG143" s="14">
        <f t="shared" si="155"/>
        <v>1.8186582995804361E-12</v>
      </c>
      <c r="FH143" s="22">
        <f t="shared" si="130"/>
        <v>3.3837175350986671E-12</v>
      </c>
      <c r="FI143" s="60">
        <f t="shared" si="131"/>
        <v>293.33333333333672</v>
      </c>
      <c r="FJ143" s="60">
        <f ca="1">AVERAGE(OFFSET($FI$3,0,0,'Données projet'!$E$16+1,1))-AVERAGE(OFFSET($H$3,0,0,'Données projet'!$E$16+1,1))</f>
        <v>440.52623925652182</v>
      </c>
      <c r="FK143" s="60">
        <f t="shared" si="156"/>
        <v>272.91122662088918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3.4106051316484809E-13</v>
      </c>
      <c r="GA143" s="18">
        <f>FZ143*VLOOKUP('Données projet'!$B$17,Paramètres!$A$1:$I$89,3,0)*VLOOKUP('Données projet'!$B$17,Paramètres!$A$1:$I$89,5,0)</f>
        <v>1.5961632016114892E-13</v>
      </c>
      <c r="GB143" s="14">
        <f t="shared" si="157"/>
        <v>2.2708641912150958E-12</v>
      </c>
      <c r="GC143" s="22">
        <f t="shared" si="133"/>
        <v>4.2330868906469593E-12</v>
      </c>
      <c r="GD143" s="60">
        <f t="shared" si="134"/>
        <v>293.33333333333752</v>
      </c>
      <c r="GE143" s="60">
        <f ca="1">AVERAGE(OFFSET($GD$3,0,0,'Données projet'!$E$17+1,1))-AVERAGE(OFFSET($H$3,0,0,'Données projet'!$E$17+1,1))</f>
        <v>317.54276561627643</v>
      </c>
      <c r="GF143" s="60">
        <f t="shared" si="158"/>
        <v>238.92443174298893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>
        <f>GU143*VLOOKUP('Données projet'!$B$18,Paramètres!$A$1:$I$89,3,0)*VLOOKUP('Données projet'!$B$18,Paramètres!$A$1:$I$89,5,0)</f>
        <v>0</v>
      </c>
      <c r="GW143" s="14" t="e">
        <f t="shared" si="159"/>
        <v>#NUM!</v>
      </c>
      <c r="GX143" s="22" t="e">
        <f t="shared" si="136"/>
        <v>#NUM!</v>
      </c>
      <c r="GY143" s="60" t="e">
        <f t="shared" si="137"/>
        <v>#NUM!</v>
      </c>
      <c r="GZ143" s="60">
        <f ca="1">AVERAGE(OFFSET($GY$3,0,0,'Données projet'!$E$18+1,1))-AVERAGE(OFFSET($H$3,0,0,'Données projet'!$E$18+1,1))</f>
        <v>79.868679770907136</v>
      </c>
      <c r="HA143" s="60">
        <f t="shared" si="160"/>
        <v>370.47471103028312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7.0343308145403372</v>
      </c>
      <c r="HH143" s="23">
        <f>EXP(-LN(2)/25)*HH142+(1-EXP(-LN(2)/25))/(LN(2)/25)*Calculateur!HC143*Calculateur!HE143*VLOOKUP('Données projet'!$B$18,Paramètres!$A$1:$I$89,3,0)*0.475*44/12</f>
        <v>0.71554259554449839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7.7498734100848354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0">
        <f t="shared" si="109"/>
        <v>293.33333333333439</v>
      </c>
      <c r="S144" s="60">
        <f ca="1">AVERAGE(OFFSET($R$3,0,0,'Données projet'!$E$9+1,1))-AVERAGE(OFFSET($H$3,0,0,'Données projet'!$E$9+1,1))</f>
        <v>206.5885410269899</v>
      </c>
      <c r="T144" s="60">
        <f t="shared" si="142"/>
        <v>347.41156847586302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3.3992364478763198E-14</v>
      </c>
      <c r="AK144" s="14">
        <f t="shared" si="143"/>
        <v>5.790027782444094E-13</v>
      </c>
      <c r="AL144" s="22">
        <f t="shared" si="112"/>
        <v>1.0676332069095257E-12</v>
      </c>
      <c r="AM144" s="60">
        <f t="shared" si="113"/>
        <v>293.33333333333439</v>
      </c>
      <c r="AN144" s="60">
        <f ca="1">AVERAGE(OFFSET($AM$3,0,0,'Données projet'!$E$10+1,1))-AVERAGE(OFFSET($H$3,0,0,'Données projet'!$E$10+1,1))</f>
        <v>206.5885410269899</v>
      </c>
      <c r="AO144" s="60">
        <f t="shared" si="144"/>
        <v>347.41156847586302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12.141772014774114</v>
      </c>
      <c r="AV144" s="23">
        <f>EXP(-LN(2)/25)*AV143+(1-EXP(-LN(2)/25))/(LN(2)/25)*Calculateur!AQ144*Calculateur!AS144*VLOOKUP('Données projet'!$B$10,Paramètres!$A$1:$I$89,3,0)*0.475*44/12</f>
        <v>0.15401863555111989</v>
      </c>
      <c r="AW144" s="23">
        <f>EXP(-LN(2)/2)*AW143+(1-EXP(-LN(2)/2))/(LN(2)/2)*AQ144*AT144*VLOOKUP('Données projet'!$B$10,Paramètres!$A$1:$I$89,3,0)*0.475*44/12</f>
        <v>2.1618576346315987E-14</v>
      </c>
      <c r="AX144" s="23">
        <f t="shared" si="114"/>
        <v>12.295790650325255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1.0818439477588981E-13</v>
      </c>
      <c r="BF144" s="14">
        <f t="shared" si="145"/>
        <v>1.6104228458716316E-12</v>
      </c>
      <c r="BG144" s="22">
        <f t="shared" si="115"/>
        <v>2.9932409441277661E-12</v>
      </c>
      <c r="BH144" s="60">
        <f t="shared" si="116"/>
        <v>293.33333333333633</v>
      </c>
      <c r="BI144" s="60">
        <f ca="1">AVERAGE(OFFSET($BH$3,0,0,'Données projet'!$E$11+1,1))-AVERAGE(OFFSET($H$3,0,0,'Données projet'!$E$11+1,1))</f>
        <v>389.12604446638119</v>
      </c>
      <c r="BJ144" s="60">
        <f t="shared" si="146"/>
        <v>243.23852967152732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1.0286385077051818E-13</v>
      </c>
      <c r="CA144" s="14">
        <f t="shared" si="147"/>
        <v>1.5402366592183556E-12</v>
      </c>
      <c r="CB144" s="22">
        <f t="shared" si="118"/>
        <v>2.8617333882306215E-12</v>
      </c>
      <c r="CC144" s="60">
        <f t="shared" si="119"/>
        <v>293.33333333333616</v>
      </c>
      <c r="CD144" s="60">
        <f ca="1">AVERAGE(OFFSET($CC$3,0,0,'Données projet'!$E$12+1,1))-AVERAGE(OFFSET($H$3,0,0,'Données projet'!$E$12+1,1))</f>
        <v>371.95849973474657</v>
      </c>
      <c r="CE144" s="60">
        <f t="shared" si="148"/>
        <v>233.32640143610547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3.7554815377479937E-16</v>
      </c>
      <c r="CN144" s="24">
        <f t="shared" si="120"/>
        <v>3.7554815377479937E-16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1.0995790944434703E-13</v>
      </c>
      <c r="CV144" s="14">
        <f t="shared" si="149"/>
        <v>1.6337280948049956E-12</v>
      </c>
      <c r="CW144" s="22">
        <f t="shared" si="121"/>
        <v>3.036919790734272E-12</v>
      </c>
      <c r="CX144" s="60">
        <f t="shared" si="122"/>
        <v>293.33333333333633</v>
      </c>
      <c r="CY144" s="60">
        <f ca="1">AVERAGE(OFFSET($CX$3,0,0,'Données projet'!$E$13+1,1))-AVERAGE(OFFSET($H$3,0,0,'Données projet'!$E$13+1,1))</f>
        <v>394.8445842828649</v>
      </c>
      <c r="CZ144" s="60">
        <f t="shared" si="150"/>
        <v>246.54010105494143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4.0144802644892371E-16</v>
      </c>
      <c r="DI144" s="24">
        <f t="shared" si="123"/>
        <v>4.0144802644892371E-16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5.6843418860808015E-14</v>
      </c>
      <c r="DP144" s="18">
        <f>DO144*VLOOKUP('Données projet'!$B$14,Paramètres!$A$1:$I$89,3,0)*VLOOKUP('Données projet'!$B$14,Paramètres!$A$1:$I$89,5,0)</f>
        <v>4.9658410716801891E-14</v>
      </c>
      <c r="DQ144" s="14">
        <f t="shared" si="151"/>
        <v>8.0934058173791862E-13</v>
      </c>
      <c r="DR144" s="22">
        <f t="shared" si="124"/>
        <v>1.4960899118586383E-12</v>
      </c>
      <c r="DS144" s="60">
        <f t="shared" si="125"/>
        <v>293.33333333333479</v>
      </c>
      <c r="DT144" s="60">
        <f ca="1">AVERAGE(OFFSET($DS$3,0,0,'Données projet'!$E$14+1,1))-AVERAGE(OFFSET($H$3,0,0,'Données projet'!$E$14+1,1))</f>
        <v>266.98113257513319</v>
      </c>
      <c r="DU144" s="60">
        <f t="shared" si="152"/>
        <v>275.73257102713393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0.51294505249969125</v>
      </c>
      <c r="EC144" s="23">
        <f>EXP(-LN(2)/2)*EC143+(1-EXP(-LN(2)/2))/(LN(2)/2)*DW144*DZ144*VLOOKUP('Données projet'!$B$14,Paramètres!$A$1:$I$89,3,0)*0.475*44/12</f>
        <v>2.0541908991489173E-16</v>
      </c>
      <c r="ED144" s="24">
        <f t="shared" si="126"/>
        <v>0.51294505249969147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1.1368683772161603E-13</v>
      </c>
      <c r="EK144" s="18">
        <f>EJ144*VLOOKUP('Données projet'!$B$15,Paramètres!$A$1:$I$89,3,0)*VLOOKUP('Données projet'!$B$15,Paramètres!$A$1:$I$89,5,0)</f>
        <v>1.2946657079737634E-13</v>
      </c>
      <c r="EL144" s="14">
        <f t="shared" si="153"/>
        <v>1.8873591890224769E-12</v>
      </c>
      <c r="EM144" s="22">
        <f t="shared" si="127"/>
        <v>3.5126381983529106E-12</v>
      </c>
      <c r="EN144" s="60">
        <f t="shared" si="128"/>
        <v>293.33333333333684</v>
      </c>
      <c r="EO144" s="60">
        <f ca="1">AVERAGE(OFFSET($EN$3,0,0,'Données projet'!$E$15+1,1))-AVERAGE(OFFSET($H$3,0,0,'Données projet'!$E$15+1,1))</f>
        <v>457.62828850677369</v>
      </c>
      <c r="EP144" s="60">
        <f t="shared" si="154"/>
        <v>282.78263556175563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1.1368683772161603E-13</v>
      </c>
      <c r="FF144" s="18">
        <f>FE144*VLOOKUP('Données projet'!$B$16,Paramètres!$A$1:$I$89,3,0)*VLOOKUP('Données projet'!$B$16,Paramètres!$A$1:$I$89,5,0)</f>
        <v>1.2414602679200469E-13</v>
      </c>
      <c r="FG144" s="14">
        <f t="shared" si="155"/>
        <v>1.8186582995804361E-12</v>
      </c>
      <c r="FH144" s="22">
        <f t="shared" si="130"/>
        <v>3.3837175350986671E-12</v>
      </c>
      <c r="FI144" s="60">
        <f t="shared" si="131"/>
        <v>293.33333333333672</v>
      </c>
      <c r="FJ144" s="60">
        <f ca="1">AVERAGE(OFFSET($FI$3,0,0,'Données projet'!$E$16+1,1))-AVERAGE(OFFSET($H$3,0,0,'Données projet'!$E$16+1,1))</f>
        <v>440.52623925652182</v>
      </c>
      <c r="FK144" s="60">
        <f t="shared" si="156"/>
        <v>272.91122662088918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3.4106051316484809E-13</v>
      </c>
      <c r="GA144" s="18">
        <f>FZ144*VLOOKUP('Données projet'!$B$17,Paramètres!$A$1:$I$89,3,0)*VLOOKUP('Données projet'!$B$17,Paramètres!$A$1:$I$89,5,0)</f>
        <v>1.5961632016114892E-13</v>
      </c>
      <c r="GB144" s="14">
        <f t="shared" si="157"/>
        <v>2.2708641912150958E-12</v>
      </c>
      <c r="GC144" s="22">
        <f t="shared" si="133"/>
        <v>4.2330868906469593E-12</v>
      </c>
      <c r="GD144" s="60">
        <f t="shared" si="134"/>
        <v>293.33333333333752</v>
      </c>
      <c r="GE144" s="60">
        <f ca="1">AVERAGE(OFFSET($GD$3,0,0,'Données projet'!$E$17+1,1))-AVERAGE(OFFSET($H$3,0,0,'Données projet'!$E$17+1,1))</f>
        <v>317.54276561627643</v>
      </c>
      <c r="GF144" s="60">
        <f t="shared" si="158"/>
        <v>238.92443174298893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>
        <f>GU144*VLOOKUP('Données projet'!$B$18,Paramètres!$A$1:$I$89,3,0)*VLOOKUP('Données projet'!$B$18,Paramètres!$A$1:$I$89,5,0)</f>
        <v>0</v>
      </c>
      <c r="GW144" s="14" t="e">
        <f t="shared" si="159"/>
        <v>#NUM!</v>
      </c>
      <c r="GX144" s="22" t="e">
        <f t="shared" si="136"/>
        <v>#NUM!</v>
      </c>
      <c r="GY144" s="60" t="e">
        <f t="shared" si="137"/>
        <v>#NUM!</v>
      </c>
      <c r="GZ144" s="60">
        <f ca="1">AVERAGE(OFFSET($GY$3,0,0,'Données projet'!$E$18+1,1))-AVERAGE(OFFSET($H$3,0,0,'Données projet'!$E$18+1,1))</f>
        <v>79.868679770907136</v>
      </c>
      <c r="HA144" s="60">
        <f t="shared" si="160"/>
        <v>370.47471103028312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6.8963918777853443</v>
      </c>
      <c r="HH144" s="23">
        <f>EXP(-LN(2)/25)*HH143+(1-EXP(-LN(2)/25))/(LN(2)/25)*Calculateur!HC144*Calculateur!HE144*VLOOKUP('Données projet'!$B$18,Paramètres!$A$1:$I$89,3,0)*0.475*44/12</f>
        <v>0.69597604564058435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7.5923679234259289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0">
        <f t="shared" si="109"/>
        <v>293.33333333333439</v>
      </c>
      <c r="S145" s="60">
        <f ca="1">AVERAGE(OFFSET($R$3,0,0,'Données projet'!$E$9+1,1))-AVERAGE(OFFSET($H$3,0,0,'Données projet'!$E$9+1,1))</f>
        <v>206.5885410269899</v>
      </c>
      <c r="T145" s="60">
        <f t="shared" si="142"/>
        <v>347.41156847586302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3.3992364478763198E-14</v>
      </c>
      <c r="AK145" s="14">
        <f t="shared" si="143"/>
        <v>5.790027782444094E-13</v>
      </c>
      <c r="AL145" s="22">
        <f t="shared" si="112"/>
        <v>1.0676332069095257E-12</v>
      </c>
      <c r="AM145" s="60">
        <f t="shared" si="113"/>
        <v>293.33333333333439</v>
      </c>
      <c r="AN145" s="60">
        <f ca="1">AVERAGE(OFFSET($AM$3,0,0,'Données projet'!$E$10+1,1))-AVERAGE(OFFSET($H$3,0,0,'Données projet'!$E$10+1,1))</f>
        <v>206.5885410269899</v>
      </c>
      <c r="AO145" s="60">
        <f t="shared" si="144"/>
        <v>347.41156847586302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11.903679271314065</v>
      </c>
      <c r="AV145" s="23">
        <f>EXP(-LN(2)/25)*AV144+(1-EXP(-LN(2)/25))/(LN(2)/25)*Calculateur!AQ145*Calculateur!AS145*VLOOKUP('Données projet'!$B$10,Paramètres!$A$1:$I$89,3,0)*0.475*44/12</f>
        <v>0.14980698786248647</v>
      </c>
      <c r="AW145" s="23">
        <f>EXP(-LN(2)/2)*AW144+(1-EXP(-LN(2)/2))/(LN(2)/2)*AQ145*AT145*VLOOKUP('Données projet'!$B$10,Paramètres!$A$1:$I$89,3,0)*0.475*44/12</f>
        <v>1.5286641934079131E-14</v>
      </c>
      <c r="AX145" s="23">
        <f t="shared" si="114"/>
        <v>12.053486259176568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1.0818439477588981E-13</v>
      </c>
      <c r="BF145" s="14">
        <f t="shared" si="145"/>
        <v>1.6104228458716316E-12</v>
      </c>
      <c r="BG145" s="22">
        <f t="shared" si="115"/>
        <v>2.9932409441277661E-12</v>
      </c>
      <c r="BH145" s="60">
        <f t="shared" si="116"/>
        <v>293.33333333333633</v>
      </c>
      <c r="BI145" s="60">
        <f ca="1">AVERAGE(OFFSET($BH$3,0,0,'Données projet'!$E$11+1,1))-AVERAGE(OFFSET($H$3,0,0,'Données projet'!$E$11+1,1))</f>
        <v>389.12604446638119</v>
      </c>
      <c r="BJ145" s="60">
        <f t="shared" si="146"/>
        <v>243.23852967152732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1.0286385077051818E-13</v>
      </c>
      <c r="CA145" s="14">
        <f t="shared" si="147"/>
        <v>1.5402366592183556E-12</v>
      </c>
      <c r="CB145" s="22">
        <f t="shared" si="118"/>
        <v>2.8617333882306215E-12</v>
      </c>
      <c r="CC145" s="60">
        <f t="shared" si="119"/>
        <v>293.33333333333616</v>
      </c>
      <c r="CD145" s="60">
        <f ca="1">AVERAGE(OFFSET($CC$3,0,0,'Données projet'!$E$12+1,1))-AVERAGE(OFFSET($H$3,0,0,'Données projet'!$E$12+1,1))</f>
        <v>371.95849973474657</v>
      </c>
      <c r="CE145" s="60">
        <f t="shared" si="148"/>
        <v>233.32640143610547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2.6555264619624895E-16</v>
      </c>
      <c r="CN145" s="24">
        <f t="shared" si="120"/>
        <v>2.6555264619624895E-16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1.0995790944434703E-13</v>
      </c>
      <c r="CV145" s="14">
        <f t="shared" si="149"/>
        <v>1.6337280948049956E-12</v>
      </c>
      <c r="CW145" s="22">
        <f t="shared" si="121"/>
        <v>3.036919790734272E-12</v>
      </c>
      <c r="CX145" s="60">
        <f t="shared" si="122"/>
        <v>293.33333333333633</v>
      </c>
      <c r="CY145" s="60">
        <f ca="1">AVERAGE(OFFSET($CX$3,0,0,'Données projet'!$E$13+1,1))-AVERAGE(OFFSET($H$3,0,0,'Données projet'!$E$13+1,1))</f>
        <v>394.8445842828649</v>
      </c>
      <c r="CZ145" s="60">
        <f t="shared" si="150"/>
        <v>246.54010105494143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2.8386662179599044E-16</v>
      </c>
      <c r="DI145" s="24">
        <f t="shared" si="123"/>
        <v>2.8386662179599044E-16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5.6843418860808015E-14</v>
      </c>
      <c r="DP145" s="18">
        <f>DO145*VLOOKUP('Données projet'!$B$14,Paramètres!$A$1:$I$89,3,0)*VLOOKUP('Données projet'!$B$14,Paramètres!$A$1:$I$89,5,0)</f>
        <v>4.9658410716801891E-14</v>
      </c>
      <c r="DQ145" s="14">
        <f t="shared" si="151"/>
        <v>8.0934058173791862E-13</v>
      </c>
      <c r="DR145" s="22">
        <f t="shared" si="124"/>
        <v>1.4960899118586383E-12</v>
      </c>
      <c r="DS145" s="60">
        <f t="shared" si="125"/>
        <v>293.33333333333479</v>
      </c>
      <c r="DT145" s="60">
        <f ca="1">AVERAGE(OFFSET($DS$3,0,0,'Données projet'!$E$14+1,1))-AVERAGE(OFFSET($H$3,0,0,'Données projet'!$E$14+1,1))</f>
        <v>266.98113257513319</v>
      </c>
      <c r="DU145" s="60">
        <f t="shared" si="152"/>
        <v>275.73257102713393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0.49891854306447925</v>
      </c>
      <c r="EC145" s="23">
        <f>EXP(-LN(2)/2)*EC144+(1-EXP(-LN(2)/2))/(LN(2)/2)*DW145*DZ145*VLOOKUP('Données projet'!$B$14,Paramètres!$A$1:$I$89,3,0)*0.475*44/12</f>
        <v>1.4525323146398908E-16</v>
      </c>
      <c r="ED145" s="24">
        <f t="shared" si="126"/>
        <v>0.49891854306447941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1.1368683772161603E-13</v>
      </c>
      <c r="EK145" s="18">
        <f>EJ145*VLOOKUP('Données projet'!$B$15,Paramètres!$A$1:$I$89,3,0)*VLOOKUP('Données projet'!$B$15,Paramètres!$A$1:$I$89,5,0)</f>
        <v>1.2946657079737634E-13</v>
      </c>
      <c r="EL145" s="14">
        <f t="shared" si="153"/>
        <v>1.8873591890224769E-12</v>
      </c>
      <c r="EM145" s="22">
        <f t="shared" si="127"/>
        <v>3.5126381983529106E-12</v>
      </c>
      <c r="EN145" s="60">
        <f t="shared" si="128"/>
        <v>293.33333333333684</v>
      </c>
      <c r="EO145" s="60">
        <f ca="1">AVERAGE(OFFSET($EN$3,0,0,'Données projet'!$E$15+1,1))-AVERAGE(OFFSET($H$3,0,0,'Données projet'!$E$15+1,1))</f>
        <v>457.62828850677369</v>
      </c>
      <c r="EP145" s="60">
        <f t="shared" si="154"/>
        <v>282.78263556175563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1.1368683772161603E-13</v>
      </c>
      <c r="FF145" s="18">
        <f>FE145*VLOOKUP('Données projet'!$B$16,Paramètres!$A$1:$I$89,3,0)*VLOOKUP('Données projet'!$B$16,Paramètres!$A$1:$I$89,5,0)</f>
        <v>1.2414602679200469E-13</v>
      </c>
      <c r="FG145" s="14">
        <f t="shared" si="155"/>
        <v>1.8186582995804361E-12</v>
      </c>
      <c r="FH145" s="22">
        <f t="shared" si="130"/>
        <v>3.3837175350986671E-12</v>
      </c>
      <c r="FI145" s="60">
        <f t="shared" si="131"/>
        <v>293.33333333333672</v>
      </c>
      <c r="FJ145" s="60">
        <f ca="1">AVERAGE(OFFSET($FI$3,0,0,'Données projet'!$E$16+1,1))-AVERAGE(OFFSET($H$3,0,0,'Données projet'!$E$16+1,1))</f>
        <v>440.52623925652182</v>
      </c>
      <c r="FK145" s="60">
        <f t="shared" si="156"/>
        <v>272.91122662088918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3.4106051316484809E-13</v>
      </c>
      <c r="GA145" s="18">
        <f>FZ145*VLOOKUP('Données projet'!$B$17,Paramètres!$A$1:$I$89,3,0)*VLOOKUP('Données projet'!$B$17,Paramètres!$A$1:$I$89,5,0)</f>
        <v>1.5961632016114892E-13</v>
      </c>
      <c r="GB145" s="14">
        <f t="shared" si="157"/>
        <v>2.2708641912150958E-12</v>
      </c>
      <c r="GC145" s="22">
        <f t="shared" si="133"/>
        <v>4.2330868906469593E-12</v>
      </c>
      <c r="GD145" s="60">
        <f t="shared" si="134"/>
        <v>293.33333333333752</v>
      </c>
      <c r="GE145" s="60">
        <f ca="1">AVERAGE(OFFSET($GD$3,0,0,'Données projet'!$E$17+1,1))-AVERAGE(OFFSET($H$3,0,0,'Données projet'!$E$17+1,1))</f>
        <v>317.54276561627643</v>
      </c>
      <c r="GF145" s="60">
        <f t="shared" si="158"/>
        <v>238.92443174298893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>
        <f>GU145*VLOOKUP('Données projet'!$B$18,Paramètres!$A$1:$I$89,3,0)*VLOOKUP('Données projet'!$B$18,Paramètres!$A$1:$I$89,5,0)</f>
        <v>0</v>
      </c>
      <c r="GW145" s="14" t="e">
        <f t="shared" si="159"/>
        <v>#NUM!</v>
      </c>
      <c r="GX145" s="22" t="e">
        <f t="shared" si="136"/>
        <v>#NUM!</v>
      </c>
      <c r="GY145" s="60" t="e">
        <f t="shared" si="137"/>
        <v>#NUM!</v>
      </c>
      <c r="GZ145" s="60">
        <f ca="1">AVERAGE(OFFSET($GY$3,0,0,'Données projet'!$E$18+1,1))-AVERAGE(OFFSET($H$3,0,0,'Données projet'!$E$18+1,1))</f>
        <v>79.868679770907136</v>
      </c>
      <c r="HA145" s="60">
        <f t="shared" si="160"/>
        <v>370.47471103028312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6.7611578394456737</v>
      </c>
      <c r="HH145" s="23">
        <f>EXP(-LN(2)/25)*HH144+(1-EXP(-LN(2)/25))/(LN(2)/25)*Calculateur!HC145*Calculateur!HE145*VLOOKUP('Données projet'!$B$18,Paramètres!$A$1:$I$89,3,0)*0.475*44/12</f>
        <v>0.67694454407275295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7.4381023835184266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0">
        <f t="shared" si="109"/>
        <v>293.33333333333439</v>
      </c>
      <c r="S146" s="60">
        <f ca="1">AVERAGE(OFFSET($R$3,0,0,'Données projet'!$E$9+1,1))-AVERAGE(OFFSET($H$3,0,0,'Données projet'!$E$9+1,1))</f>
        <v>206.5885410269899</v>
      </c>
      <c r="T146" s="60">
        <f t="shared" si="142"/>
        <v>347.41156847586302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3.3992364478763198E-14</v>
      </c>
      <c r="AK146" s="14">
        <f t="shared" si="143"/>
        <v>5.790027782444094E-13</v>
      </c>
      <c r="AL146" s="22">
        <f t="shared" si="112"/>
        <v>1.0676332069095257E-12</v>
      </c>
      <c r="AM146" s="60">
        <f t="shared" si="113"/>
        <v>293.33333333333439</v>
      </c>
      <c r="AN146" s="60">
        <f ca="1">AVERAGE(OFFSET($AM$3,0,0,'Données projet'!$E$10+1,1))-AVERAGE(OFFSET($H$3,0,0,'Données projet'!$E$10+1,1))</f>
        <v>206.5885410269899</v>
      </c>
      <c r="AO146" s="60">
        <f t="shared" si="144"/>
        <v>347.41156847586302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11.670255381331033</v>
      </c>
      <c r="AV146" s="23">
        <f>EXP(-LN(2)/25)*AV145+(1-EXP(-LN(2)/25))/(LN(2)/25)*Calculateur!AQ146*Calculateur!AS146*VLOOKUP('Données projet'!$B$10,Paramètres!$A$1:$I$89,3,0)*0.475*44/12</f>
        <v>0.14571050790137968</v>
      </c>
      <c r="AW146" s="23">
        <f>EXP(-LN(2)/2)*AW145+(1-EXP(-LN(2)/2))/(LN(2)/2)*AQ146*AT146*VLOOKUP('Données projet'!$B$10,Paramètres!$A$1:$I$89,3,0)*0.475*44/12</f>
        <v>1.0809288173157994E-14</v>
      </c>
      <c r="AX146" s="23">
        <f t="shared" si="114"/>
        <v>11.815965889232423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1.0818439477588981E-13</v>
      </c>
      <c r="BF146" s="14">
        <f t="shared" si="145"/>
        <v>1.6104228458716316E-12</v>
      </c>
      <c r="BG146" s="22">
        <f t="shared" si="115"/>
        <v>2.9932409441277661E-12</v>
      </c>
      <c r="BH146" s="60">
        <f t="shared" si="116"/>
        <v>293.33333333333633</v>
      </c>
      <c r="BI146" s="60">
        <f ca="1">AVERAGE(OFFSET($BH$3,0,0,'Données projet'!$E$11+1,1))-AVERAGE(OFFSET($H$3,0,0,'Données projet'!$E$11+1,1))</f>
        <v>389.12604446638119</v>
      </c>
      <c r="BJ146" s="60">
        <f t="shared" si="146"/>
        <v>243.23852967152732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1.0286385077051818E-13</v>
      </c>
      <c r="CA146" s="14">
        <f t="shared" si="147"/>
        <v>1.5402366592183556E-12</v>
      </c>
      <c r="CB146" s="22">
        <f t="shared" si="118"/>
        <v>2.8617333882306215E-12</v>
      </c>
      <c r="CC146" s="60">
        <f t="shared" si="119"/>
        <v>293.33333333333616</v>
      </c>
      <c r="CD146" s="60">
        <f ca="1">AVERAGE(OFFSET($CC$3,0,0,'Données projet'!$E$12+1,1))-AVERAGE(OFFSET($H$3,0,0,'Données projet'!$E$12+1,1))</f>
        <v>371.95849973474657</v>
      </c>
      <c r="CE146" s="60">
        <f t="shared" si="148"/>
        <v>233.32640143610547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1.8777407688739968E-16</v>
      </c>
      <c r="CN146" s="24">
        <f t="shared" si="120"/>
        <v>1.8777407688739968E-16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1.0995790944434703E-13</v>
      </c>
      <c r="CV146" s="14">
        <f t="shared" si="149"/>
        <v>1.6337280948049956E-12</v>
      </c>
      <c r="CW146" s="22">
        <f t="shared" si="121"/>
        <v>3.036919790734272E-12</v>
      </c>
      <c r="CX146" s="60">
        <f t="shared" si="122"/>
        <v>293.33333333333633</v>
      </c>
      <c r="CY146" s="60">
        <f ca="1">AVERAGE(OFFSET($CX$3,0,0,'Données projet'!$E$13+1,1))-AVERAGE(OFFSET($H$3,0,0,'Données projet'!$E$13+1,1))</f>
        <v>394.8445842828649</v>
      </c>
      <c r="CZ146" s="60">
        <f t="shared" si="150"/>
        <v>246.54010105494143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2.0072401322446185E-16</v>
      </c>
      <c r="DI146" s="24">
        <f t="shared" si="123"/>
        <v>2.0072401322446185E-16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5.6843418860808015E-14</v>
      </c>
      <c r="DP146" s="18">
        <f>DO146*VLOOKUP('Données projet'!$B$14,Paramètres!$A$1:$I$89,3,0)*VLOOKUP('Données projet'!$B$14,Paramètres!$A$1:$I$89,5,0)</f>
        <v>4.9658410716801891E-14</v>
      </c>
      <c r="DQ146" s="14">
        <f t="shared" si="151"/>
        <v>8.0934058173791862E-13</v>
      </c>
      <c r="DR146" s="22">
        <f t="shared" si="124"/>
        <v>1.4960899118586383E-12</v>
      </c>
      <c r="DS146" s="60">
        <f t="shared" si="125"/>
        <v>293.33333333333479</v>
      </c>
      <c r="DT146" s="60">
        <f ca="1">AVERAGE(OFFSET($DS$3,0,0,'Données projet'!$E$14+1,1))-AVERAGE(OFFSET($H$3,0,0,'Données projet'!$E$14+1,1))</f>
        <v>266.98113257513319</v>
      </c>
      <c r="DU146" s="60">
        <f t="shared" si="152"/>
        <v>275.73257102713393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0.48527558926739517</v>
      </c>
      <c r="EC146" s="23">
        <f>EXP(-LN(2)/2)*EC145+(1-EXP(-LN(2)/2))/(LN(2)/2)*DW146*DZ146*VLOOKUP('Données projet'!$B$14,Paramètres!$A$1:$I$89,3,0)*0.475*44/12</f>
        <v>1.0270954495744586E-16</v>
      </c>
      <c r="ED146" s="24">
        <f t="shared" si="126"/>
        <v>0.48527558926739528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1.1368683772161603E-13</v>
      </c>
      <c r="EK146" s="18">
        <f>EJ146*VLOOKUP('Données projet'!$B$15,Paramètres!$A$1:$I$89,3,0)*VLOOKUP('Données projet'!$B$15,Paramètres!$A$1:$I$89,5,0)</f>
        <v>1.2946657079737634E-13</v>
      </c>
      <c r="EL146" s="14">
        <f t="shared" si="153"/>
        <v>1.8873591890224769E-12</v>
      </c>
      <c r="EM146" s="22">
        <f t="shared" si="127"/>
        <v>3.5126381983529106E-12</v>
      </c>
      <c r="EN146" s="60">
        <f t="shared" si="128"/>
        <v>293.33333333333684</v>
      </c>
      <c r="EO146" s="60">
        <f ca="1">AVERAGE(OFFSET($EN$3,0,0,'Données projet'!$E$15+1,1))-AVERAGE(OFFSET($H$3,0,0,'Données projet'!$E$15+1,1))</f>
        <v>457.62828850677369</v>
      </c>
      <c r="EP146" s="60">
        <f t="shared" si="154"/>
        <v>282.78263556175563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1.1368683772161603E-13</v>
      </c>
      <c r="FF146" s="18">
        <f>FE146*VLOOKUP('Données projet'!$B$16,Paramètres!$A$1:$I$89,3,0)*VLOOKUP('Données projet'!$B$16,Paramètres!$A$1:$I$89,5,0)</f>
        <v>1.2414602679200469E-13</v>
      </c>
      <c r="FG146" s="14">
        <f t="shared" si="155"/>
        <v>1.8186582995804361E-12</v>
      </c>
      <c r="FH146" s="22">
        <f t="shared" si="130"/>
        <v>3.3837175350986671E-12</v>
      </c>
      <c r="FI146" s="60">
        <f t="shared" si="131"/>
        <v>293.33333333333672</v>
      </c>
      <c r="FJ146" s="60">
        <f ca="1">AVERAGE(OFFSET($FI$3,0,0,'Données projet'!$E$16+1,1))-AVERAGE(OFFSET($H$3,0,0,'Données projet'!$E$16+1,1))</f>
        <v>440.52623925652182</v>
      </c>
      <c r="FK146" s="60">
        <f t="shared" si="156"/>
        <v>272.91122662088918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3.4106051316484809E-13</v>
      </c>
      <c r="GA146" s="18">
        <f>FZ146*VLOOKUP('Données projet'!$B$17,Paramètres!$A$1:$I$89,3,0)*VLOOKUP('Données projet'!$B$17,Paramètres!$A$1:$I$89,5,0)</f>
        <v>1.5961632016114892E-13</v>
      </c>
      <c r="GB146" s="14">
        <f t="shared" si="157"/>
        <v>2.2708641912150958E-12</v>
      </c>
      <c r="GC146" s="22">
        <f t="shared" si="133"/>
        <v>4.2330868906469593E-12</v>
      </c>
      <c r="GD146" s="60">
        <f t="shared" si="134"/>
        <v>293.33333333333752</v>
      </c>
      <c r="GE146" s="60">
        <f ca="1">AVERAGE(OFFSET($GD$3,0,0,'Données projet'!$E$17+1,1))-AVERAGE(OFFSET($H$3,0,0,'Données projet'!$E$17+1,1))</f>
        <v>317.54276561627643</v>
      </c>
      <c r="GF146" s="60">
        <f t="shared" si="158"/>
        <v>238.92443174298893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>
        <f>GU146*VLOOKUP('Données projet'!$B$18,Paramètres!$A$1:$I$89,3,0)*VLOOKUP('Données projet'!$B$18,Paramètres!$A$1:$I$89,5,0)</f>
        <v>0</v>
      </c>
      <c r="GW146" s="14" t="e">
        <f t="shared" si="159"/>
        <v>#NUM!</v>
      </c>
      <c r="GX146" s="22" t="e">
        <f t="shared" si="136"/>
        <v>#NUM!</v>
      </c>
      <c r="GY146" s="60" t="e">
        <f t="shared" si="137"/>
        <v>#NUM!</v>
      </c>
      <c r="GZ146" s="60">
        <f ca="1">AVERAGE(OFFSET($GY$3,0,0,'Données projet'!$E$18+1,1))-AVERAGE(OFFSET($H$3,0,0,'Données projet'!$E$18+1,1))</f>
        <v>79.868679770907136</v>
      </c>
      <c r="HA146" s="60">
        <f t="shared" si="160"/>
        <v>370.47471103028312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6.6285756581132249</v>
      </c>
      <c r="HH146" s="23">
        <f>EXP(-LN(2)/25)*HH145+(1-EXP(-LN(2)/25))/(LN(2)/25)*Calculateur!HC146*Calculateur!HE146*VLOOKUP('Données projet'!$B$18,Paramètres!$A$1:$I$89,3,0)*0.475*44/12</f>
        <v>0.65843345991611713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7.2870091180293421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0">
        <f t="shared" si="109"/>
        <v>293.33333333333439</v>
      </c>
      <c r="S147" s="60">
        <f ca="1">AVERAGE(OFFSET($R$3,0,0,'Données projet'!$E$9+1,1))-AVERAGE(OFFSET($H$3,0,0,'Données projet'!$E$9+1,1))</f>
        <v>206.5885410269899</v>
      </c>
      <c r="T147" s="60">
        <f t="shared" si="142"/>
        <v>347.41156847586302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3.3992364478763198E-14</v>
      </c>
      <c r="AK147" s="14">
        <f t="shared" si="143"/>
        <v>5.790027782444094E-13</v>
      </c>
      <c r="AL147" s="22">
        <f t="shared" si="112"/>
        <v>1.0676332069095257E-12</v>
      </c>
      <c r="AM147" s="60">
        <f t="shared" si="113"/>
        <v>293.33333333333439</v>
      </c>
      <c r="AN147" s="60">
        <f ca="1">AVERAGE(OFFSET($AM$3,0,0,'Données projet'!$E$10+1,1))-AVERAGE(OFFSET($H$3,0,0,'Données projet'!$E$10+1,1))</f>
        <v>206.5885410269899</v>
      </c>
      <c r="AO147" s="60">
        <f t="shared" si="144"/>
        <v>347.41156847586302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11.441408791456055</v>
      </c>
      <c r="AV147" s="23">
        <f>EXP(-LN(2)/25)*AV146+(1-EXP(-LN(2)/25))/(LN(2)/25)*Calculateur!AQ147*Calculateur!AS147*VLOOKUP('Données projet'!$B$10,Paramètres!$A$1:$I$89,3,0)*0.475*44/12</f>
        <v>0.14172604640023387</v>
      </c>
      <c r="AW147" s="23">
        <f>EXP(-LN(2)/2)*AW146+(1-EXP(-LN(2)/2))/(LN(2)/2)*AQ147*AT147*VLOOKUP('Données projet'!$B$10,Paramètres!$A$1:$I$89,3,0)*0.475*44/12</f>
        <v>7.6433209670395655E-15</v>
      </c>
      <c r="AX147" s="23">
        <f t="shared" si="114"/>
        <v>11.583134837856296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1.0818439477588981E-13</v>
      </c>
      <c r="BF147" s="14">
        <f t="shared" si="145"/>
        <v>1.6104228458716316E-12</v>
      </c>
      <c r="BG147" s="22">
        <f t="shared" si="115"/>
        <v>2.9932409441277661E-12</v>
      </c>
      <c r="BH147" s="60">
        <f t="shared" si="116"/>
        <v>293.33333333333633</v>
      </c>
      <c r="BI147" s="60">
        <f ca="1">AVERAGE(OFFSET($BH$3,0,0,'Données projet'!$E$11+1,1))-AVERAGE(OFFSET($H$3,0,0,'Données projet'!$E$11+1,1))</f>
        <v>389.12604446638119</v>
      </c>
      <c r="BJ147" s="60">
        <f t="shared" si="146"/>
        <v>243.23852967152732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1.0286385077051818E-13</v>
      </c>
      <c r="CA147" s="14">
        <f t="shared" si="147"/>
        <v>1.5402366592183556E-12</v>
      </c>
      <c r="CB147" s="22">
        <f t="shared" si="118"/>
        <v>2.8617333882306215E-12</v>
      </c>
      <c r="CC147" s="60">
        <f t="shared" si="119"/>
        <v>293.33333333333616</v>
      </c>
      <c r="CD147" s="60">
        <f ca="1">AVERAGE(OFFSET($CC$3,0,0,'Données projet'!$E$12+1,1))-AVERAGE(OFFSET($H$3,0,0,'Données projet'!$E$12+1,1))</f>
        <v>371.95849973474657</v>
      </c>
      <c r="CE147" s="60">
        <f t="shared" si="148"/>
        <v>233.32640143610547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1.3277632309812448E-16</v>
      </c>
      <c r="CN147" s="24">
        <f t="shared" si="120"/>
        <v>1.3277632309812448E-16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1.0995790944434703E-13</v>
      </c>
      <c r="CV147" s="14">
        <f t="shared" si="149"/>
        <v>1.6337280948049956E-12</v>
      </c>
      <c r="CW147" s="22">
        <f t="shared" si="121"/>
        <v>3.036919790734272E-12</v>
      </c>
      <c r="CX147" s="60">
        <f t="shared" si="122"/>
        <v>293.33333333333633</v>
      </c>
      <c r="CY147" s="60">
        <f ca="1">AVERAGE(OFFSET($CX$3,0,0,'Données projet'!$E$13+1,1))-AVERAGE(OFFSET($H$3,0,0,'Données projet'!$E$13+1,1))</f>
        <v>394.8445842828649</v>
      </c>
      <c r="CZ147" s="60">
        <f t="shared" si="150"/>
        <v>246.54010105494143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1.4193331089799522E-16</v>
      </c>
      <c r="DI147" s="24">
        <f t="shared" si="123"/>
        <v>1.4193331089799522E-16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5.6843418860808015E-14</v>
      </c>
      <c r="DP147" s="18">
        <f>DO147*VLOOKUP('Données projet'!$B$14,Paramètres!$A$1:$I$89,3,0)*VLOOKUP('Données projet'!$B$14,Paramètres!$A$1:$I$89,5,0)</f>
        <v>4.9658410716801891E-14</v>
      </c>
      <c r="DQ147" s="14">
        <f t="shared" si="151"/>
        <v>8.0934058173791862E-13</v>
      </c>
      <c r="DR147" s="22">
        <f t="shared" si="124"/>
        <v>1.4960899118586383E-12</v>
      </c>
      <c r="DS147" s="60">
        <f t="shared" si="125"/>
        <v>293.33333333333479</v>
      </c>
      <c r="DT147" s="60">
        <f ca="1">AVERAGE(OFFSET($DS$3,0,0,'Données projet'!$E$14+1,1))-AVERAGE(OFFSET($H$3,0,0,'Données projet'!$E$14+1,1))</f>
        <v>266.98113257513319</v>
      </c>
      <c r="DU147" s="60">
        <f t="shared" si="152"/>
        <v>275.73257102713393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0.47200570275934411</v>
      </c>
      <c r="EC147" s="23">
        <f>EXP(-LN(2)/2)*EC146+(1-EXP(-LN(2)/2))/(LN(2)/2)*DW147*DZ147*VLOOKUP('Données projet'!$B$14,Paramètres!$A$1:$I$89,3,0)*0.475*44/12</f>
        <v>7.2626615731994538E-17</v>
      </c>
      <c r="ED147" s="24">
        <f t="shared" si="126"/>
        <v>0.47200570275934417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1.1368683772161603E-13</v>
      </c>
      <c r="EK147" s="18">
        <f>EJ147*VLOOKUP('Données projet'!$B$15,Paramètres!$A$1:$I$89,3,0)*VLOOKUP('Données projet'!$B$15,Paramètres!$A$1:$I$89,5,0)</f>
        <v>1.2946657079737634E-13</v>
      </c>
      <c r="EL147" s="14">
        <f t="shared" si="153"/>
        <v>1.8873591890224769E-12</v>
      </c>
      <c r="EM147" s="22">
        <f t="shared" si="127"/>
        <v>3.5126381983529106E-12</v>
      </c>
      <c r="EN147" s="60">
        <f t="shared" si="128"/>
        <v>293.33333333333684</v>
      </c>
      <c r="EO147" s="60">
        <f ca="1">AVERAGE(OFFSET($EN$3,0,0,'Données projet'!$E$15+1,1))-AVERAGE(OFFSET($H$3,0,0,'Données projet'!$E$15+1,1))</f>
        <v>457.62828850677369</v>
      </c>
      <c r="EP147" s="60">
        <f t="shared" si="154"/>
        <v>282.78263556175563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1.1368683772161603E-13</v>
      </c>
      <c r="FF147" s="18">
        <f>FE147*VLOOKUP('Données projet'!$B$16,Paramètres!$A$1:$I$89,3,0)*VLOOKUP('Données projet'!$B$16,Paramètres!$A$1:$I$89,5,0)</f>
        <v>1.2414602679200469E-13</v>
      </c>
      <c r="FG147" s="14">
        <f t="shared" si="155"/>
        <v>1.8186582995804361E-12</v>
      </c>
      <c r="FH147" s="22">
        <f t="shared" si="130"/>
        <v>3.3837175350986671E-12</v>
      </c>
      <c r="FI147" s="60">
        <f t="shared" si="131"/>
        <v>293.33333333333672</v>
      </c>
      <c r="FJ147" s="60">
        <f ca="1">AVERAGE(OFFSET($FI$3,0,0,'Données projet'!$E$16+1,1))-AVERAGE(OFFSET($H$3,0,0,'Données projet'!$E$16+1,1))</f>
        <v>440.52623925652182</v>
      </c>
      <c r="FK147" s="60">
        <f t="shared" si="156"/>
        <v>272.91122662088918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3.4106051316484809E-13</v>
      </c>
      <c r="GA147" s="18">
        <f>FZ147*VLOOKUP('Données projet'!$B$17,Paramètres!$A$1:$I$89,3,0)*VLOOKUP('Données projet'!$B$17,Paramètres!$A$1:$I$89,5,0)</f>
        <v>1.5961632016114892E-13</v>
      </c>
      <c r="GB147" s="14">
        <f t="shared" si="157"/>
        <v>2.2708641912150958E-12</v>
      </c>
      <c r="GC147" s="22">
        <f t="shared" si="133"/>
        <v>4.2330868906469593E-12</v>
      </c>
      <c r="GD147" s="60">
        <f t="shared" si="134"/>
        <v>293.33333333333752</v>
      </c>
      <c r="GE147" s="60">
        <f ca="1">AVERAGE(OFFSET($GD$3,0,0,'Données projet'!$E$17+1,1))-AVERAGE(OFFSET($H$3,0,0,'Données projet'!$E$17+1,1))</f>
        <v>317.54276561627643</v>
      </c>
      <c r="GF147" s="60">
        <f t="shared" si="158"/>
        <v>238.92443174298893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>
        <f>GU147*VLOOKUP('Données projet'!$B$18,Paramètres!$A$1:$I$89,3,0)*VLOOKUP('Données projet'!$B$18,Paramètres!$A$1:$I$89,5,0)</f>
        <v>0</v>
      </c>
      <c r="GW147" s="14" t="e">
        <f t="shared" si="159"/>
        <v>#NUM!</v>
      </c>
      <c r="GX147" s="22" t="e">
        <f t="shared" si="136"/>
        <v>#NUM!</v>
      </c>
      <c r="GY147" s="60" t="e">
        <f t="shared" si="137"/>
        <v>#NUM!</v>
      </c>
      <c r="GZ147" s="60">
        <f ca="1">AVERAGE(OFFSET($GY$3,0,0,'Données projet'!$E$18+1,1))-AVERAGE(OFFSET($H$3,0,0,'Données projet'!$E$18+1,1))</f>
        <v>79.868679770907136</v>
      </c>
      <c r="HA147" s="60">
        <f t="shared" si="160"/>
        <v>370.47471103028312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6.4985933324895599</v>
      </c>
      <c r="HH147" s="23">
        <f>EXP(-LN(2)/25)*HH146+(1-EXP(-LN(2)/25))/(LN(2)/25)*Calculateur!HC147*Calculateur!HE147*VLOOKUP('Données projet'!$B$18,Paramètres!$A$1:$I$89,3,0)*0.475*44/12</f>
        <v>0.64042856232920009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7.13902189481876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0">
        <f t="shared" si="109"/>
        <v>293.33333333333439</v>
      </c>
      <c r="S148" s="60">
        <f ca="1">AVERAGE(OFFSET($R$3,0,0,'Données projet'!$E$9+1,1))-AVERAGE(OFFSET($H$3,0,0,'Données projet'!$E$9+1,1))</f>
        <v>206.5885410269899</v>
      </c>
      <c r="T148" s="60">
        <f t="shared" si="142"/>
        <v>347.41156847586302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3.3992364478763198E-14</v>
      </c>
      <c r="AK148" s="14">
        <f t="shared" si="143"/>
        <v>5.790027782444094E-13</v>
      </c>
      <c r="AL148" s="22">
        <f t="shared" si="112"/>
        <v>1.0676332069095257E-12</v>
      </c>
      <c r="AM148" s="60">
        <f t="shared" si="113"/>
        <v>293.33333333333439</v>
      </c>
      <c r="AN148" s="60">
        <f ca="1">AVERAGE(OFFSET($AM$3,0,0,'Données projet'!$E$10+1,1))-AVERAGE(OFFSET($H$3,0,0,'Données projet'!$E$10+1,1))</f>
        <v>206.5885410269899</v>
      </c>
      <c r="AO148" s="60">
        <f t="shared" si="144"/>
        <v>347.41156847586302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11.217049743625889</v>
      </c>
      <c r="AV148" s="23">
        <f>EXP(-LN(2)/25)*AV147+(1-EXP(-LN(2)/25))/(LN(2)/25)*Calculateur!AQ148*Calculateur!AS148*VLOOKUP('Données projet'!$B$10,Paramètres!$A$1:$I$89,3,0)*0.475*44/12</f>
        <v>0.13785054020837062</v>
      </c>
      <c r="AW148" s="23">
        <f>EXP(-LN(2)/2)*AW147+(1-EXP(-LN(2)/2))/(LN(2)/2)*AQ148*AT148*VLOOKUP('Données projet'!$B$10,Paramètres!$A$1:$I$89,3,0)*0.475*44/12</f>
        <v>5.4046440865789969E-15</v>
      </c>
      <c r="AX148" s="23">
        <f t="shared" si="114"/>
        <v>11.354900283834265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1.0818439477588981E-13</v>
      </c>
      <c r="BF148" s="14">
        <f t="shared" si="145"/>
        <v>1.6104228458716316E-12</v>
      </c>
      <c r="BG148" s="22">
        <f t="shared" si="115"/>
        <v>2.9932409441277661E-12</v>
      </c>
      <c r="BH148" s="60">
        <f t="shared" si="116"/>
        <v>293.33333333333633</v>
      </c>
      <c r="BI148" s="60">
        <f ca="1">AVERAGE(OFFSET($BH$3,0,0,'Données projet'!$E$11+1,1))-AVERAGE(OFFSET($H$3,0,0,'Données projet'!$E$11+1,1))</f>
        <v>389.12604446638119</v>
      </c>
      <c r="BJ148" s="60">
        <f t="shared" si="146"/>
        <v>243.23852967152732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1.0286385077051818E-13</v>
      </c>
      <c r="CA148" s="14">
        <f t="shared" si="147"/>
        <v>1.5402366592183556E-12</v>
      </c>
      <c r="CB148" s="22">
        <f t="shared" si="118"/>
        <v>2.8617333882306215E-12</v>
      </c>
      <c r="CC148" s="60">
        <f t="shared" si="119"/>
        <v>293.33333333333616</v>
      </c>
      <c r="CD148" s="60">
        <f ca="1">AVERAGE(OFFSET($CC$3,0,0,'Données projet'!$E$12+1,1))-AVERAGE(OFFSET($H$3,0,0,'Données projet'!$E$12+1,1))</f>
        <v>371.95849973474657</v>
      </c>
      <c r="CE148" s="60">
        <f t="shared" si="148"/>
        <v>233.32640143610547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9.3887038443699842E-17</v>
      </c>
      <c r="CN148" s="24">
        <f t="shared" si="120"/>
        <v>9.3887038443699842E-17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1.0995790944434703E-13</v>
      </c>
      <c r="CV148" s="14">
        <f t="shared" si="149"/>
        <v>1.6337280948049956E-12</v>
      </c>
      <c r="CW148" s="22">
        <f t="shared" si="121"/>
        <v>3.036919790734272E-12</v>
      </c>
      <c r="CX148" s="60">
        <f t="shared" si="122"/>
        <v>293.33333333333633</v>
      </c>
      <c r="CY148" s="60">
        <f ca="1">AVERAGE(OFFSET($CX$3,0,0,'Données projet'!$E$13+1,1))-AVERAGE(OFFSET($H$3,0,0,'Données projet'!$E$13+1,1))</f>
        <v>394.8445842828649</v>
      </c>
      <c r="CZ148" s="60">
        <f t="shared" si="150"/>
        <v>246.54010105494143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1.0036200661223093E-16</v>
      </c>
      <c r="DI148" s="24">
        <f t="shared" si="123"/>
        <v>1.0036200661223093E-16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5.6843418860808015E-14</v>
      </c>
      <c r="DP148" s="18">
        <f>DO148*VLOOKUP('Données projet'!$B$14,Paramètres!$A$1:$I$89,3,0)*VLOOKUP('Données projet'!$B$14,Paramètres!$A$1:$I$89,5,0)</f>
        <v>4.9658410716801891E-14</v>
      </c>
      <c r="DQ148" s="14">
        <f t="shared" si="151"/>
        <v>8.0934058173791862E-13</v>
      </c>
      <c r="DR148" s="22">
        <f t="shared" si="124"/>
        <v>1.4960899118586383E-12</v>
      </c>
      <c r="DS148" s="60">
        <f t="shared" si="125"/>
        <v>293.33333333333479</v>
      </c>
      <c r="DT148" s="60">
        <f ca="1">AVERAGE(OFFSET($DS$3,0,0,'Données projet'!$E$14+1,1))-AVERAGE(OFFSET($H$3,0,0,'Données projet'!$E$14+1,1))</f>
        <v>266.98113257513319</v>
      </c>
      <c r="DU148" s="60">
        <f t="shared" si="152"/>
        <v>275.73257102713393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0.45909868199568871</v>
      </c>
      <c r="EC148" s="23">
        <f>EXP(-LN(2)/2)*EC147+(1-EXP(-LN(2)/2))/(LN(2)/2)*DW148*DZ148*VLOOKUP('Données projet'!$B$14,Paramètres!$A$1:$I$89,3,0)*0.475*44/12</f>
        <v>5.1354772478722932E-17</v>
      </c>
      <c r="ED148" s="24">
        <f t="shared" si="126"/>
        <v>0.45909868199568876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1.1368683772161603E-13</v>
      </c>
      <c r="EK148" s="18">
        <f>EJ148*VLOOKUP('Données projet'!$B$15,Paramètres!$A$1:$I$89,3,0)*VLOOKUP('Données projet'!$B$15,Paramètres!$A$1:$I$89,5,0)</f>
        <v>1.2946657079737634E-13</v>
      </c>
      <c r="EL148" s="14">
        <f t="shared" si="153"/>
        <v>1.8873591890224769E-12</v>
      </c>
      <c r="EM148" s="22">
        <f t="shared" si="127"/>
        <v>3.5126381983529106E-12</v>
      </c>
      <c r="EN148" s="60">
        <f t="shared" si="128"/>
        <v>293.33333333333684</v>
      </c>
      <c r="EO148" s="60">
        <f ca="1">AVERAGE(OFFSET($EN$3,0,0,'Données projet'!$E$15+1,1))-AVERAGE(OFFSET($H$3,0,0,'Données projet'!$E$15+1,1))</f>
        <v>457.62828850677369</v>
      </c>
      <c r="EP148" s="60">
        <f t="shared" si="154"/>
        <v>282.78263556175563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1.1368683772161603E-13</v>
      </c>
      <c r="FF148" s="18">
        <f>FE148*VLOOKUP('Données projet'!$B$16,Paramètres!$A$1:$I$89,3,0)*VLOOKUP('Données projet'!$B$16,Paramètres!$A$1:$I$89,5,0)</f>
        <v>1.2414602679200469E-13</v>
      </c>
      <c r="FG148" s="14">
        <f t="shared" si="155"/>
        <v>1.8186582995804361E-12</v>
      </c>
      <c r="FH148" s="22">
        <f t="shared" si="130"/>
        <v>3.3837175350986671E-12</v>
      </c>
      <c r="FI148" s="60">
        <f t="shared" si="131"/>
        <v>293.33333333333672</v>
      </c>
      <c r="FJ148" s="60">
        <f ca="1">AVERAGE(OFFSET($FI$3,0,0,'Données projet'!$E$16+1,1))-AVERAGE(OFFSET($H$3,0,0,'Données projet'!$E$16+1,1))</f>
        <v>440.52623925652182</v>
      </c>
      <c r="FK148" s="60">
        <f t="shared" si="156"/>
        <v>272.91122662088918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3.4106051316484809E-13</v>
      </c>
      <c r="GA148" s="18">
        <f>FZ148*VLOOKUP('Données projet'!$B$17,Paramètres!$A$1:$I$89,3,0)*VLOOKUP('Données projet'!$B$17,Paramètres!$A$1:$I$89,5,0)</f>
        <v>1.5961632016114892E-13</v>
      </c>
      <c r="GB148" s="14">
        <f t="shared" si="157"/>
        <v>2.2708641912150958E-12</v>
      </c>
      <c r="GC148" s="22">
        <f t="shared" si="133"/>
        <v>4.2330868906469593E-12</v>
      </c>
      <c r="GD148" s="60">
        <f t="shared" si="134"/>
        <v>293.33333333333752</v>
      </c>
      <c r="GE148" s="60">
        <f ca="1">AVERAGE(OFFSET($GD$3,0,0,'Données projet'!$E$17+1,1))-AVERAGE(OFFSET($H$3,0,0,'Données projet'!$E$17+1,1))</f>
        <v>317.54276561627643</v>
      </c>
      <c r="GF148" s="60">
        <f t="shared" si="158"/>
        <v>238.92443174298893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>
        <f>GU148*VLOOKUP('Données projet'!$B$18,Paramètres!$A$1:$I$89,3,0)*VLOOKUP('Données projet'!$B$18,Paramètres!$A$1:$I$89,5,0)</f>
        <v>0</v>
      </c>
      <c r="GW148" s="14" t="e">
        <f t="shared" si="159"/>
        <v>#NUM!</v>
      </c>
      <c r="GX148" s="22" t="e">
        <f t="shared" si="136"/>
        <v>#NUM!</v>
      </c>
      <c r="GY148" s="60" t="e">
        <f t="shared" si="137"/>
        <v>#NUM!</v>
      </c>
      <c r="GZ148" s="60">
        <f ca="1">AVERAGE(OFFSET($GY$3,0,0,'Données projet'!$E$18+1,1))-AVERAGE(OFFSET($H$3,0,0,'Données projet'!$E$18+1,1))</f>
        <v>79.868679770907136</v>
      </c>
      <c r="HA148" s="60">
        <f t="shared" si="160"/>
        <v>370.47471103028312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6.3711598809899845</v>
      </c>
      <c r="HH148" s="23">
        <f>EXP(-LN(2)/25)*HH147+(1-EXP(-LN(2)/25))/(LN(2)/25)*Calculateur!HC148*Calculateur!HE148*VLOOKUP('Données projet'!$B$18,Paramètres!$A$1:$I$89,3,0)*0.475*44/12</f>
        <v>0.62291600961363369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6.994075890603618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0">
        <f t="shared" si="109"/>
        <v>293.33333333333439</v>
      </c>
      <c r="S149" s="60">
        <f ca="1">AVERAGE(OFFSET($R$3,0,0,'Données projet'!$E$9+1,1))-AVERAGE(OFFSET($H$3,0,0,'Données projet'!$E$9+1,1))</f>
        <v>206.5885410269899</v>
      </c>
      <c r="T149" s="60">
        <f t="shared" si="142"/>
        <v>347.41156847586302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3.3992364478763198E-14</v>
      </c>
      <c r="AK149" s="14">
        <f t="shared" si="143"/>
        <v>5.790027782444094E-13</v>
      </c>
      <c r="AL149" s="22">
        <f t="shared" si="112"/>
        <v>1.0676332069095257E-12</v>
      </c>
      <c r="AM149" s="60">
        <f t="shared" si="113"/>
        <v>293.33333333333439</v>
      </c>
      <c r="AN149" s="60">
        <f ca="1">AVERAGE(OFFSET($AM$3,0,0,'Données projet'!$E$10+1,1))-AVERAGE(OFFSET($H$3,0,0,'Données projet'!$E$10+1,1))</f>
        <v>206.5885410269899</v>
      </c>
      <c r="AO149" s="60">
        <f t="shared" si="144"/>
        <v>347.41156847586302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10.997090239878165</v>
      </c>
      <c r="AV149" s="23">
        <f>EXP(-LN(2)/25)*AV148+(1-EXP(-LN(2)/25))/(LN(2)/25)*Calculateur!AQ149*Calculateur!AS149*VLOOKUP('Données projet'!$B$10,Paramètres!$A$1:$I$89,3,0)*0.475*44/12</f>
        <v>0.13408100993712788</v>
      </c>
      <c r="AW149" s="23">
        <f>EXP(-LN(2)/2)*AW148+(1-EXP(-LN(2)/2))/(LN(2)/2)*AQ149*AT149*VLOOKUP('Données projet'!$B$10,Paramètres!$A$1:$I$89,3,0)*0.475*44/12</f>
        <v>3.8216604835197828E-15</v>
      </c>
      <c r="AX149" s="23">
        <f t="shared" si="114"/>
        <v>11.131171249815297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1.0818439477588981E-13</v>
      </c>
      <c r="BF149" s="14">
        <f t="shared" si="145"/>
        <v>1.6104228458716316E-12</v>
      </c>
      <c r="BG149" s="22">
        <f t="shared" si="115"/>
        <v>2.9932409441277661E-12</v>
      </c>
      <c r="BH149" s="60">
        <f t="shared" si="116"/>
        <v>293.33333333333633</v>
      </c>
      <c r="BI149" s="60">
        <f ca="1">AVERAGE(OFFSET($BH$3,0,0,'Données projet'!$E$11+1,1))-AVERAGE(OFFSET($H$3,0,0,'Données projet'!$E$11+1,1))</f>
        <v>389.12604446638119</v>
      </c>
      <c r="BJ149" s="60">
        <f t="shared" si="146"/>
        <v>243.23852967152732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1.0286385077051818E-13</v>
      </c>
      <c r="CA149" s="14">
        <f t="shared" si="147"/>
        <v>1.5402366592183556E-12</v>
      </c>
      <c r="CB149" s="22">
        <f t="shared" si="118"/>
        <v>2.8617333882306215E-12</v>
      </c>
      <c r="CC149" s="60">
        <f t="shared" si="119"/>
        <v>293.33333333333616</v>
      </c>
      <c r="CD149" s="60">
        <f ca="1">AVERAGE(OFFSET($CC$3,0,0,'Données projet'!$E$12+1,1))-AVERAGE(OFFSET($H$3,0,0,'Données projet'!$E$12+1,1))</f>
        <v>371.95849973474657</v>
      </c>
      <c r="CE149" s="60">
        <f t="shared" si="148"/>
        <v>233.32640143610547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6.6388161549062238E-17</v>
      </c>
      <c r="CN149" s="24">
        <f t="shared" si="120"/>
        <v>6.6388161549062238E-17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1.0995790944434703E-13</v>
      </c>
      <c r="CV149" s="14">
        <f t="shared" si="149"/>
        <v>1.6337280948049956E-12</v>
      </c>
      <c r="CW149" s="22">
        <f t="shared" si="121"/>
        <v>3.036919790734272E-12</v>
      </c>
      <c r="CX149" s="60">
        <f t="shared" si="122"/>
        <v>293.33333333333633</v>
      </c>
      <c r="CY149" s="60">
        <f ca="1">AVERAGE(OFFSET($CX$3,0,0,'Données projet'!$E$13+1,1))-AVERAGE(OFFSET($H$3,0,0,'Données projet'!$E$13+1,1))</f>
        <v>394.8445842828649</v>
      </c>
      <c r="CZ149" s="60">
        <f t="shared" si="150"/>
        <v>246.54010105494143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7.0966655448997609E-17</v>
      </c>
      <c r="DI149" s="24">
        <f t="shared" si="123"/>
        <v>7.0966655448997609E-17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5.6843418860808015E-14</v>
      </c>
      <c r="DP149" s="18">
        <f>DO149*VLOOKUP('Données projet'!$B$14,Paramètres!$A$1:$I$89,3,0)*VLOOKUP('Données projet'!$B$14,Paramètres!$A$1:$I$89,5,0)</f>
        <v>4.9658410716801891E-14</v>
      </c>
      <c r="DQ149" s="14">
        <f t="shared" si="151"/>
        <v>8.0934058173791862E-13</v>
      </c>
      <c r="DR149" s="22">
        <f t="shared" si="124"/>
        <v>1.4960899118586383E-12</v>
      </c>
      <c r="DS149" s="60">
        <f t="shared" si="125"/>
        <v>293.33333333333479</v>
      </c>
      <c r="DT149" s="60">
        <f ca="1">AVERAGE(OFFSET($DS$3,0,0,'Données projet'!$E$14+1,1))-AVERAGE(OFFSET($H$3,0,0,'Données projet'!$E$14+1,1))</f>
        <v>266.98113257513319</v>
      </c>
      <c r="DU149" s="60">
        <f t="shared" si="152"/>
        <v>275.73257102713393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0.44654460439356619</v>
      </c>
      <c r="EC149" s="23">
        <f>EXP(-LN(2)/2)*EC148+(1-EXP(-LN(2)/2))/(LN(2)/2)*DW149*DZ149*VLOOKUP('Données projet'!$B$14,Paramètres!$A$1:$I$89,3,0)*0.475*44/12</f>
        <v>3.6313307865997269E-17</v>
      </c>
      <c r="ED149" s="24">
        <f t="shared" si="126"/>
        <v>0.44654460439356625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1.1368683772161603E-13</v>
      </c>
      <c r="EK149" s="18">
        <f>EJ149*VLOOKUP('Données projet'!$B$15,Paramètres!$A$1:$I$89,3,0)*VLOOKUP('Données projet'!$B$15,Paramètres!$A$1:$I$89,5,0)</f>
        <v>1.2946657079737634E-13</v>
      </c>
      <c r="EL149" s="14">
        <f t="shared" si="153"/>
        <v>1.8873591890224769E-12</v>
      </c>
      <c r="EM149" s="22">
        <f t="shared" si="127"/>
        <v>3.5126381983529106E-12</v>
      </c>
      <c r="EN149" s="60">
        <f t="shared" si="128"/>
        <v>293.33333333333684</v>
      </c>
      <c r="EO149" s="60">
        <f ca="1">AVERAGE(OFFSET($EN$3,0,0,'Données projet'!$E$15+1,1))-AVERAGE(OFFSET($H$3,0,0,'Données projet'!$E$15+1,1))</f>
        <v>457.62828850677369</v>
      </c>
      <c r="EP149" s="60">
        <f t="shared" si="154"/>
        <v>282.78263556175563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1.1368683772161603E-13</v>
      </c>
      <c r="FF149" s="18">
        <f>FE149*VLOOKUP('Données projet'!$B$16,Paramètres!$A$1:$I$89,3,0)*VLOOKUP('Données projet'!$B$16,Paramètres!$A$1:$I$89,5,0)</f>
        <v>1.2414602679200469E-13</v>
      </c>
      <c r="FG149" s="14">
        <f t="shared" si="155"/>
        <v>1.8186582995804361E-12</v>
      </c>
      <c r="FH149" s="22">
        <f t="shared" si="130"/>
        <v>3.3837175350986671E-12</v>
      </c>
      <c r="FI149" s="60">
        <f t="shared" si="131"/>
        <v>293.33333333333672</v>
      </c>
      <c r="FJ149" s="60">
        <f ca="1">AVERAGE(OFFSET($FI$3,0,0,'Données projet'!$E$16+1,1))-AVERAGE(OFFSET($H$3,0,0,'Données projet'!$E$16+1,1))</f>
        <v>440.52623925652182</v>
      </c>
      <c r="FK149" s="60">
        <f t="shared" si="156"/>
        <v>272.91122662088918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3.4106051316484809E-13</v>
      </c>
      <c r="GA149" s="18">
        <f>FZ149*VLOOKUP('Données projet'!$B$17,Paramètres!$A$1:$I$89,3,0)*VLOOKUP('Données projet'!$B$17,Paramètres!$A$1:$I$89,5,0)</f>
        <v>1.5961632016114892E-13</v>
      </c>
      <c r="GB149" s="14">
        <f t="shared" si="157"/>
        <v>2.2708641912150958E-12</v>
      </c>
      <c r="GC149" s="22">
        <f t="shared" si="133"/>
        <v>4.2330868906469593E-12</v>
      </c>
      <c r="GD149" s="60">
        <f t="shared" si="134"/>
        <v>293.33333333333752</v>
      </c>
      <c r="GE149" s="60">
        <f ca="1">AVERAGE(OFFSET($GD$3,0,0,'Données projet'!$E$17+1,1))-AVERAGE(OFFSET($H$3,0,0,'Données projet'!$E$17+1,1))</f>
        <v>317.54276561627643</v>
      </c>
      <c r="GF149" s="60">
        <f t="shared" si="158"/>
        <v>238.92443174298893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>
        <f>GU149*VLOOKUP('Données projet'!$B$18,Paramètres!$A$1:$I$89,3,0)*VLOOKUP('Données projet'!$B$18,Paramètres!$A$1:$I$89,5,0)</f>
        <v>0</v>
      </c>
      <c r="GW149" s="14" t="e">
        <f t="shared" si="159"/>
        <v>#NUM!</v>
      </c>
      <c r="GX149" s="22" t="e">
        <f t="shared" si="136"/>
        <v>#NUM!</v>
      </c>
      <c r="GY149" s="60" t="e">
        <f t="shared" si="137"/>
        <v>#NUM!</v>
      </c>
      <c r="GZ149" s="60">
        <f ca="1">AVERAGE(OFFSET($GY$3,0,0,'Données projet'!$E$18+1,1))-AVERAGE(OFFSET($H$3,0,0,'Données projet'!$E$18+1,1))</f>
        <v>79.868679770907136</v>
      </c>
      <c r="HA149" s="60">
        <f t="shared" si="160"/>
        <v>370.47471103028312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6.2462253217475849</v>
      </c>
      <c r="HH149" s="23">
        <f>EXP(-LN(2)/25)*HH148+(1-EXP(-LN(2)/25))/(LN(2)/25)*Calculateur!HC149*Calculateur!HE149*VLOOKUP('Données projet'!$B$18,Paramètres!$A$1:$I$89,3,0)*0.475*44/12</f>
        <v>0.60588233857301965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6.8521076603206046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0">
        <f t="shared" si="109"/>
        <v>293.33333333333439</v>
      </c>
      <c r="S150" s="60">
        <f ca="1">AVERAGE(OFFSET($R$3,0,0,'Données projet'!$E$9+1,1))-AVERAGE(OFFSET($H$3,0,0,'Données projet'!$E$9+1,1))</f>
        <v>206.5885410269899</v>
      </c>
      <c r="T150" s="60">
        <f t="shared" si="142"/>
        <v>347.41156847586302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3.3992364478763198E-14</v>
      </c>
      <c r="AK150" s="14">
        <f t="shared" si="143"/>
        <v>5.790027782444094E-13</v>
      </c>
      <c r="AL150" s="22">
        <f t="shared" si="112"/>
        <v>1.0676332069095257E-12</v>
      </c>
      <c r="AM150" s="60">
        <f t="shared" si="113"/>
        <v>293.33333333333439</v>
      </c>
      <c r="AN150" s="60">
        <f ca="1">AVERAGE(OFFSET($AM$3,0,0,'Données projet'!$E$10+1,1))-AVERAGE(OFFSET($H$3,0,0,'Données projet'!$E$10+1,1))</f>
        <v>206.5885410269899</v>
      </c>
      <c r="AO150" s="60">
        <f t="shared" si="144"/>
        <v>347.41156847586302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10.781444007836884</v>
      </c>
      <c r="AV150" s="23">
        <f>EXP(-LN(2)/25)*AV149+(1-EXP(-LN(2)/25))/(LN(2)/25)*Calculateur!AQ150*Calculateur!AS150*VLOOKUP('Données projet'!$B$10,Paramètres!$A$1:$I$89,3,0)*0.475*44/12</f>
        <v>0.13041455766938326</v>
      </c>
      <c r="AW150" s="23">
        <f>EXP(-LN(2)/2)*AW149+(1-EXP(-LN(2)/2))/(LN(2)/2)*AQ150*AT150*VLOOKUP('Données projet'!$B$10,Paramètres!$A$1:$I$89,3,0)*0.475*44/12</f>
        <v>2.7023220432894984E-15</v>
      </c>
      <c r="AX150" s="23">
        <f t="shared" si="114"/>
        <v>10.91185856550627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1.0818439477588981E-13</v>
      </c>
      <c r="BF150" s="14">
        <f t="shared" si="145"/>
        <v>1.6104228458716316E-12</v>
      </c>
      <c r="BG150" s="22">
        <f t="shared" si="115"/>
        <v>2.9932409441277661E-12</v>
      </c>
      <c r="BH150" s="60">
        <f t="shared" si="116"/>
        <v>293.33333333333633</v>
      </c>
      <c r="BI150" s="60">
        <f ca="1">AVERAGE(OFFSET($BH$3,0,0,'Données projet'!$E$11+1,1))-AVERAGE(OFFSET($H$3,0,0,'Données projet'!$E$11+1,1))</f>
        <v>389.12604446638119</v>
      </c>
      <c r="BJ150" s="60">
        <f t="shared" si="146"/>
        <v>243.23852967152732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1.0286385077051818E-13</v>
      </c>
      <c r="CA150" s="14">
        <f t="shared" si="147"/>
        <v>1.5402366592183556E-12</v>
      </c>
      <c r="CB150" s="22">
        <f t="shared" si="118"/>
        <v>2.8617333882306215E-12</v>
      </c>
      <c r="CC150" s="60">
        <f t="shared" si="119"/>
        <v>293.33333333333616</v>
      </c>
      <c r="CD150" s="60">
        <f ca="1">AVERAGE(OFFSET($CC$3,0,0,'Données projet'!$E$12+1,1))-AVERAGE(OFFSET($H$3,0,0,'Données projet'!$E$12+1,1))</f>
        <v>371.95849973474657</v>
      </c>
      <c r="CE150" s="60">
        <f t="shared" si="148"/>
        <v>233.32640143610547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4.6943519221849921E-17</v>
      </c>
      <c r="CN150" s="24">
        <f t="shared" si="120"/>
        <v>4.6943519221849921E-17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1.0995790944434703E-13</v>
      </c>
      <c r="CV150" s="14">
        <f t="shared" si="149"/>
        <v>1.6337280948049956E-12</v>
      </c>
      <c r="CW150" s="22">
        <f t="shared" si="121"/>
        <v>3.036919790734272E-12</v>
      </c>
      <c r="CX150" s="60">
        <f t="shared" si="122"/>
        <v>293.33333333333633</v>
      </c>
      <c r="CY150" s="60">
        <f ca="1">AVERAGE(OFFSET($CX$3,0,0,'Données projet'!$E$13+1,1))-AVERAGE(OFFSET($H$3,0,0,'Données projet'!$E$13+1,1))</f>
        <v>394.8445842828649</v>
      </c>
      <c r="CZ150" s="60">
        <f t="shared" si="150"/>
        <v>246.54010105494143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5.0181003306115463E-17</v>
      </c>
      <c r="DI150" s="24">
        <f t="shared" si="123"/>
        <v>5.0181003306115463E-17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5.6843418860808015E-14</v>
      </c>
      <c r="DP150" s="18">
        <f>DO150*VLOOKUP('Données projet'!$B$14,Paramètres!$A$1:$I$89,3,0)*VLOOKUP('Données projet'!$B$14,Paramètres!$A$1:$I$89,5,0)</f>
        <v>4.9658410716801891E-14</v>
      </c>
      <c r="DQ150" s="14">
        <f t="shared" si="151"/>
        <v>8.0934058173791862E-13</v>
      </c>
      <c r="DR150" s="22">
        <f t="shared" si="124"/>
        <v>1.4960899118586383E-12</v>
      </c>
      <c r="DS150" s="60">
        <f t="shared" si="125"/>
        <v>293.33333333333479</v>
      </c>
      <c r="DT150" s="60">
        <f ca="1">AVERAGE(OFFSET($DS$3,0,0,'Données projet'!$E$14+1,1))-AVERAGE(OFFSET($H$3,0,0,'Données projet'!$E$14+1,1))</f>
        <v>266.98113257513319</v>
      </c>
      <c r="DU150" s="60">
        <f t="shared" si="152"/>
        <v>275.73257102713393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0.43433381870366394</v>
      </c>
      <c r="EC150" s="23">
        <f>EXP(-LN(2)/2)*EC149+(1-EXP(-LN(2)/2))/(LN(2)/2)*DW150*DZ150*VLOOKUP('Données projet'!$B$14,Paramètres!$A$1:$I$89,3,0)*0.475*44/12</f>
        <v>2.5677386239361466E-17</v>
      </c>
      <c r="ED150" s="24">
        <f t="shared" si="126"/>
        <v>0.43433381870366394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1.1368683772161603E-13</v>
      </c>
      <c r="EK150" s="18">
        <f>EJ150*VLOOKUP('Données projet'!$B$15,Paramètres!$A$1:$I$89,3,0)*VLOOKUP('Données projet'!$B$15,Paramètres!$A$1:$I$89,5,0)</f>
        <v>1.2946657079737634E-13</v>
      </c>
      <c r="EL150" s="14">
        <f t="shared" si="153"/>
        <v>1.8873591890224769E-12</v>
      </c>
      <c r="EM150" s="22">
        <f t="shared" si="127"/>
        <v>3.5126381983529106E-12</v>
      </c>
      <c r="EN150" s="60">
        <f t="shared" si="128"/>
        <v>293.33333333333684</v>
      </c>
      <c r="EO150" s="60">
        <f ca="1">AVERAGE(OFFSET($EN$3,0,0,'Données projet'!$E$15+1,1))-AVERAGE(OFFSET($H$3,0,0,'Données projet'!$E$15+1,1))</f>
        <v>457.62828850677369</v>
      </c>
      <c r="EP150" s="60">
        <f t="shared" si="154"/>
        <v>282.78263556175563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1.1368683772161603E-13</v>
      </c>
      <c r="FF150" s="18">
        <f>FE150*VLOOKUP('Données projet'!$B$16,Paramètres!$A$1:$I$89,3,0)*VLOOKUP('Données projet'!$B$16,Paramètres!$A$1:$I$89,5,0)</f>
        <v>1.2414602679200469E-13</v>
      </c>
      <c r="FG150" s="14">
        <f t="shared" si="155"/>
        <v>1.8186582995804361E-12</v>
      </c>
      <c r="FH150" s="22">
        <f t="shared" si="130"/>
        <v>3.3837175350986671E-12</v>
      </c>
      <c r="FI150" s="60">
        <f t="shared" si="131"/>
        <v>293.33333333333672</v>
      </c>
      <c r="FJ150" s="60">
        <f ca="1">AVERAGE(OFFSET($FI$3,0,0,'Données projet'!$E$16+1,1))-AVERAGE(OFFSET($H$3,0,0,'Données projet'!$E$16+1,1))</f>
        <v>440.52623925652182</v>
      </c>
      <c r="FK150" s="60">
        <f t="shared" si="156"/>
        <v>272.91122662088918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3.4106051316484809E-13</v>
      </c>
      <c r="GA150" s="18">
        <f>FZ150*VLOOKUP('Données projet'!$B$17,Paramètres!$A$1:$I$89,3,0)*VLOOKUP('Données projet'!$B$17,Paramètres!$A$1:$I$89,5,0)</f>
        <v>1.5961632016114892E-13</v>
      </c>
      <c r="GB150" s="14">
        <f t="shared" si="157"/>
        <v>2.2708641912150958E-12</v>
      </c>
      <c r="GC150" s="22">
        <f t="shared" si="133"/>
        <v>4.2330868906469593E-12</v>
      </c>
      <c r="GD150" s="60">
        <f t="shared" si="134"/>
        <v>293.33333333333752</v>
      </c>
      <c r="GE150" s="60">
        <f ca="1">AVERAGE(OFFSET($GD$3,0,0,'Données projet'!$E$17+1,1))-AVERAGE(OFFSET($H$3,0,0,'Données projet'!$E$17+1,1))</f>
        <v>317.54276561627643</v>
      </c>
      <c r="GF150" s="60">
        <f t="shared" si="158"/>
        <v>238.92443174298893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>
        <f>GU150*VLOOKUP('Données projet'!$B$18,Paramètres!$A$1:$I$89,3,0)*VLOOKUP('Données projet'!$B$18,Paramètres!$A$1:$I$89,5,0)</f>
        <v>0</v>
      </c>
      <c r="GW150" s="14" t="e">
        <f t="shared" si="159"/>
        <v>#NUM!</v>
      </c>
      <c r="GX150" s="22" t="e">
        <f t="shared" si="136"/>
        <v>#NUM!</v>
      </c>
      <c r="GY150" s="60" t="e">
        <f t="shared" si="137"/>
        <v>#NUM!</v>
      </c>
      <c r="GZ150" s="60">
        <f ca="1">AVERAGE(OFFSET($GY$3,0,0,'Données projet'!$E$18+1,1))-AVERAGE(OFFSET($H$3,0,0,'Données projet'!$E$18+1,1))</f>
        <v>79.868679770907136</v>
      </c>
      <c r="HA150" s="60">
        <f t="shared" si="160"/>
        <v>370.47471103028312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6.1237406530093725</v>
      </c>
      <c r="HH150" s="23">
        <f>EXP(-LN(2)/25)*HH149+(1-EXP(-LN(2)/25))/(LN(2)/25)*Calculateur!HC150*Calculateur!HE150*VLOOKUP('Données projet'!$B$18,Paramètres!$A$1:$I$89,3,0)*0.475*44/12</f>
        <v>0.58931445416277306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6.7130551071721456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0">
        <f t="shared" si="109"/>
        <v>293.33333333333439</v>
      </c>
      <c r="S151" s="60">
        <f ca="1">AVERAGE(OFFSET($R$3,0,0,'Données projet'!$E$9+1,1))-AVERAGE(OFFSET($H$3,0,0,'Données projet'!$E$9+1,1))</f>
        <v>206.5885410269899</v>
      </c>
      <c r="T151" s="60">
        <f t="shared" si="142"/>
        <v>347.41156847586302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3.3992364478763198E-14</v>
      </c>
      <c r="AK151" s="14">
        <f t="shared" si="143"/>
        <v>5.790027782444094E-13</v>
      </c>
      <c r="AL151" s="22">
        <f t="shared" si="112"/>
        <v>1.0676332069095257E-12</v>
      </c>
      <c r="AM151" s="60">
        <f t="shared" si="113"/>
        <v>293.33333333333439</v>
      </c>
      <c r="AN151" s="60">
        <f ca="1">AVERAGE(OFFSET($AM$3,0,0,'Données projet'!$E$10+1,1))-AVERAGE(OFFSET($H$3,0,0,'Données projet'!$E$10+1,1))</f>
        <v>206.5885410269899</v>
      </c>
      <c r="AO151" s="60">
        <f t="shared" si="144"/>
        <v>347.41156847586302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10.570026466874719</v>
      </c>
      <c r="AV151" s="23">
        <f>EXP(-LN(2)/25)*AV150+(1-EXP(-LN(2)/25))/(LN(2)/25)*Calculateur!AQ151*Calculateur!AS151*VLOOKUP('Données projet'!$B$10,Paramètres!$A$1:$I$89,3,0)*0.475*44/12</f>
        <v>0.12684836473171046</v>
      </c>
      <c r="AW151" s="23">
        <f>EXP(-LN(2)/2)*AW150+(1-EXP(-LN(2)/2))/(LN(2)/2)*AQ151*AT151*VLOOKUP('Données projet'!$B$10,Paramètres!$A$1:$I$89,3,0)*0.475*44/12</f>
        <v>1.9108302417598914E-15</v>
      </c>
      <c r="AX151" s="23">
        <f t="shared" si="114"/>
        <v>10.696874831606431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1.0818439477588981E-13</v>
      </c>
      <c r="BF151" s="14">
        <f t="shared" si="145"/>
        <v>1.6104228458716316E-12</v>
      </c>
      <c r="BG151" s="22">
        <f t="shared" si="115"/>
        <v>2.9932409441277661E-12</v>
      </c>
      <c r="BH151" s="60">
        <f t="shared" si="116"/>
        <v>293.33333333333633</v>
      </c>
      <c r="BI151" s="60">
        <f ca="1">AVERAGE(OFFSET($BH$3,0,0,'Données projet'!$E$11+1,1))-AVERAGE(OFFSET($H$3,0,0,'Données projet'!$E$11+1,1))</f>
        <v>389.12604446638119</v>
      </c>
      <c r="BJ151" s="60">
        <f t="shared" si="146"/>
        <v>243.23852967152732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1.0286385077051818E-13</v>
      </c>
      <c r="CA151" s="14">
        <f t="shared" si="147"/>
        <v>1.5402366592183556E-12</v>
      </c>
      <c r="CB151" s="22">
        <f t="shared" si="118"/>
        <v>2.8617333882306215E-12</v>
      </c>
      <c r="CC151" s="60">
        <f t="shared" si="119"/>
        <v>293.33333333333616</v>
      </c>
      <c r="CD151" s="60">
        <f ca="1">AVERAGE(OFFSET($CC$3,0,0,'Données projet'!$E$12+1,1))-AVERAGE(OFFSET($H$3,0,0,'Données projet'!$E$12+1,1))</f>
        <v>371.95849973474657</v>
      </c>
      <c r="CE151" s="60">
        <f t="shared" si="148"/>
        <v>233.32640143610547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3.3194080774531119E-17</v>
      </c>
      <c r="CN151" s="24">
        <f t="shared" si="120"/>
        <v>3.3194080774531119E-17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1.0995790944434703E-13</v>
      </c>
      <c r="CV151" s="14">
        <f t="shared" si="149"/>
        <v>1.6337280948049956E-12</v>
      </c>
      <c r="CW151" s="22">
        <f t="shared" si="121"/>
        <v>3.036919790734272E-12</v>
      </c>
      <c r="CX151" s="60">
        <f t="shared" si="122"/>
        <v>293.33333333333633</v>
      </c>
      <c r="CY151" s="60">
        <f ca="1">AVERAGE(OFFSET($CX$3,0,0,'Données projet'!$E$13+1,1))-AVERAGE(OFFSET($H$3,0,0,'Données projet'!$E$13+1,1))</f>
        <v>394.8445842828649</v>
      </c>
      <c r="CZ151" s="60">
        <f t="shared" si="150"/>
        <v>246.54010105494143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3.5483327724498804E-17</v>
      </c>
      <c r="DI151" s="24">
        <f t="shared" si="123"/>
        <v>3.5483327724498804E-17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5.6843418860808015E-14</v>
      </c>
      <c r="DP151" s="18">
        <f>DO151*VLOOKUP('Données projet'!$B$14,Paramètres!$A$1:$I$89,3,0)*VLOOKUP('Données projet'!$B$14,Paramètres!$A$1:$I$89,5,0)</f>
        <v>4.9658410716801891E-14</v>
      </c>
      <c r="DQ151" s="14">
        <f t="shared" si="151"/>
        <v>8.0934058173791862E-13</v>
      </c>
      <c r="DR151" s="22">
        <f t="shared" si="124"/>
        <v>1.4960899118586383E-12</v>
      </c>
      <c r="DS151" s="60">
        <f t="shared" si="125"/>
        <v>293.33333333333479</v>
      </c>
      <c r="DT151" s="60">
        <f ca="1">AVERAGE(OFFSET($DS$3,0,0,'Données projet'!$E$14+1,1))-AVERAGE(OFFSET($H$3,0,0,'Données projet'!$E$14+1,1))</f>
        <v>266.98113257513319</v>
      </c>
      <c r="DU151" s="60">
        <f t="shared" si="152"/>
        <v>275.73257102713393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0.42245693759058939</v>
      </c>
      <c r="EC151" s="23">
        <f>EXP(-LN(2)/2)*EC150+(1-EXP(-LN(2)/2))/(LN(2)/2)*DW151*DZ151*VLOOKUP('Données projet'!$B$14,Paramètres!$A$1:$I$89,3,0)*0.475*44/12</f>
        <v>1.8156653932998634E-17</v>
      </c>
      <c r="ED151" s="24">
        <f t="shared" si="126"/>
        <v>0.42245693759058939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1.1368683772161603E-13</v>
      </c>
      <c r="EK151" s="18">
        <f>EJ151*VLOOKUP('Données projet'!$B$15,Paramètres!$A$1:$I$89,3,0)*VLOOKUP('Données projet'!$B$15,Paramètres!$A$1:$I$89,5,0)</f>
        <v>1.2946657079737634E-13</v>
      </c>
      <c r="EL151" s="14">
        <f t="shared" si="153"/>
        <v>1.8873591890224769E-12</v>
      </c>
      <c r="EM151" s="22">
        <f t="shared" si="127"/>
        <v>3.5126381983529106E-12</v>
      </c>
      <c r="EN151" s="60">
        <f t="shared" si="128"/>
        <v>293.33333333333684</v>
      </c>
      <c r="EO151" s="60">
        <f ca="1">AVERAGE(OFFSET($EN$3,0,0,'Données projet'!$E$15+1,1))-AVERAGE(OFFSET($H$3,0,0,'Données projet'!$E$15+1,1))</f>
        <v>457.62828850677369</v>
      </c>
      <c r="EP151" s="60">
        <f t="shared" si="154"/>
        <v>282.78263556175563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1.1368683772161603E-13</v>
      </c>
      <c r="FF151" s="18">
        <f>FE151*VLOOKUP('Données projet'!$B$16,Paramètres!$A$1:$I$89,3,0)*VLOOKUP('Données projet'!$B$16,Paramètres!$A$1:$I$89,5,0)</f>
        <v>1.2414602679200469E-13</v>
      </c>
      <c r="FG151" s="14">
        <f t="shared" si="155"/>
        <v>1.8186582995804361E-12</v>
      </c>
      <c r="FH151" s="22">
        <f t="shared" si="130"/>
        <v>3.3837175350986671E-12</v>
      </c>
      <c r="FI151" s="60">
        <f t="shared" si="131"/>
        <v>293.33333333333672</v>
      </c>
      <c r="FJ151" s="60">
        <f ca="1">AVERAGE(OFFSET($FI$3,0,0,'Données projet'!$E$16+1,1))-AVERAGE(OFFSET($H$3,0,0,'Données projet'!$E$16+1,1))</f>
        <v>440.52623925652182</v>
      </c>
      <c r="FK151" s="60">
        <f t="shared" si="156"/>
        <v>272.91122662088918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3.4106051316484809E-13</v>
      </c>
      <c r="GA151" s="18">
        <f>FZ151*VLOOKUP('Données projet'!$B$17,Paramètres!$A$1:$I$89,3,0)*VLOOKUP('Données projet'!$B$17,Paramètres!$A$1:$I$89,5,0)</f>
        <v>1.5961632016114892E-13</v>
      </c>
      <c r="GB151" s="14">
        <f t="shared" si="157"/>
        <v>2.2708641912150958E-12</v>
      </c>
      <c r="GC151" s="22">
        <f t="shared" si="133"/>
        <v>4.2330868906469593E-12</v>
      </c>
      <c r="GD151" s="60">
        <f t="shared" si="134"/>
        <v>293.33333333333752</v>
      </c>
      <c r="GE151" s="60">
        <f ca="1">AVERAGE(OFFSET($GD$3,0,0,'Données projet'!$E$17+1,1))-AVERAGE(OFFSET($H$3,0,0,'Données projet'!$E$17+1,1))</f>
        <v>317.54276561627643</v>
      </c>
      <c r="GF151" s="60">
        <f t="shared" si="158"/>
        <v>238.92443174298893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>
        <f>GU151*VLOOKUP('Données projet'!$B$18,Paramètres!$A$1:$I$89,3,0)*VLOOKUP('Données projet'!$B$18,Paramètres!$A$1:$I$89,5,0)</f>
        <v>0</v>
      </c>
      <c r="GW151" s="14" t="e">
        <f t="shared" si="159"/>
        <v>#NUM!</v>
      </c>
      <c r="GX151" s="22" t="e">
        <f t="shared" si="136"/>
        <v>#NUM!</v>
      </c>
      <c r="GY151" s="60" t="e">
        <f t="shared" si="137"/>
        <v>#NUM!</v>
      </c>
      <c r="GZ151" s="60">
        <f ca="1">AVERAGE(OFFSET($GY$3,0,0,'Données projet'!$E$18+1,1))-AVERAGE(OFFSET($H$3,0,0,'Données projet'!$E$18+1,1))</f>
        <v>79.868679770907136</v>
      </c>
      <c r="HA151" s="60">
        <f t="shared" si="160"/>
        <v>370.47471103028312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6.0036578339168454</v>
      </c>
      <c r="HH151" s="23">
        <f>EXP(-LN(2)/25)*HH150+(1-EXP(-LN(2)/25))/(LN(2)/25)*Calculateur!HC151*Calculateur!HE151*VLOOKUP('Données projet'!$B$18,Paramètres!$A$1:$I$89,3,0)*0.475*44/12</f>
        <v>0.5731996194229918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6.5768574533398372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0">
        <f t="shared" si="109"/>
        <v>293.33333333333439</v>
      </c>
      <c r="S152" s="60">
        <f ca="1">AVERAGE(OFFSET($R$3,0,0,'Données projet'!$E$9+1,1))-AVERAGE(OFFSET($H$3,0,0,'Données projet'!$E$9+1,1))</f>
        <v>206.5885410269899</v>
      </c>
      <c r="T152" s="60">
        <f t="shared" si="142"/>
        <v>347.41156847586302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3.3992364478763198E-14</v>
      </c>
      <c r="AK152" s="14">
        <f t="shared" si="143"/>
        <v>5.790027782444094E-13</v>
      </c>
      <c r="AL152" s="22">
        <f t="shared" si="112"/>
        <v>1.0676332069095257E-12</v>
      </c>
      <c r="AM152" s="60">
        <f t="shared" si="113"/>
        <v>293.33333333333439</v>
      </c>
      <c r="AN152" s="60">
        <f ca="1">AVERAGE(OFFSET($AM$3,0,0,'Données projet'!$E$10+1,1))-AVERAGE(OFFSET($H$3,0,0,'Données projet'!$E$10+1,1))</f>
        <v>206.5885410269899</v>
      </c>
      <c r="AO152" s="60">
        <f t="shared" si="144"/>
        <v>347.41156847586302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10.362754694938854</v>
      </c>
      <c r="AV152" s="23">
        <f>EXP(-LN(2)/25)*AV151+(1-EXP(-LN(2)/25))/(LN(2)/25)*Calculateur!AQ152*Calculateur!AS152*VLOOKUP('Données projet'!$B$10,Paramètres!$A$1:$I$89,3,0)*0.475*44/12</f>
        <v>0.12337968952745626</v>
      </c>
      <c r="AW152" s="23">
        <f>EXP(-LN(2)/2)*AW151+(1-EXP(-LN(2)/2))/(LN(2)/2)*AQ152*AT152*VLOOKUP('Données projet'!$B$10,Paramètres!$A$1:$I$89,3,0)*0.475*44/12</f>
        <v>1.3511610216447492E-15</v>
      </c>
      <c r="AX152" s="23">
        <f t="shared" si="114"/>
        <v>10.486134384466311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1.0818439477588981E-13</v>
      </c>
      <c r="BF152" s="14">
        <f t="shared" si="145"/>
        <v>1.6104228458716316E-12</v>
      </c>
      <c r="BG152" s="22">
        <f t="shared" si="115"/>
        <v>2.9932409441277661E-12</v>
      </c>
      <c r="BH152" s="60">
        <f t="shared" si="116"/>
        <v>293.33333333333633</v>
      </c>
      <c r="BI152" s="60">
        <f ca="1">AVERAGE(OFFSET($BH$3,0,0,'Données projet'!$E$11+1,1))-AVERAGE(OFFSET($H$3,0,0,'Données projet'!$E$11+1,1))</f>
        <v>389.12604446638119</v>
      </c>
      <c r="BJ152" s="60">
        <f t="shared" si="146"/>
        <v>243.23852967152732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1.0286385077051818E-13</v>
      </c>
      <c r="CA152" s="14">
        <f t="shared" si="147"/>
        <v>1.5402366592183556E-12</v>
      </c>
      <c r="CB152" s="22">
        <f t="shared" si="118"/>
        <v>2.8617333882306215E-12</v>
      </c>
      <c r="CC152" s="60">
        <f t="shared" si="119"/>
        <v>293.33333333333616</v>
      </c>
      <c r="CD152" s="60">
        <f ca="1">AVERAGE(OFFSET($CC$3,0,0,'Données projet'!$E$12+1,1))-AVERAGE(OFFSET($H$3,0,0,'Données projet'!$E$12+1,1))</f>
        <v>371.95849973474657</v>
      </c>
      <c r="CE152" s="60">
        <f t="shared" si="148"/>
        <v>233.32640143610547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2.347175961092496E-17</v>
      </c>
      <c r="CN152" s="24">
        <f t="shared" si="120"/>
        <v>2.347175961092496E-17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1.0995790944434703E-13</v>
      </c>
      <c r="CV152" s="14">
        <f t="shared" si="149"/>
        <v>1.6337280948049956E-12</v>
      </c>
      <c r="CW152" s="22">
        <f t="shared" si="121"/>
        <v>3.036919790734272E-12</v>
      </c>
      <c r="CX152" s="60">
        <f t="shared" si="122"/>
        <v>293.33333333333633</v>
      </c>
      <c r="CY152" s="60">
        <f ca="1">AVERAGE(OFFSET($CX$3,0,0,'Données projet'!$E$13+1,1))-AVERAGE(OFFSET($H$3,0,0,'Données projet'!$E$13+1,1))</f>
        <v>394.8445842828649</v>
      </c>
      <c r="CZ152" s="60">
        <f t="shared" si="150"/>
        <v>246.54010105494143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2.5090501653057732E-17</v>
      </c>
      <c r="DI152" s="24">
        <f t="shared" si="123"/>
        <v>2.5090501653057732E-17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5.6843418860808015E-14</v>
      </c>
      <c r="DP152" s="18">
        <f>DO152*VLOOKUP('Données projet'!$B$14,Paramètres!$A$1:$I$89,3,0)*VLOOKUP('Données projet'!$B$14,Paramètres!$A$1:$I$89,5,0)</f>
        <v>4.9658410716801891E-14</v>
      </c>
      <c r="DQ152" s="14">
        <f t="shared" si="151"/>
        <v>8.0934058173791862E-13</v>
      </c>
      <c r="DR152" s="22">
        <f t="shared" si="124"/>
        <v>1.4960899118586383E-12</v>
      </c>
      <c r="DS152" s="60">
        <f t="shared" si="125"/>
        <v>293.33333333333479</v>
      </c>
      <c r="DT152" s="60">
        <f ca="1">AVERAGE(OFFSET($DS$3,0,0,'Données projet'!$E$14+1,1))-AVERAGE(OFFSET($H$3,0,0,'Données projet'!$E$14+1,1))</f>
        <v>266.98113257513319</v>
      </c>
      <c r="DU152" s="60">
        <f t="shared" si="152"/>
        <v>275.73257102713393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0.41090483041612991</v>
      </c>
      <c r="EC152" s="23">
        <f>EXP(-LN(2)/2)*EC151+(1-EXP(-LN(2)/2))/(LN(2)/2)*DW152*DZ152*VLOOKUP('Données projet'!$B$14,Paramètres!$A$1:$I$89,3,0)*0.475*44/12</f>
        <v>1.2838693119680733E-17</v>
      </c>
      <c r="ED152" s="24">
        <f t="shared" si="126"/>
        <v>0.41090483041612991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1.1368683772161603E-13</v>
      </c>
      <c r="EK152" s="18">
        <f>EJ152*VLOOKUP('Données projet'!$B$15,Paramètres!$A$1:$I$89,3,0)*VLOOKUP('Données projet'!$B$15,Paramètres!$A$1:$I$89,5,0)</f>
        <v>1.2946657079737634E-13</v>
      </c>
      <c r="EL152" s="14">
        <f t="shared" si="153"/>
        <v>1.8873591890224769E-12</v>
      </c>
      <c r="EM152" s="22">
        <f t="shared" si="127"/>
        <v>3.5126381983529106E-12</v>
      </c>
      <c r="EN152" s="60">
        <f t="shared" si="128"/>
        <v>293.33333333333684</v>
      </c>
      <c r="EO152" s="60">
        <f ca="1">AVERAGE(OFFSET($EN$3,0,0,'Données projet'!$E$15+1,1))-AVERAGE(OFFSET($H$3,0,0,'Données projet'!$E$15+1,1))</f>
        <v>457.62828850677369</v>
      </c>
      <c r="EP152" s="60">
        <f t="shared" si="154"/>
        <v>282.78263556175563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1.1368683772161603E-13</v>
      </c>
      <c r="FF152" s="18">
        <f>FE152*VLOOKUP('Données projet'!$B$16,Paramètres!$A$1:$I$89,3,0)*VLOOKUP('Données projet'!$B$16,Paramètres!$A$1:$I$89,5,0)</f>
        <v>1.2414602679200469E-13</v>
      </c>
      <c r="FG152" s="14">
        <f t="shared" si="155"/>
        <v>1.8186582995804361E-12</v>
      </c>
      <c r="FH152" s="22">
        <f t="shared" si="130"/>
        <v>3.3837175350986671E-12</v>
      </c>
      <c r="FI152" s="60">
        <f t="shared" si="131"/>
        <v>293.33333333333672</v>
      </c>
      <c r="FJ152" s="60">
        <f ca="1">AVERAGE(OFFSET($FI$3,0,0,'Données projet'!$E$16+1,1))-AVERAGE(OFFSET($H$3,0,0,'Données projet'!$E$16+1,1))</f>
        <v>440.52623925652182</v>
      </c>
      <c r="FK152" s="60">
        <f t="shared" si="156"/>
        <v>272.91122662088918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3.4106051316484809E-13</v>
      </c>
      <c r="GA152" s="18">
        <f>FZ152*VLOOKUP('Données projet'!$B$17,Paramètres!$A$1:$I$89,3,0)*VLOOKUP('Données projet'!$B$17,Paramètres!$A$1:$I$89,5,0)</f>
        <v>1.5961632016114892E-13</v>
      </c>
      <c r="GB152" s="14">
        <f t="shared" si="157"/>
        <v>2.2708641912150958E-12</v>
      </c>
      <c r="GC152" s="22">
        <f t="shared" si="133"/>
        <v>4.2330868906469593E-12</v>
      </c>
      <c r="GD152" s="60">
        <f t="shared" si="134"/>
        <v>293.33333333333752</v>
      </c>
      <c r="GE152" s="60">
        <f ca="1">AVERAGE(OFFSET($GD$3,0,0,'Données projet'!$E$17+1,1))-AVERAGE(OFFSET($H$3,0,0,'Données projet'!$E$17+1,1))</f>
        <v>317.54276561627643</v>
      </c>
      <c r="GF152" s="60">
        <f t="shared" si="158"/>
        <v>238.92443174298893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>
        <f>GU152*VLOOKUP('Données projet'!$B$18,Paramètres!$A$1:$I$89,3,0)*VLOOKUP('Données projet'!$B$18,Paramètres!$A$1:$I$89,5,0)</f>
        <v>0</v>
      </c>
      <c r="GW152" s="14" t="e">
        <f t="shared" si="159"/>
        <v>#NUM!</v>
      </c>
      <c r="GX152" s="22" t="e">
        <f t="shared" si="136"/>
        <v>#NUM!</v>
      </c>
      <c r="GY152" s="60" t="e">
        <f t="shared" si="137"/>
        <v>#NUM!</v>
      </c>
      <c r="GZ152" s="60">
        <f ca="1">AVERAGE(OFFSET($GY$3,0,0,'Données projet'!$E$18+1,1))-AVERAGE(OFFSET($H$3,0,0,'Données projet'!$E$18+1,1))</f>
        <v>79.868679770907136</v>
      </c>
      <c r="HA152" s="60">
        <f t="shared" si="160"/>
        <v>370.47471103028312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5.8859297656634348</v>
      </c>
      <c r="HH152" s="23">
        <f>EXP(-LN(2)/25)*HH151+(1-EXP(-LN(2)/25))/(LN(2)/25)*Calculateur!HC152*Calculateur!HE152*VLOOKUP('Données projet'!$B$18,Paramètres!$A$1:$I$89,3,0)*0.475*44/12</f>
        <v>0.55752544568661222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6.443455211350047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0">
        <f t="shared" si="109"/>
        <v>293.33333333333439</v>
      </c>
      <c r="S153" s="60">
        <f ca="1">AVERAGE(OFFSET($R$3,0,0,'Données projet'!$E$9+1,1))-AVERAGE(OFFSET($H$3,0,0,'Données projet'!$E$9+1,1))</f>
        <v>206.5885410269899</v>
      </c>
      <c r="T153" s="60">
        <f t="shared" si="142"/>
        <v>347.41156847586302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3.3992364478763198E-14</v>
      </c>
      <c r="AK153" s="14">
        <f t="shared" si="143"/>
        <v>5.790027782444094E-13</v>
      </c>
      <c r="AL153" s="22">
        <f t="shared" si="112"/>
        <v>1.0676332069095257E-12</v>
      </c>
      <c r="AM153" s="60">
        <f t="shared" si="113"/>
        <v>293.33333333333439</v>
      </c>
      <c r="AN153" s="60">
        <f ca="1">AVERAGE(OFFSET($AM$3,0,0,'Données projet'!$E$10+1,1))-AVERAGE(OFFSET($H$3,0,0,'Données projet'!$E$10+1,1))</f>
        <v>206.5885410269899</v>
      </c>
      <c r="AO153" s="60">
        <f t="shared" si="144"/>
        <v>347.41156847586302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10.159547396027353</v>
      </c>
      <c r="AV153" s="23">
        <f>EXP(-LN(2)/25)*AV152+(1-EXP(-LN(2)/25))/(LN(2)/25)*Calculateur!AQ153*Calculateur!AS153*VLOOKUP('Données projet'!$B$10,Paramètres!$A$1:$I$89,3,0)*0.475*44/12</f>
        <v>0.12000586542907209</v>
      </c>
      <c r="AW153" s="23">
        <f>EXP(-LN(2)/2)*AW152+(1-EXP(-LN(2)/2))/(LN(2)/2)*AQ153*AT153*VLOOKUP('Données projet'!$B$10,Paramètres!$A$1:$I$89,3,0)*0.475*44/12</f>
        <v>9.5541512087994569E-16</v>
      </c>
      <c r="AX153" s="23">
        <f t="shared" si="114"/>
        <v>10.279553261456426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1.0818439477588981E-13</v>
      </c>
      <c r="BF153" s="14">
        <f t="shared" si="145"/>
        <v>1.6104228458716316E-12</v>
      </c>
      <c r="BG153" s="22">
        <f t="shared" si="115"/>
        <v>2.9932409441277661E-12</v>
      </c>
      <c r="BH153" s="60">
        <f t="shared" si="116"/>
        <v>293.33333333333633</v>
      </c>
      <c r="BI153" s="60">
        <f ca="1">AVERAGE(OFFSET($BH$3,0,0,'Données projet'!$E$11+1,1))-AVERAGE(OFFSET($H$3,0,0,'Données projet'!$E$11+1,1))</f>
        <v>389.12604446638119</v>
      </c>
      <c r="BJ153" s="60">
        <f t="shared" si="146"/>
        <v>243.23852967152732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1.0286385077051818E-13</v>
      </c>
      <c r="CA153" s="14">
        <f t="shared" si="147"/>
        <v>1.5402366592183556E-12</v>
      </c>
      <c r="CB153" s="22">
        <f t="shared" si="118"/>
        <v>2.8617333882306215E-12</v>
      </c>
      <c r="CC153" s="60">
        <f t="shared" si="119"/>
        <v>293.33333333333616</v>
      </c>
      <c r="CD153" s="60">
        <f ca="1">AVERAGE(OFFSET($CC$3,0,0,'Données projet'!$E$12+1,1))-AVERAGE(OFFSET($H$3,0,0,'Données projet'!$E$12+1,1))</f>
        <v>371.95849973474657</v>
      </c>
      <c r="CE153" s="60">
        <f t="shared" si="148"/>
        <v>233.32640143610547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1.659704038726556E-17</v>
      </c>
      <c r="CN153" s="24">
        <f t="shared" si="120"/>
        <v>1.659704038726556E-17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1.0995790944434703E-13</v>
      </c>
      <c r="CV153" s="14">
        <f t="shared" si="149"/>
        <v>1.6337280948049956E-12</v>
      </c>
      <c r="CW153" s="22">
        <f t="shared" si="121"/>
        <v>3.036919790734272E-12</v>
      </c>
      <c r="CX153" s="60">
        <f t="shared" si="122"/>
        <v>293.33333333333633</v>
      </c>
      <c r="CY153" s="60">
        <f ca="1">AVERAGE(OFFSET($CX$3,0,0,'Données projet'!$E$13+1,1))-AVERAGE(OFFSET($H$3,0,0,'Données projet'!$E$13+1,1))</f>
        <v>394.8445842828649</v>
      </c>
      <c r="CZ153" s="60">
        <f t="shared" si="150"/>
        <v>246.54010105494143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1.7741663862249402E-17</v>
      </c>
      <c r="DI153" s="24">
        <f t="shared" si="123"/>
        <v>1.7741663862249402E-17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5.6843418860808015E-14</v>
      </c>
      <c r="DP153" s="18">
        <f>DO153*VLOOKUP('Données projet'!$B$14,Paramètres!$A$1:$I$89,3,0)*VLOOKUP('Données projet'!$B$14,Paramètres!$A$1:$I$89,5,0)</f>
        <v>4.9658410716801891E-14</v>
      </c>
      <c r="DQ153" s="14">
        <f t="shared" si="151"/>
        <v>8.0934058173791862E-13</v>
      </c>
      <c r="DR153" s="22">
        <f t="shared" si="124"/>
        <v>1.4960899118586383E-12</v>
      </c>
      <c r="DS153" s="60">
        <f t="shared" si="125"/>
        <v>293.33333333333479</v>
      </c>
      <c r="DT153" s="60">
        <f ca="1">AVERAGE(OFFSET($DS$3,0,0,'Données projet'!$E$14+1,1))-AVERAGE(OFFSET($H$3,0,0,'Données projet'!$E$14+1,1))</f>
        <v>266.98113257513319</v>
      </c>
      <c r="DU153" s="60">
        <f t="shared" si="152"/>
        <v>275.73257102713393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0.39966861621985494</v>
      </c>
      <c r="EC153" s="23">
        <f>EXP(-LN(2)/2)*EC152+(1-EXP(-LN(2)/2))/(LN(2)/2)*DW153*DZ153*VLOOKUP('Données projet'!$B$14,Paramètres!$A$1:$I$89,3,0)*0.475*44/12</f>
        <v>9.0783269664993172E-18</v>
      </c>
      <c r="ED153" s="24">
        <f t="shared" si="126"/>
        <v>0.39966861621985494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1.1368683772161603E-13</v>
      </c>
      <c r="EK153" s="18">
        <f>EJ153*VLOOKUP('Données projet'!$B$15,Paramètres!$A$1:$I$89,3,0)*VLOOKUP('Données projet'!$B$15,Paramètres!$A$1:$I$89,5,0)</f>
        <v>1.2946657079737634E-13</v>
      </c>
      <c r="EL153" s="14">
        <f t="shared" si="153"/>
        <v>1.8873591890224769E-12</v>
      </c>
      <c r="EM153" s="22">
        <f t="shared" si="127"/>
        <v>3.5126381983529106E-12</v>
      </c>
      <c r="EN153" s="60">
        <f t="shared" si="128"/>
        <v>293.33333333333684</v>
      </c>
      <c r="EO153" s="60">
        <f ca="1">AVERAGE(OFFSET($EN$3,0,0,'Données projet'!$E$15+1,1))-AVERAGE(OFFSET($H$3,0,0,'Données projet'!$E$15+1,1))</f>
        <v>457.62828850677369</v>
      </c>
      <c r="EP153" s="60">
        <f t="shared" si="154"/>
        <v>282.78263556175563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1.1368683772161603E-13</v>
      </c>
      <c r="FF153" s="18">
        <f>FE153*VLOOKUP('Données projet'!$B$16,Paramètres!$A$1:$I$89,3,0)*VLOOKUP('Données projet'!$B$16,Paramètres!$A$1:$I$89,5,0)</f>
        <v>1.2414602679200469E-13</v>
      </c>
      <c r="FG153" s="14">
        <f t="shared" si="155"/>
        <v>1.8186582995804361E-12</v>
      </c>
      <c r="FH153" s="22">
        <f t="shared" si="130"/>
        <v>3.3837175350986671E-12</v>
      </c>
      <c r="FI153" s="60">
        <f t="shared" si="131"/>
        <v>293.33333333333672</v>
      </c>
      <c r="FJ153" s="60">
        <f ca="1">AVERAGE(OFFSET($FI$3,0,0,'Données projet'!$E$16+1,1))-AVERAGE(OFFSET($H$3,0,0,'Données projet'!$E$16+1,1))</f>
        <v>440.52623925652182</v>
      </c>
      <c r="FK153" s="60">
        <f t="shared" si="156"/>
        <v>272.91122662088918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3.4106051316484809E-13</v>
      </c>
      <c r="GA153" s="18">
        <f>FZ153*VLOOKUP('Données projet'!$B$17,Paramètres!$A$1:$I$89,3,0)*VLOOKUP('Données projet'!$B$17,Paramètres!$A$1:$I$89,5,0)</f>
        <v>1.5961632016114892E-13</v>
      </c>
      <c r="GB153" s="14">
        <f t="shared" si="157"/>
        <v>2.2708641912150958E-12</v>
      </c>
      <c r="GC153" s="22">
        <f t="shared" si="133"/>
        <v>4.2330868906469593E-12</v>
      </c>
      <c r="GD153" s="60">
        <f t="shared" si="134"/>
        <v>293.33333333333752</v>
      </c>
      <c r="GE153" s="60">
        <f ca="1">AVERAGE(OFFSET($GD$3,0,0,'Données projet'!$E$17+1,1))-AVERAGE(OFFSET($H$3,0,0,'Données projet'!$E$17+1,1))</f>
        <v>317.54276561627643</v>
      </c>
      <c r="GF153" s="60">
        <f t="shared" si="158"/>
        <v>238.92443174298893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>
        <f>GU153*VLOOKUP('Données projet'!$B$18,Paramètres!$A$1:$I$89,3,0)*VLOOKUP('Données projet'!$B$18,Paramètres!$A$1:$I$89,5,0)</f>
        <v>0</v>
      </c>
      <c r="GW153" s="14" t="e">
        <f t="shared" si="159"/>
        <v>#NUM!</v>
      </c>
      <c r="GX153" s="22" t="e">
        <f t="shared" si="136"/>
        <v>#NUM!</v>
      </c>
      <c r="GY153" s="60" t="e">
        <f t="shared" si="137"/>
        <v>#NUM!</v>
      </c>
      <c r="GZ153" s="60">
        <f ca="1">AVERAGE(OFFSET($GY$3,0,0,'Données projet'!$E$18+1,1))-AVERAGE(OFFSET($H$3,0,0,'Données projet'!$E$18+1,1))</f>
        <v>79.868679770907136</v>
      </c>
      <c r="HA153" s="60">
        <f t="shared" si="160"/>
        <v>370.47471103028312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5.7705102730214426</v>
      </c>
      <c r="HH153" s="23">
        <f>EXP(-LN(2)/25)*HH152+(1-EXP(-LN(2)/25))/(LN(2)/25)*Calculateur!HC153*Calculateur!HE153*VLOOKUP('Données projet'!$B$18,Paramètres!$A$1:$I$89,3,0)*0.475*44/12</f>
        <v>0.54227988305532282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6.3127901560767654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0">
        <f t="shared" si="109"/>
        <v>293.33333333333439</v>
      </c>
      <c r="S154" s="60">
        <f ca="1">AVERAGE(OFFSET($R$3,0,0,'Données projet'!$E$9+1,1))-AVERAGE(OFFSET($H$3,0,0,'Données projet'!$E$9+1,1))</f>
        <v>206.5885410269899</v>
      </c>
      <c r="T154" s="60">
        <f t="shared" si="142"/>
        <v>347.41156847586302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3.3992364478763198E-14</v>
      </c>
      <c r="AK154" s="14">
        <f t="shared" ref="AK154:AK203" si="164">EXP(-1.0587+0.8836*LN(AJ154)+0.284)</f>
        <v>5.790027782444094E-13</v>
      </c>
      <c r="AL154" s="22">
        <f t="shared" ref="AL154:AL203" si="165">(AJ154+AK154)*0.475*44/12</f>
        <v>1.0676332069095257E-12</v>
      </c>
      <c r="AM154" s="60">
        <f t="shared" si="113"/>
        <v>293.33333333333439</v>
      </c>
      <c r="AN154" s="60">
        <f ca="1">AVERAGE(OFFSET($AM$3,0,0,'Données projet'!$E$10+1,1))-AVERAGE(OFFSET($H$3,0,0,'Données projet'!$E$10+1,1))</f>
        <v>206.5885410269899</v>
      </c>
      <c r="AO154" s="60">
        <f t="shared" si="144"/>
        <v>347.41156847586302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9.9603248683032941</v>
      </c>
      <c r="AV154" s="23">
        <f>EXP(-LN(2)/25)*AV153+(1-EXP(-LN(2)/25))/(LN(2)/25)*Calculateur!AQ154*Calculateur!AS154*VLOOKUP('Données projet'!$B$10,Paramètres!$A$1:$I$89,3,0)*0.475*44/12</f>
        <v>0.11672429872807992</v>
      </c>
      <c r="AW154" s="23">
        <f>EXP(-LN(2)/2)*AW153+(1-EXP(-LN(2)/2))/(LN(2)/2)*AQ154*AT154*VLOOKUP('Données projet'!$B$10,Paramètres!$A$1:$I$89,3,0)*0.475*44/12</f>
        <v>6.7558051082237461E-16</v>
      </c>
      <c r="AX154" s="23">
        <f t="shared" ref="AX154:AX203" si="166">SUM(AU154:AW154)</f>
        <v>10.077049167031374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1.0818439477588981E-13</v>
      </c>
      <c r="BF154" s="14">
        <f t="shared" ref="BF154:BF203" si="167">EXP(-1.0587+0.8836*LN(BE154)+0.284)</f>
        <v>1.6104228458716316E-12</v>
      </c>
      <c r="BG154" s="22">
        <f t="shared" ref="BG154:BG203" si="168">(BE154+BF154)*0.475*44/12</f>
        <v>2.9932409441277661E-12</v>
      </c>
      <c r="BH154" s="60">
        <f t="shared" si="116"/>
        <v>293.33333333333633</v>
      </c>
      <c r="BI154" s="60">
        <f ca="1">AVERAGE(OFFSET($BH$3,0,0,'Données projet'!$E$11+1,1))-AVERAGE(OFFSET($H$3,0,0,'Données projet'!$E$11+1,1))</f>
        <v>389.12604446638119</v>
      </c>
      <c r="BJ154" s="60">
        <f t="shared" si="146"/>
        <v>243.23852967152732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1.0286385077051818E-13</v>
      </c>
      <c r="CA154" s="14">
        <f t="shared" ref="CA154:CA203" si="170">EXP(-1.0587+0.8836*LN(BZ154)+0.284)</f>
        <v>1.5402366592183556E-12</v>
      </c>
      <c r="CB154" s="22">
        <f t="shared" ref="CB154:CB203" si="171">(BZ154+CA154)*0.475*44/12</f>
        <v>2.8617333882306215E-12</v>
      </c>
      <c r="CC154" s="60">
        <f t="shared" si="119"/>
        <v>293.33333333333616</v>
      </c>
      <c r="CD154" s="60">
        <f ca="1">AVERAGE(OFFSET($CC$3,0,0,'Données projet'!$E$12+1,1))-AVERAGE(OFFSET($H$3,0,0,'Données projet'!$E$12+1,1))</f>
        <v>371.95849973474657</v>
      </c>
      <c r="CE154" s="60">
        <f t="shared" si="148"/>
        <v>233.32640143610547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1.173587980546248E-17</v>
      </c>
      <c r="CN154" s="24">
        <f t="shared" ref="CN154:CN203" si="172">SUM(CK154:CM154)</f>
        <v>1.173587980546248E-17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1.0995790944434703E-13</v>
      </c>
      <c r="CV154" s="14">
        <f t="shared" ref="CV154:CV203" si="173">EXP(-1.0587+0.8836*LN(CU154)+0.284)</f>
        <v>1.6337280948049956E-12</v>
      </c>
      <c r="CW154" s="22">
        <f t="shared" ref="CW154:CW203" si="174">(CU154+CV154)*0.475*44/12</f>
        <v>3.036919790734272E-12</v>
      </c>
      <c r="CX154" s="60">
        <f t="shared" si="122"/>
        <v>293.33333333333633</v>
      </c>
      <c r="CY154" s="60">
        <f ca="1">AVERAGE(OFFSET($CX$3,0,0,'Données projet'!$E$13+1,1))-AVERAGE(OFFSET($H$3,0,0,'Données projet'!$E$13+1,1))</f>
        <v>394.8445842828649</v>
      </c>
      <c r="CZ154" s="60">
        <f t="shared" si="150"/>
        <v>246.54010105494143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1.2545250826528866E-17</v>
      </c>
      <c r="DI154" s="24">
        <f t="shared" ref="DI154:DI203" si="175">SUM(DF154:DH154)</f>
        <v>1.2545250826528866E-17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5.6843418860808015E-14</v>
      </c>
      <c r="DP154" s="18">
        <f>DO154*VLOOKUP('Données projet'!$B$14,Paramètres!$A$1:$I$89,3,0)*VLOOKUP('Données projet'!$B$14,Paramètres!$A$1:$I$89,5,0)</f>
        <v>4.9658410716801891E-14</v>
      </c>
      <c r="DQ154" s="14">
        <f t="shared" ref="DQ154:DQ203" si="176">EXP(-1.0587+0.8836*LN(DP154)+0.284)</f>
        <v>8.0934058173791862E-13</v>
      </c>
      <c r="DR154" s="22">
        <f t="shared" ref="DR154:DR203" si="177">(DP154+DQ154)*0.475*44/12</f>
        <v>1.4960899118586383E-12</v>
      </c>
      <c r="DS154" s="60">
        <f t="shared" si="125"/>
        <v>293.33333333333479</v>
      </c>
      <c r="DT154" s="60">
        <f ca="1">AVERAGE(OFFSET($DS$3,0,0,'Données projet'!$E$14+1,1))-AVERAGE(OFFSET($H$3,0,0,'Données projet'!$E$14+1,1))</f>
        <v>266.98113257513319</v>
      </c>
      <c r="DU154" s="60">
        <f t="shared" si="152"/>
        <v>275.73257102713393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0.38873965689166395</v>
      </c>
      <c r="EC154" s="23">
        <f>EXP(-LN(2)/2)*EC153+(1-EXP(-LN(2)/2))/(LN(2)/2)*DW154*DZ154*VLOOKUP('Données projet'!$B$14,Paramètres!$A$1:$I$89,3,0)*0.475*44/12</f>
        <v>6.4193465598403665E-18</v>
      </c>
      <c r="ED154" s="24">
        <f t="shared" ref="ED154:ED203" si="178">SUM(EA154:EC154)</f>
        <v>0.38873965689166395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1.1368683772161603E-13</v>
      </c>
      <c r="EK154" s="18">
        <f>EJ154*VLOOKUP('Données projet'!$B$15,Paramètres!$A$1:$I$89,3,0)*VLOOKUP('Données projet'!$B$15,Paramètres!$A$1:$I$89,5,0)</f>
        <v>1.2946657079737634E-13</v>
      </c>
      <c r="EL154" s="14">
        <f t="shared" ref="EL154:EL203" si="179">EXP(-1.0587+0.8836*LN(EK154)+0.284)</f>
        <v>1.8873591890224769E-12</v>
      </c>
      <c r="EM154" s="22">
        <f t="shared" ref="EM154:EM203" si="180">(EK154+EL154)*0.475*44/12</f>
        <v>3.5126381983529106E-12</v>
      </c>
      <c r="EN154" s="60">
        <f t="shared" si="128"/>
        <v>293.33333333333684</v>
      </c>
      <c r="EO154" s="60">
        <f ca="1">AVERAGE(OFFSET($EN$3,0,0,'Données projet'!$E$15+1,1))-AVERAGE(OFFSET($H$3,0,0,'Données projet'!$E$15+1,1))</f>
        <v>457.62828850677369</v>
      </c>
      <c r="EP154" s="60">
        <f t="shared" si="154"/>
        <v>282.78263556175563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1.1368683772161603E-13</v>
      </c>
      <c r="FF154" s="18">
        <f>FE154*VLOOKUP('Données projet'!$B$16,Paramètres!$A$1:$I$89,3,0)*VLOOKUP('Données projet'!$B$16,Paramètres!$A$1:$I$89,5,0)</f>
        <v>1.2414602679200469E-13</v>
      </c>
      <c r="FG154" s="14">
        <f t="shared" ref="FG154:FG203" si="182">EXP(-1.0587+0.8836*LN(FF154)+0.284)</f>
        <v>1.8186582995804361E-12</v>
      </c>
      <c r="FH154" s="22">
        <f t="shared" ref="FH154:FH203" si="183">(FF154+FG154)*0.475*44/12</f>
        <v>3.3837175350986671E-12</v>
      </c>
      <c r="FI154" s="60">
        <f t="shared" si="131"/>
        <v>293.33333333333672</v>
      </c>
      <c r="FJ154" s="60">
        <f ca="1">AVERAGE(OFFSET($FI$3,0,0,'Données projet'!$E$16+1,1))-AVERAGE(OFFSET($H$3,0,0,'Données projet'!$E$16+1,1))</f>
        <v>440.52623925652182</v>
      </c>
      <c r="FK154" s="60">
        <f t="shared" si="156"/>
        <v>272.91122662088918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3.4106051316484809E-13</v>
      </c>
      <c r="GA154" s="18">
        <f>FZ154*VLOOKUP('Données projet'!$B$17,Paramètres!$A$1:$I$89,3,0)*VLOOKUP('Données projet'!$B$17,Paramètres!$A$1:$I$89,5,0)</f>
        <v>1.5961632016114892E-13</v>
      </c>
      <c r="GB154" s="14">
        <f t="shared" ref="GB154:GB203" si="185">EXP(-1.0587+0.8836*LN(GA154)+0.284)</f>
        <v>2.2708641912150958E-12</v>
      </c>
      <c r="GC154" s="22">
        <f t="shared" ref="GC154:GC203" si="186">(GA154+GB154)*0.475*44/12</f>
        <v>4.2330868906469593E-12</v>
      </c>
      <c r="GD154" s="60">
        <f t="shared" si="134"/>
        <v>293.33333333333752</v>
      </c>
      <c r="GE154" s="60">
        <f ca="1">AVERAGE(OFFSET($GD$3,0,0,'Données projet'!$E$17+1,1))-AVERAGE(OFFSET($H$3,0,0,'Données projet'!$E$17+1,1))</f>
        <v>317.54276561627643</v>
      </c>
      <c r="GF154" s="60">
        <f t="shared" si="158"/>
        <v>238.92443174298893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>
        <f>GU154*VLOOKUP('Données projet'!$B$18,Paramètres!$A$1:$I$89,3,0)*VLOOKUP('Données projet'!$B$18,Paramètres!$A$1:$I$89,5,0)</f>
        <v>0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0" t="e">
        <f t="shared" si="137"/>
        <v>#NUM!</v>
      </c>
      <c r="GZ154" s="60">
        <f ca="1">AVERAGE(OFFSET($GY$3,0,0,'Données projet'!$E$18+1,1))-AVERAGE(OFFSET($H$3,0,0,'Données projet'!$E$18+1,1))</f>
        <v>79.868679770907136</v>
      </c>
      <c r="HA154" s="60">
        <f t="shared" si="160"/>
        <v>370.47471103028312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5.657354086231221</v>
      </c>
      <c r="HH154" s="23">
        <f>EXP(-LN(2)/25)*HH153+(1-EXP(-LN(2)/25))/(LN(2)/25)*Calculateur!HC154*Calculateur!HE154*VLOOKUP('Données projet'!$B$18,Paramètres!$A$1:$I$89,3,0)*0.475*44/12</f>
        <v>0.52745121113591531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6.1848052973671361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0">
        <f t="shared" si="109"/>
        <v>293.33333333333439</v>
      </c>
      <c r="S155" s="60">
        <f ca="1">AVERAGE(OFFSET($R$3,0,0,'Données projet'!$E$9+1,1))-AVERAGE(OFFSET($H$3,0,0,'Données projet'!$E$9+1,1))</f>
        <v>206.5885410269899</v>
      </c>
      <c r="T155" s="60">
        <f t="shared" si="142"/>
        <v>347.41156847586302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3.3992364478763198E-14</v>
      </c>
      <c r="AK155" s="14">
        <f t="shared" si="164"/>
        <v>5.790027782444094E-13</v>
      </c>
      <c r="AL155" s="22">
        <f t="shared" si="165"/>
        <v>1.0676332069095257E-12</v>
      </c>
      <c r="AM155" s="60">
        <f t="shared" si="113"/>
        <v>293.33333333333439</v>
      </c>
      <c r="AN155" s="60">
        <f ca="1">AVERAGE(OFFSET($AM$3,0,0,'Données projet'!$E$10+1,1))-AVERAGE(OFFSET($H$3,0,0,'Données projet'!$E$10+1,1))</f>
        <v>206.5885410269899</v>
      </c>
      <c r="AO155" s="60">
        <f t="shared" si="144"/>
        <v>347.41156847586302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9.7650089728341598</v>
      </c>
      <c r="AV155" s="23">
        <f>EXP(-LN(2)/25)*AV154+(1-EXP(-LN(2)/25))/(LN(2)/25)*Calculateur!AQ155*Calculateur!AS155*VLOOKUP('Données projet'!$B$10,Paramètres!$A$1:$I$89,3,0)*0.475*44/12</f>
        <v>0.11353246664109648</v>
      </c>
      <c r="AW155" s="23">
        <f>EXP(-LN(2)/2)*AW154+(1-EXP(-LN(2)/2))/(LN(2)/2)*AQ155*AT155*VLOOKUP('Données projet'!$B$10,Paramètres!$A$1:$I$89,3,0)*0.475*44/12</f>
        <v>4.7770756043997284E-16</v>
      </c>
      <c r="AX155" s="23">
        <f t="shared" si="166"/>
        <v>9.8785414394752564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1.0818439477588981E-13</v>
      </c>
      <c r="BF155" s="14">
        <f t="shared" si="167"/>
        <v>1.6104228458716316E-12</v>
      </c>
      <c r="BG155" s="22">
        <f t="shared" si="168"/>
        <v>2.9932409441277661E-12</v>
      </c>
      <c r="BH155" s="60">
        <f t="shared" si="116"/>
        <v>293.33333333333633</v>
      </c>
      <c r="BI155" s="60">
        <f ca="1">AVERAGE(OFFSET($BH$3,0,0,'Données projet'!$E$11+1,1))-AVERAGE(OFFSET($H$3,0,0,'Données projet'!$E$11+1,1))</f>
        <v>389.12604446638119</v>
      </c>
      <c r="BJ155" s="60">
        <f t="shared" si="146"/>
        <v>243.23852967152732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1.0286385077051818E-13</v>
      </c>
      <c r="CA155" s="14">
        <f t="shared" si="170"/>
        <v>1.5402366592183556E-12</v>
      </c>
      <c r="CB155" s="22">
        <f t="shared" si="171"/>
        <v>2.8617333882306215E-12</v>
      </c>
      <c r="CC155" s="60">
        <f t="shared" si="119"/>
        <v>293.33333333333616</v>
      </c>
      <c r="CD155" s="60">
        <f ca="1">AVERAGE(OFFSET($CC$3,0,0,'Données projet'!$E$12+1,1))-AVERAGE(OFFSET($H$3,0,0,'Données projet'!$E$12+1,1))</f>
        <v>371.95849973474657</v>
      </c>
      <c r="CE155" s="60">
        <f t="shared" si="148"/>
        <v>233.32640143610547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8.2985201936327798E-18</v>
      </c>
      <c r="CN155" s="24">
        <f t="shared" si="172"/>
        <v>8.2985201936327798E-18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1.0995790944434703E-13</v>
      </c>
      <c r="CV155" s="14">
        <f t="shared" si="173"/>
        <v>1.6337280948049956E-12</v>
      </c>
      <c r="CW155" s="22">
        <f t="shared" si="174"/>
        <v>3.036919790734272E-12</v>
      </c>
      <c r="CX155" s="60">
        <f t="shared" si="122"/>
        <v>293.33333333333633</v>
      </c>
      <c r="CY155" s="60">
        <f ca="1">AVERAGE(OFFSET($CX$3,0,0,'Données projet'!$E$13+1,1))-AVERAGE(OFFSET($H$3,0,0,'Données projet'!$E$13+1,1))</f>
        <v>394.8445842828649</v>
      </c>
      <c r="CZ155" s="60">
        <f t="shared" si="150"/>
        <v>246.54010105494143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8.8708319311247011E-18</v>
      </c>
      <c r="DI155" s="24">
        <f t="shared" si="175"/>
        <v>8.8708319311247011E-18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5.6843418860808015E-14</v>
      </c>
      <c r="DP155" s="18">
        <f>DO155*VLOOKUP('Données projet'!$B$14,Paramètres!$A$1:$I$89,3,0)*VLOOKUP('Données projet'!$B$14,Paramètres!$A$1:$I$89,5,0)</f>
        <v>4.9658410716801891E-14</v>
      </c>
      <c r="DQ155" s="14">
        <f t="shared" si="176"/>
        <v>8.0934058173791862E-13</v>
      </c>
      <c r="DR155" s="22">
        <f t="shared" si="177"/>
        <v>1.4960899118586383E-12</v>
      </c>
      <c r="DS155" s="60">
        <f t="shared" si="125"/>
        <v>293.33333333333479</v>
      </c>
      <c r="DT155" s="60">
        <f ca="1">AVERAGE(OFFSET($DS$3,0,0,'Données projet'!$E$14+1,1))-AVERAGE(OFFSET($H$3,0,0,'Données projet'!$E$14+1,1))</f>
        <v>266.98113257513319</v>
      </c>
      <c r="DU155" s="60">
        <f t="shared" si="152"/>
        <v>275.73257102713393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0.37810955053103135</v>
      </c>
      <c r="EC155" s="23">
        <f>EXP(-LN(2)/2)*EC154+(1-EXP(-LN(2)/2))/(LN(2)/2)*DW155*DZ155*VLOOKUP('Données projet'!$B$14,Paramètres!$A$1:$I$89,3,0)*0.475*44/12</f>
        <v>4.5391634832496586E-18</v>
      </c>
      <c r="ED155" s="24">
        <f t="shared" si="178"/>
        <v>0.37810955053103135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1.1368683772161603E-13</v>
      </c>
      <c r="EK155" s="18">
        <f>EJ155*VLOOKUP('Données projet'!$B$15,Paramètres!$A$1:$I$89,3,0)*VLOOKUP('Données projet'!$B$15,Paramètres!$A$1:$I$89,5,0)</f>
        <v>1.2946657079737634E-13</v>
      </c>
      <c r="EL155" s="14">
        <f t="shared" si="179"/>
        <v>1.8873591890224769E-12</v>
      </c>
      <c r="EM155" s="22">
        <f t="shared" si="180"/>
        <v>3.5126381983529106E-12</v>
      </c>
      <c r="EN155" s="60">
        <f t="shared" si="128"/>
        <v>293.33333333333684</v>
      </c>
      <c r="EO155" s="60">
        <f ca="1">AVERAGE(OFFSET($EN$3,0,0,'Données projet'!$E$15+1,1))-AVERAGE(OFFSET($H$3,0,0,'Données projet'!$E$15+1,1))</f>
        <v>457.62828850677369</v>
      </c>
      <c r="EP155" s="60">
        <f t="shared" si="154"/>
        <v>282.78263556175563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1.1368683772161603E-13</v>
      </c>
      <c r="FF155" s="18">
        <f>FE155*VLOOKUP('Données projet'!$B$16,Paramètres!$A$1:$I$89,3,0)*VLOOKUP('Données projet'!$B$16,Paramètres!$A$1:$I$89,5,0)</f>
        <v>1.2414602679200469E-13</v>
      </c>
      <c r="FG155" s="14">
        <f t="shared" si="182"/>
        <v>1.8186582995804361E-12</v>
      </c>
      <c r="FH155" s="22">
        <f t="shared" si="183"/>
        <v>3.3837175350986671E-12</v>
      </c>
      <c r="FI155" s="60">
        <f t="shared" si="131"/>
        <v>293.33333333333672</v>
      </c>
      <c r="FJ155" s="60">
        <f ca="1">AVERAGE(OFFSET($FI$3,0,0,'Données projet'!$E$16+1,1))-AVERAGE(OFFSET($H$3,0,0,'Données projet'!$E$16+1,1))</f>
        <v>440.52623925652182</v>
      </c>
      <c r="FK155" s="60">
        <f t="shared" si="156"/>
        <v>272.91122662088918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3.4106051316484809E-13</v>
      </c>
      <c r="GA155" s="18">
        <f>FZ155*VLOOKUP('Données projet'!$B$17,Paramètres!$A$1:$I$89,3,0)*VLOOKUP('Données projet'!$B$17,Paramètres!$A$1:$I$89,5,0)</f>
        <v>1.5961632016114892E-13</v>
      </c>
      <c r="GB155" s="14">
        <f t="shared" si="185"/>
        <v>2.2708641912150958E-12</v>
      </c>
      <c r="GC155" s="22">
        <f t="shared" si="186"/>
        <v>4.2330868906469593E-12</v>
      </c>
      <c r="GD155" s="60">
        <f t="shared" si="134"/>
        <v>293.33333333333752</v>
      </c>
      <c r="GE155" s="60">
        <f ca="1">AVERAGE(OFFSET($GD$3,0,0,'Données projet'!$E$17+1,1))-AVERAGE(OFFSET($H$3,0,0,'Données projet'!$E$17+1,1))</f>
        <v>317.54276561627643</v>
      </c>
      <c r="GF155" s="60">
        <f t="shared" si="158"/>
        <v>238.92443174298893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>
        <f>GU155*VLOOKUP('Données projet'!$B$18,Paramètres!$A$1:$I$89,3,0)*VLOOKUP('Données projet'!$B$18,Paramètres!$A$1:$I$89,5,0)</f>
        <v>0</v>
      </c>
      <c r="GW155" s="14" t="e">
        <f t="shared" si="188"/>
        <v>#NUM!</v>
      </c>
      <c r="GX155" s="22" t="e">
        <f t="shared" si="189"/>
        <v>#NUM!</v>
      </c>
      <c r="GY155" s="60" t="e">
        <f t="shared" si="137"/>
        <v>#NUM!</v>
      </c>
      <c r="GZ155" s="60">
        <f ca="1">AVERAGE(OFFSET($GY$3,0,0,'Données projet'!$E$18+1,1))-AVERAGE(OFFSET($H$3,0,0,'Données projet'!$E$18+1,1))</f>
        <v>79.868679770907136</v>
      </c>
      <c r="HA155" s="60">
        <f t="shared" si="160"/>
        <v>370.47471103028312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5.5464168232454965</v>
      </c>
      <c r="HH155" s="23">
        <f>EXP(-LN(2)/25)*HH154+(1-EXP(-LN(2)/25))/(LN(2)/25)*Calculateur!HC155*Calculateur!HE155*VLOOKUP('Données projet'!$B$18,Paramètres!$A$1:$I$89,3,0)*0.475*44/12</f>
        <v>0.51302803002995001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6.0594448532754468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0">
        <f t="shared" si="109"/>
        <v>293.33333333333439</v>
      </c>
      <c r="S156" s="60">
        <f ca="1">AVERAGE(OFFSET($R$3,0,0,'Données projet'!$E$9+1,1))-AVERAGE(OFFSET($H$3,0,0,'Données projet'!$E$9+1,1))</f>
        <v>206.5885410269899</v>
      </c>
      <c r="T156" s="60">
        <f t="shared" si="142"/>
        <v>347.41156847586302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3.3992364478763198E-14</v>
      </c>
      <c r="AK156" s="14">
        <f t="shared" si="164"/>
        <v>5.790027782444094E-13</v>
      </c>
      <c r="AL156" s="22">
        <f t="shared" si="165"/>
        <v>1.0676332069095257E-12</v>
      </c>
      <c r="AM156" s="60">
        <f t="shared" si="113"/>
        <v>293.33333333333439</v>
      </c>
      <c r="AN156" s="60">
        <f ca="1">AVERAGE(OFFSET($AM$3,0,0,'Données projet'!$E$10+1,1))-AVERAGE(OFFSET($H$3,0,0,'Données projet'!$E$10+1,1))</f>
        <v>206.5885410269899</v>
      </c>
      <c r="AO156" s="60">
        <f t="shared" si="144"/>
        <v>347.41156847586302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9.5735231029442431</v>
      </c>
      <c r="AV156" s="23">
        <f>EXP(-LN(2)/25)*AV155+(1-EXP(-LN(2)/25))/(LN(2)/25)*Calculateur!AQ156*Calculateur!AS156*VLOOKUP('Données projet'!$B$10,Paramètres!$A$1:$I$89,3,0)*0.475*44/12</f>
        <v>0.11042791537038275</v>
      </c>
      <c r="AW156" s="23">
        <f>EXP(-LN(2)/2)*AW155+(1-EXP(-LN(2)/2))/(LN(2)/2)*AQ156*AT156*VLOOKUP('Données projet'!$B$10,Paramètres!$A$1:$I$89,3,0)*0.475*44/12</f>
        <v>3.377902554111873E-16</v>
      </c>
      <c r="AX156" s="23">
        <f t="shared" si="166"/>
        <v>9.6839510183146267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1.0818439477588981E-13</v>
      </c>
      <c r="BF156" s="14">
        <f t="shared" si="167"/>
        <v>1.6104228458716316E-12</v>
      </c>
      <c r="BG156" s="22">
        <f t="shared" si="168"/>
        <v>2.9932409441277661E-12</v>
      </c>
      <c r="BH156" s="60">
        <f t="shared" si="116"/>
        <v>293.33333333333633</v>
      </c>
      <c r="BI156" s="60">
        <f ca="1">AVERAGE(OFFSET($BH$3,0,0,'Données projet'!$E$11+1,1))-AVERAGE(OFFSET($H$3,0,0,'Données projet'!$E$11+1,1))</f>
        <v>389.12604446638119</v>
      </c>
      <c r="BJ156" s="60">
        <f t="shared" si="146"/>
        <v>243.23852967152732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1.0286385077051818E-13</v>
      </c>
      <c r="CA156" s="14">
        <f t="shared" si="170"/>
        <v>1.5402366592183556E-12</v>
      </c>
      <c r="CB156" s="22">
        <f t="shared" si="171"/>
        <v>2.8617333882306215E-12</v>
      </c>
      <c r="CC156" s="60">
        <f t="shared" si="119"/>
        <v>293.33333333333616</v>
      </c>
      <c r="CD156" s="60">
        <f ca="1">AVERAGE(OFFSET($CC$3,0,0,'Données projet'!$E$12+1,1))-AVERAGE(OFFSET($H$3,0,0,'Données projet'!$E$12+1,1))</f>
        <v>371.95849973474657</v>
      </c>
      <c r="CE156" s="60">
        <f t="shared" si="148"/>
        <v>233.32640143610547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5.8679399027312401E-18</v>
      </c>
      <c r="CN156" s="24">
        <f t="shared" si="172"/>
        <v>5.8679399027312401E-18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1.0995790944434703E-13</v>
      </c>
      <c r="CV156" s="14">
        <f t="shared" si="173"/>
        <v>1.6337280948049956E-12</v>
      </c>
      <c r="CW156" s="22">
        <f t="shared" si="174"/>
        <v>3.036919790734272E-12</v>
      </c>
      <c r="CX156" s="60">
        <f t="shared" si="122"/>
        <v>293.33333333333633</v>
      </c>
      <c r="CY156" s="60">
        <f ca="1">AVERAGE(OFFSET($CX$3,0,0,'Données projet'!$E$13+1,1))-AVERAGE(OFFSET($H$3,0,0,'Données projet'!$E$13+1,1))</f>
        <v>394.8445842828649</v>
      </c>
      <c r="CZ156" s="60">
        <f t="shared" si="150"/>
        <v>246.54010105494143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6.2726254132644329E-18</v>
      </c>
      <c r="DI156" s="24">
        <f t="shared" si="175"/>
        <v>6.2726254132644329E-18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5.6843418860808015E-14</v>
      </c>
      <c r="DP156" s="18">
        <f>DO156*VLOOKUP('Données projet'!$B$14,Paramètres!$A$1:$I$89,3,0)*VLOOKUP('Données projet'!$B$14,Paramètres!$A$1:$I$89,5,0)</f>
        <v>4.9658410716801891E-14</v>
      </c>
      <c r="DQ156" s="14">
        <f t="shared" si="176"/>
        <v>8.0934058173791862E-13</v>
      </c>
      <c r="DR156" s="22">
        <f t="shared" si="177"/>
        <v>1.4960899118586383E-12</v>
      </c>
      <c r="DS156" s="60">
        <f t="shared" si="125"/>
        <v>293.33333333333479</v>
      </c>
      <c r="DT156" s="60">
        <f ca="1">AVERAGE(OFFSET($DS$3,0,0,'Données projet'!$E$14+1,1))-AVERAGE(OFFSET($H$3,0,0,'Données projet'!$E$14+1,1))</f>
        <v>266.98113257513319</v>
      </c>
      <c r="DU156" s="60">
        <f t="shared" si="152"/>
        <v>275.73257102713393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0.36777012498784323</v>
      </c>
      <c r="EC156" s="23">
        <f>EXP(-LN(2)/2)*EC155+(1-EXP(-LN(2)/2))/(LN(2)/2)*DW156*DZ156*VLOOKUP('Données projet'!$B$14,Paramètres!$A$1:$I$89,3,0)*0.475*44/12</f>
        <v>3.2096732799201833E-18</v>
      </c>
      <c r="ED156" s="24">
        <f t="shared" si="178"/>
        <v>0.36777012498784323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1.1368683772161603E-13</v>
      </c>
      <c r="EK156" s="18">
        <f>EJ156*VLOOKUP('Données projet'!$B$15,Paramètres!$A$1:$I$89,3,0)*VLOOKUP('Données projet'!$B$15,Paramètres!$A$1:$I$89,5,0)</f>
        <v>1.2946657079737634E-13</v>
      </c>
      <c r="EL156" s="14">
        <f t="shared" si="179"/>
        <v>1.8873591890224769E-12</v>
      </c>
      <c r="EM156" s="22">
        <f t="shared" si="180"/>
        <v>3.5126381983529106E-12</v>
      </c>
      <c r="EN156" s="60">
        <f t="shared" si="128"/>
        <v>293.33333333333684</v>
      </c>
      <c r="EO156" s="60">
        <f ca="1">AVERAGE(OFFSET($EN$3,0,0,'Données projet'!$E$15+1,1))-AVERAGE(OFFSET($H$3,0,0,'Données projet'!$E$15+1,1))</f>
        <v>457.62828850677369</v>
      </c>
      <c r="EP156" s="60">
        <f t="shared" si="154"/>
        <v>282.78263556175563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1.1368683772161603E-13</v>
      </c>
      <c r="FF156" s="18">
        <f>FE156*VLOOKUP('Données projet'!$B$16,Paramètres!$A$1:$I$89,3,0)*VLOOKUP('Données projet'!$B$16,Paramètres!$A$1:$I$89,5,0)</f>
        <v>1.2414602679200469E-13</v>
      </c>
      <c r="FG156" s="14">
        <f t="shared" si="182"/>
        <v>1.8186582995804361E-12</v>
      </c>
      <c r="FH156" s="22">
        <f t="shared" si="183"/>
        <v>3.3837175350986671E-12</v>
      </c>
      <c r="FI156" s="60">
        <f t="shared" si="131"/>
        <v>293.33333333333672</v>
      </c>
      <c r="FJ156" s="60">
        <f ca="1">AVERAGE(OFFSET($FI$3,0,0,'Données projet'!$E$16+1,1))-AVERAGE(OFFSET($H$3,0,0,'Données projet'!$E$16+1,1))</f>
        <v>440.52623925652182</v>
      </c>
      <c r="FK156" s="60">
        <f t="shared" si="156"/>
        <v>272.91122662088918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3.4106051316484809E-13</v>
      </c>
      <c r="GA156" s="18">
        <f>FZ156*VLOOKUP('Données projet'!$B$17,Paramètres!$A$1:$I$89,3,0)*VLOOKUP('Données projet'!$B$17,Paramètres!$A$1:$I$89,5,0)</f>
        <v>1.5961632016114892E-13</v>
      </c>
      <c r="GB156" s="14">
        <f t="shared" si="185"/>
        <v>2.2708641912150958E-12</v>
      </c>
      <c r="GC156" s="22">
        <f t="shared" si="186"/>
        <v>4.2330868906469593E-12</v>
      </c>
      <c r="GD156" s="60">
        <f t="shared" si="134"/>
        <v>293.33333333333752</v>
      </c>
      <c r="GE156" s="60">
        <f ca="1">AVERAGE(OFFSET($GD$3,0,0,'Données projet'!$E$17+1,1))-AVERAGE(OFFSET($H$3,0,0,'Données projet'!$E$17+1,1))</f>
        <v>317.54276561627643</v>
      </c>
      <c r="GF156" s="60">
        <f t="shared" si="158"/>
        <v>238.92443174298893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>
        <f>GU156*VLOOKUP('Données projet'!$B$18,Paramètres!$A$1:$I$89,3,0)*VLOOKUP('Données projet'!$B$18,Paramètres!$A$1:$I$89,5,0)</f>
        <v>0</v>
      </c>
      <c r="GW156" s="14" t="e">
        <f t="shared" si="188"/>
        <v>#NUM!</v>
      </c>
      <c r="GX156" s="22" t="e">
        <f t="shared" si="189"/>
        <v>#NUM!</v>
      </c>
      <c r="GY156" s="60" t="e">
        <f t="shared" si="137"/>
        <v>#NUM!</v>
      </c>
      <c r="GZ156" s="60">
        <f ca="1">AVERAGE(OFFSET($GY$3,0,0,'Données projet'!$E$18+1,1))-AVERAGE(OFFSET($H$3,0,0,'Données projet'!$E$18+1,1))</f>
        <v>79.868679770907136</v>
      </c>
      <c r="HA156" s="60">
        <f t="shared" si="160"/>
        <v>370.47471103028312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5.437654972321873</v>
      </c>
      <c r="HH156" s="23">
        <f>EXP(-LN(2)/25)*HH155+(1-EXP(-LN(2)/25))/(LN(2)/25)*Calculateur!HC156*Calculateur!HE156*VLOOKUP('Données projet'!$B$18,Paramètres!$A$1:$I$89,3,0)*0.475*44/12</f>
        <v>0.49899925156980945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5.9366542238916828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0">
        <f t="shared" si="109"/>
        <v>293.33333333333439</v>
      </c>
      <c r="S157" s="60">
        <f ca="1">AVERAGE(OFFSET($R$3,0,0,'Données projet'!$E$9+1,1))-AVERAGE(OFFSET($H$3,0,0,'Données projet'!$E$9+1,1))</f>
        <v>206.5885410269899</v>
      </c>
      <c r="T157" s="60">
        <f t="shared" si="142"/>
        <v>347.41156847586302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3.3992364478763198E-14</v>
      </c>
      <c r="AK157" s="14">
        <f t="shared" si="164"/>
        <v>5.790027782444094E-13</v>
      </c>
      <c r="AL157" s="22">
        <f t="shared" si="165"/>
        <v>1.0676332069095257E-12</v>
      </c>
      <c r="AM157" s="60">
        <f t="shared" si="113"/>
        <v>293.33333333333439</v>
      </c>
      <c r="AN157" s="60">
        <f ca="1">AVERAGE(OFFSET($AM$3,0,0,'Données projet'!$E$10+1,1))-AVERAGE(OFFSET($H$3,0,0,'Données projet'!$E$10+1,1))</f>
        <v>206.5885410269899</v>
      </c>
      <c r="AO157" s="60">
        <f t="shared" si="144"/>
        <v>347.41156847586302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9.3857921541680192</v>
      </c>
      <c r="AV157" s="23">
        <f>EXP(-LN(2)/25)*AV156+(1-EXP(-LN(2)/25))/(LN(2)/25)*Calculateur!AQ157*Calculateur!AS157*VLOOKUP('Données projet'!$B$10,Paramètres!$A$1:$I$89,3,0)*0.475*44/12</f>
        <v>0.10740825821742796</v>
      </c>
      <c r="AW157" s="23">
        <f>EXP(-LN(2)/2)*AW156+(1-EXP(-LN(2)/2))/(LN(2)/2)*AQ157*AT157*VLOOKUP('Données projet'!$B$10,Paramètres!$A$1:$I$89,3,0)*0.475*44/12</f>
        <v>2.3885378021998642E-16</v>
      </c>
      <c r="AX157" s="23">
        <f t="shared" si="166"/>
        <v>9.4932004123854465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1.0818439477588981E-13</v>
      </c>
      <c r="BF157" s="14">
        <f t="shared" si="167"/>
        <v>1.6104228458716316E-12</v>
      </c>
      <c r="BG157" s="22">
        <f t="shared" si="168"/>
        <v>2.9932409441277661E-12</v>
      </c>
      <c r="BH157" s="60">
        <f t="shared" si="116"/>
        <v>293.33333333333633</v>
      </c>
      <c r="BI157" s="60">
        <f ca="1">AVERAGE(OFFSET($BH$3,0,0,'Données projet'!$E$11+1,1))-AVERAGE(OFFSET($H$3,0,0,'Données projet'!$E$11+1,1))</f>
        <v>389.12604446638119</v>
      </c>
      <c r="BJ157" s="60">
        <f t="shared" si="146"/>
        <v>243.23852967152732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1.0286385077051818E-13</v>
      </c>
      <c r="CA157" s="14">
        <f t="shared" si="170"/>
        <v>1.5402366592183556E-12</v>
      </c>
      <c r="CB157" s="22">
        <f t="shared" si="171"/>
        <v>2.8617333882306215E-12</v>
      </c>
      <c r="CC157" s="60">
        <f t="shared" si="119"/>
        <v>293.33333333333616</v>
      </c>
      <c r="CD157" s="60">
        <f ca="1">AVERAGE(OFFSET($CC$3,0,0,'Données projet'!$E$12+1,1))-AVERAGE(OFFSET($H$3,0,0,'Données projet'!$E$12+1,1))</f>
        <v>371.95849973474657</v>
      </c>
      <c r="CE157" s="60">
        <f t="shared" si="148"/>
        <v>233.32640143610547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4.1492600968163899E-18</v>
      </c>
      <c r="CN157" s="24">
        <f t="shared" si="172"/>
        <v>4.1492600968163899E-18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1.0995790944434703E-13</v>
      </c>
      <c r="CV157" s="14">
        <f t="shared" si="173"/>
        <v>1.6337280948049956E-12</v>
      </c>
      <c r="CW157" s="22">
        <f t="shared" si="174"/>
        <v>3.036919790734272E-12</v>
      </c>
      <c r="CX157" s="60">
        <f t="shared" si="122"/>
        <v>293.33333333333633</v>
      </c>
      <c r="CY157" s="60">
        <f ca="1">AVERAGE(OFFSET($CX$3,0,0,'Données projet'!$E$13+1,1))-AVERAGE(OFFSET($H$3,0,0,'Données projet'!$E$13+1,1))</f>
        <v>394.8445842828649</v>
      </c>
      <c r="CZ157" s="60">
        <f t="shared" si="150"/>
        <v>246.54010105494143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4.4354159655623506E-18</v>
      </c>
      <c r="DI157" s="24">
        <f t="shared" si="175"/>
        <v>4.4354159655623506E-18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5.6843418860808015E-14</v>
      </c>
      <c r="DP157" s="18">
        <f>DO157*VLOOKUP('Données projet'!$B$14,Paramètres!$A$1:$I$89,3,0)*VLOOKUP('Données projet'!$B$14,Paramètres!$A$1:$I$89,5,0)</f>
        <v>4.9658410716801891E-14</v>
      </c>
      <c r="DQ157" s="14">
        <f t="shared" si="176"/>
        <v>8.0934058173791862E-13</v>
      </c>
      <c r="DR157" s="22">
        <f t="shared" si="177"/>
        <v>1.4960899118586383E-12</v>
      </c>
      <c r="DS157" s="60">
        <f t="shared" si="125"/>
        <v>293.33333333333479</v>
      </c>
      <c r="DT157" s="60">
        <f ca="1">AVERAGE(OFFSET($DS$3,0,0,'Données projet'!$E$14+1,1))-AVERAGE(OFFSET($H$3,0,0,'Données projet'!$E$14+1,1))</f>
        <v>266.98113257513319</v>
      </c>
      <c r="DU157" s="60">
        <f t="shared" si="152"/>
        <v>275.73257102713393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0.35771343157986035</v>
      </c>
      <c r="EC157" s="23">
        <f>EXP(-LN(2)/2)*EC156+(1-EXP(-LN(2)/2))/(LN(2)/2)*DW157*DZ157*VLOOKUP('Données projet'!$B$14,Paramètres!$A$1:$I$89,3,0)*0.475*44/12</f>
        <v>2.2695817416248293E-18</v>
      </c>
      <c r="ED157" s="24">
        <f t="shared" si="178"/>
        <v>0.35771343157986035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1.1368683772161603E-13</v>
      </c>
      <c r="EK157" s="18">
        <f>EJ157*VLOOKUP('Données projet'!$B$15,Paramètres!$A$1:$I$89,3,0)*VLOOKUP('Données projet'!$B$15,Paramètres!$A$1:$I$89,5,0)</f>
        <v>1.2946657079737634E-13</v>
      </c>
      <c r="EL157" s="14">
        <f t="shared" si="179"/>
        <v>1.8873591890224769E-12</v>
      </c>
      <c r="EM157" s="22">
        <f t="shared" si="180"/>
        <v>3.5126381983529106E-12</v>
      </c>
      <c r="EN157" s="60">
        <f t="shared" si="128"/>
        <v>293.33333333333684</v>
      </c>
      <c r="EO157" s="60">
        <f ca="1">AVERAGE(OFFSET($EN$3,0,0,'Données projet'!$E$15+1,1))-AVERAGE(OFFSET($H$3,0,0,'Données projet'!$E$15+1,1))</f>
        <v>457.62828850677369</v>
      </c>
      <c r="EP157" s="60">
        <f t="shared" si="154"/>
        <v>282.78263556175563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1.1368683772161603E-13</v>
      </c>
      <c r="FF157" s="18">
        <f>FE157*VLOOKUP('Données projet'!$B$16,Paramètres!$A$1:$I$89,3,0)*VLOOKUP('Données projet'!$B$16,Paramètres!$A$1:$I$89,5,0)</f>
        <v>1.2414602679200469E-13</v>
      </c>
      <c r="FG157" s="14">
        <f t="shared" si="182"/>
        <v>1.8186582995804361E-12</v>
      </c>
      <c r="FH157" s="22">
        <f t="shared" si="183"/>
        <v>3.3837175350986671E-12</v>
      </c>
      <c r="FI157" s="60">
        <f t="shared" si="131"/>
        <v>293.33333333333672</v>
      </c>
      <c r="FJ157" s="60">
        <f ca="1">AVERAGE(OFFSET($FI$3,0,0,'Données projet'!$E$16+1,1))-AVERAGE(OFFSET($H$3,0,0,'Données projet'!$E$16+1,1))</f>
        <v>440.52623925652182</v>
      </c>
      <c r="FK157" s="60">
        <f t="shared" si="156"/>
        <v>272.91122662088918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3.4106051316484809E-13</v>
      </c>
      <c r="GA157" s="18">
        <f>FZ157*VLOOKUP('Données projet'!$B$17,Paramètres!$A$1:$I$89,3,0)*VLOOKUP('Données projet'!$B$17,Paramètres!$A$1:$I$89,5,0)</f>
        <v>1.5961632016114892E-13</v>
      </c>
      <c r="GB157" s="14">
        <f t="shared" si="185"/>
        <v>2.2708641912150958E-12</v>
      </c>
      <c r="GC157" s="22">
        <f t="shared" si="186"/>
        <v>4.2330868906469593E-12</v>
      </c>
      <c r="GD157" s="60">
        <f t="shared" si="134"/>
        <v>293.33333333333752</v>
      </c>
      <c r="GE157" s="60">
        <f ca="1">AVERAGE(OFFSET($GD$3,0,0,'Données projet'!$E$17+1,1))-AVERAGE(OFFSET($H$3,0,0,'Données projet'!$E$17+1,1))</f>
        <v>317.54276561627643</v>
      </c>
      <c r="GF157" s="60">
        <f t="shared" si="158"/>
        <v>238.92443174298893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>
        <f>GU157*VLOOKUP('Données projet'!$B$18,Paramètres!$A$1:$I$89,3,0)*VLOOKUP('Données projet'!$B$18,Paramètres!$A$1:$I$89,5,0)</f>
        <v>0</v>
      </c>
      <c r="GW157" s="14" t="e">
        <f t="shared" si="188"/>
        <v>#NUM!</v>
      </c>
      <c r="GX157" s="22" t="e">
        <f t="shared" si="189"/>
        <v>#NUM!</v>
      </c>
      <c r="GY157" s="60" t="e">
        <f t="shared" si="137"/>
        <v>#NUM!</v>
      </c>
      <c r="GZ157" s="60">
        <f ca="1">AVERAGE(OFFSET($GY$3,0,0,'Données projet'!$E$18+1,1))-AVERAGE(OFFSET($H$3,0,0,'Données projet'!$E$18+1,1))</f>
        <v>79.868679770907136</v>
      </c>
      <c r="HA157" s="60">
        <f t="shared" si="160"/>
        <v>370.47471103028312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5.3310258749566826</v>
      </c>
      <c r="HH157" s="23">
        <f>EXP(-LN(2)/25)*HH156+(1-EXP(-LN(2)/25))/(LN(2)/25)*Calculateur!HC157*Calculateur!HE157*VLOOKUP('Données projet'!$B$18,Paramètres!$A$1:$I$89,3,0)*0.475*44/12</f>
        <v>0.48535409079440284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5.8163799657510857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0">
        <f t="shared" si="109"/>
        <v>293.33333333333439</v>
      </c>
      <c r="S158" s="60">
        <f ca="1">AVERAGE(OFFSET($R$3,0,0,'Données projet'!$E$9+1,1))-AVERAGE(OFFSET($H$3,0,0,'Données projet'!$E$9+1,1))</f>
        <v>206.5885410269899</v>
      </c>
      <c r="T158" s="60">
        <f t="shared" si="142"/>
        <v>347.41156847586302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3.3992364478763198E-14</v>
      </c>
      <c r="AK158" s="14">
        <f t="shared" si="164"/>
        <v>5.790027782444094E-13</v>
      </c>
      <c r="AL158" s="22">
        <f t="shared" si="165"/>
        <v>1.0676332069095257E-12</v>
      </c>
      <c r="AM158" s="60">
        <f t="shared" si="113"/>
        <v>293.33333333333439</v>
      </c>
      <c r="AN158" s="60">
        <f ca="1">AVERAGE(OFFSET($AM$3,0,0,'Données projet'!$E$10+1,1))-AVERAGE(OFFSET($H$3,0,0,'Données projet'!$E$10+1,1))</f>
        <v>206.5885410269899</v>
      </c>
      <c r="AO158" s="60">
        <f t="shared" si="144"/>
        <v>347.41156847586302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9.2017424947927253</v>
      </c>
      <c r="AV158" s="23">
        <f>EXP(-LN(2)/25)*AV157+(1-EXP(-LN(2)/25))/(LN(2)/25)*Calculateur!AQ158*Calculateur!AS158*VLOOKUP('Données projet'!$B$10,Paramètres!$A$1:$I$89,3,0)*0.475*44/12</f>
        <v>0.10447117374811757</v>
      </c>
      <c r="AW158" s="23">
        <f>EXP(-LN(2)/2)*AW157+(1-EXP(-LN(2)/2))/(LN(2)/2)*AQ158*AT158*VLOOKUP('Données projet'!$B$10,Paramètres!$A$1:$I$89,3,0)*0.475*44/12</f>
        <v>1.6889512770559365E-16</v>
      </c>
      <c r="AX158" s="23">
        <f t="shared" si="166"/>
        <v>9.3062136685408436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1.0818439477588981E-13</v>
      </c>
      <c r="BF158" s="14">
        <f t="shared" si="167"/>
        <v>1.6104228458716316E-12</v>
      </c>
      <c r="BG158" s="22">
        <f t="shared" si="168"/>
        <v>2.9932409441277661E-12</v>
      </c>
      <c r="BH158" s="60">
        <f t="shared" si="116"/>
        <v>293.33333333333633</v>
      </c>
      <c r="BI158" s="60">
        <f ca="1">AVERAGE(OFFSET($BH$3,0,0,'Données projet'!$E$11+1,1))-AVERAGE(OFFSET($H$3,0,0,'Données projet'!$E$11+1,1))</f>
        <v>389.12604446638119</v>
      </c>
      <c r="BJ158" s="60">
        <f t="shared" si="146"/>
        <v>243.23852967152732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1.0286385077051818E-13</v>
      </c>
      <c r="CA158" s="14">
        <f t="shared" si="170"/>
        <v>1.5402366592183556E-12</v>
      </c>
      <c r="CB158" s="22">
        <f t="shared" si="171"/>
        <v>2.8617333882306215E-12</v>
      </c>
      <c r="CC158" s="60">
        <f t="shared" si="119"/>
        <v>293.33333333333616</v>
      </c>
      <c r="CD158" s="60">
        <f ca="1">AVERAGE(OFFSET($CC$3,0,0,'Données projet'!$E$12+1,1))-AVERAGE(OFFSET($H$3,0,0,'Données projet'!$E$12+1,1))</f>
        <v>371.95849973474657</v>
      </c>
      <c r="CE158" s="60">
        <f t="shared" si="148"/>
        <v>233.32640143610547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2.9339699513656201E-18</v>
      </c>
      <c r="CN158" s="24">
        <f t="shared" si="172"/>
        <v>2.9339699513656201E-18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1.0995790944434703E-13</v>
      </c>
      <c r="CV158" s="14">
        <f t="shared" si="173"/>
        <v>1.6337280948049956E-12</v>
      </c>
      <c r="CW158" s="22">
        <f t="shared" si="174"/>
        <v>3.036919790734272E-12</v>
      </c>
      <c r="CX158" s="60">
        <f t="shared" si="122"/>
        <v>293.33333333333633</v>
      </c>
      <c r="CY158" s="60">
        <f ca="1">AVERAGE(OFFSET($CX$3,0,0,'Données projet'!$E$13+1,1))-AVERAGE(OFFSET($H$3,0,0,'Données projet'!$E$13+1,1))</f>
        <v>394.8445842828649</v>
      </c>
      <c r="CZ158" s="60">
        <f t="shared" si="150"/>
        <v>246.54010105494143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3.1363127066322165E-18</v>
      </c>
      <c r="DI158" s="24">
        <f t="shared" si="175"/>
        <v>3.1363127066322165E-18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5.6843418860808015E-14</v>
      </c>
      <c r="DP158" s="18">
        <f>DO158*VLOOKUP('Données projet'!$B$14,Paramètres!$A$1:$I$89,3,0)*VLOOKUP('Données projet'!$B$14,Paramètres!$A$1:$I$89,5,0)</f>
        <v>4.9658410716801891E-14</v>
      </c>
      <c r="DQ158" s="14">
        <f t="shared" si="176"/>
        <v>8.0934058173791862E-13</v>
      </c>
      <c r="DR158" s="22">
        <f t="shared" si="177"/>
        <v>1.4960899118586383E-12</v>
      </c>
      <c r="DS158" s="60">
        <f t="shared" si="125"/>
        <v>293.33333333333479</v>
      </c>
      <c r="DT158" s="60">
        <f ca="1">AVERAGE(OFFSET($DS$3,0,0,'Données projet'!$E$14+1,1))-AVERAGE(OFFSET($H$3,0,0,'Données projet'!$E$14+1,1))</f>
        <v>266.98113257513319</v>
      </c>
      <c r="DU158" s="60">
        <f t="shared" si="152"/>
        <v>275.73257102713393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0.34793173898197727</v>
      </c>
      <c r="EC158" s="23">
        <f>EXP(-LN(2)/2)*EC157+(1-EXP(-LN(2)/2))/(LN(2)/2)*DW158*DZ158*VLOOKUP('Données projet'!$B$14,Paramètres!$A$1:$I$89,3,0)*0.475*44/12</f>
        <v>1.6048366399600916E-18</v>
      </c>
      <c r="ED158" s="24">
        <f t="shared" si="178"/>
        <v>0.34793173898197727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1.1368683772161603E-13</v>
      </c>
      <c r="EK158" s="18">
        <f>EJ158*VLOOKUP('Données projet'!$B$15,Paramètres!$A$1:$I$89,3,0)*VLOOKUP('Données projet'!$B$15,Paramètres!$A$1:$I$89,5,0)</f>
        <v>1.2946657079737634E-13</v>
      </c>
      <c r="EL158" s="14">
        <f t="shared" si="179"/>
        <v>1.8873591890224769E-12</v>
      </c>
      <c r="EM158" s="22">
        <f t="shared" si="180"/>
        <v>3.5126381983529106E-12</v>
      </c>
      <c r="EN158" s="60">
        <f t="shared" si="128"/>
        <v>293.33333333333684</v>
      </c>
      <c r="EO158" s="60">
        <f ca="1">AVERAGE(OFFSET($EN$3,0,0,'Données projet'!$E$15+1,1))-AVERAGE(OFFSET($H$3,0,0,'Données projet'!$E$15+1,1))</f>
        <v>457.62828850677369</v>
      </c>
      <c r="EP158" s="60">
        <f t="shared" si="154"/>
        <v>282.78263556175563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1.1368683772161603E-13</v>
      </c>
      <c r="FF158" s="18">
        <f>FE158*VLOOKUP('Données projet'!$B$16,Paramètres!$A$1:$I$89,3,0)*VLOOKUP('Données projet'!$B$16,Paramètres!$A$1:$I$89,5,0)</f>
        <v>1.2414602679200469E-13</v>
      </c>
      <c r="FG158" s="14">
        <f t="shared" si="182"/>
        <v>1.8186582995804361E-12</v>
      </c>
      <c r="FH158" s="22">
        <f t="shared" si="183"/>
        <v>3.3837175350986671E-12</v>
      </c>
      <c r="FI158" s="60">
        <f t="shared" si="131"/>
        <v>293.33333333333672</v>
      </c>
      <c r="FJ158" s="60">
        <f ca="1">AVERAGE(OFFSET($FI$3,0,0,'Données projet'!$E$16+1,1))-AVERAGE(OFFSET($H$3,0,0,'Données projet'!$E$16+1,1))</f>
        <v>440.52623925652182</v>
      </c>
      <c r="FK158" s="60">
        <f t="shared" si="156"/>
        <v>272.91122662088918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3.4106051316484809E-13</v>
      </c>
      <c r="GA158" s="18">
        <f>FZ158*VLOOKUP('Données projet'!$B$17,Paramètres!$A$1:$I$89,3,0)*VLOOKUP('Données projet'!$B$17,Paramètres!$A$1:$I$89,5,0)</f>
        <v>1.5961632016114892E-13</v>
      </c>
      <c r="GB158" s="14">
        <f t="shared" si="185"/>
        <v>2.2708641912150958E-12</v>
      </c>
      <c r="GC158" s="22">
        <f t="shared" si="186"/>
        <v>4.2330868906469593E-12</v>
      </c>
      <c r="GD158" s="60">
        <f t="shared" si="134"/>
        <v>293.33333333333752</v>
      </c>
      <c r="GE158" s="60">
        <f ca="1">AVERAGE(OFFSET($GD$3,0,0,'Données projet'!$E$17+1,1))-AVERAGE(OFFSET($H$3,0,0,'Données projet'!$E$17+1,1))</f>
        <v>317.54276561627643</v>
      </c>
      <c r="GF158" s="60">
        <f t="shared" si="158"/>
        <v>238.92443174298893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>
        <f>GU158*VLOOKUP('Données projet'!$B$18,Paramètres!$A$1:$I$89,3,0)*VLOOKUP('Données projet'!$B$18,Paramètres!$A$1:$I$89,5,0)</f>
        <v>0</v>
      </c>
      <c r="GW158" s="14" t="e">
        <f t="shared" si="188"/>
        <v>#NUM!</v>
      </c>
      <c r="GX158" s="22" t="e">
        <f t="shared" si="189"/>
        <v>#NUM!</v>
      </c>
      <c r="GY158" s="60" t="e">
        <f t="shared" si="137"/>
        <v>#NUM!</v>
      </c>
      <c r="GZ158" s="60">
        <f ca="1">AVERAGE(OFFSET($GY$3,0,0,'Données projet'!$E$18+1,1))-AVERAGE(OFFSET($H$3,0,0,'Données projet'!$E$18+1,1))</f>
        <v>79.868679770907136</v>
      </c>
      <c r="HA158" s="60">
        <f t="shared" si="160"/>
        <v>370.47471103028312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5.2264877091534965</v>
      </c>
      <c r="HH158" s="23">
        <f>EXP(-LN(2)/25)*HH157+(1-EXP(-LN(2)/25))/(LN(2)/25)*Calculateur!HC158*Calculateur!HE158*VLOOKUP('Données projet'!$B$18,Paramètres!$A$1:$I$89,3,0)*0.475*44/12</f>
        <v>0.47208205765796757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5.6985697668114641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0">
        <f t="shared" si="109"/>
        <v>293.33333333333439</v>
      </c>
      <c r="S159" s="60">
        <f ca="1">AVERAGE(OFFSET($R$3,0,0,'Données projet'!$E$9+1,1))-AVERAGE(OFFSET($H$3,0,0,'Données projet'!$E$9+1,1))</f>
        <v>206.5885410269899</v>
      </c>
      <c r="T159" s="60">
        <f t="shared" si="142"/>
        <v>347.41156847586302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3.3992364478763198E-14</v>
      </c>
      <c r="AK159" s="14">
        <f t="shared" si="164"/>
        <v>5.790027782444094E-13</v>
      </c>
      <c r="AL159" s="22">
        <f t="shared" si="165"/>
        <v>1.0676332069095257E-12</v>
      </c>
      <c r="AM159" s="60">
        <f t="shared" si="113"/>
        <v>293.33333333333439</v>
      </c>
      <c r="AN159" s="60">
        <f ca="1">AVERAGE(OFFSET($AM$3,0,0,'Données projet'!$E$10+1,1))-AVERAGE(OFFSET($H$3,0,0,'Données projet'!$E$10+1,1))</f>
        <v>206.5885410269899</v>
      </c>
      <c r="AO159" s="60">
        <f t="shared" si="144"/>
        <v>347.41156847586302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9.0213019369785723</v>
      </c>
      <c r="AV159" s="23">
        <f>EXP(-LN(2)/25)*AV158+(1-EXP(-LN(2)/25))/(LN(2)/25)*Calculateur!AQ159*Calculateur!AS159*VLOOKUP('Données projet'!$B$10,Paramètres!$A$1:$I$89,3,0)*0.475*44/12</f>
        <v>0.10161440400807503</v>
      </c>
      <c r="AW159" s="23">
        <f>EXP(-LN(2)/2)*AW158+(1-EXP(-LN(2)/2))/(LN(2)/2)*AQ159*AT159*VLOOKUP('Données projet'!$B$10,Paramètres!$A$1:$I$89,3,0)*0.475*44/12</f>
        <v>1.1942689010999321E-16</v>
      </c>
      <c r="AX159" s="23">
        <f t="shared" si="166"/>
        <v>9.1229163409866469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1.0818439477588981E-13</v>
      </c>
      <c r="BF159" s="14">
        <f t="shared" si="167"/>
        <v>1.6104228458716316E-12</v>
      </c>
      <c r="BG159" s="22">
        <f t="shared" si="168"/>
        <v>2.9932409441277661E-12</v>
      </c>
      <c r="BH159" s="60">
        <f t="shared" si="116"/>
        <v>293.33333333333633</v>
      </c>
      <c r="BI159" s="60">
        <f ca="1">AVERAGE(OFFSET($BH$3,0,0,'Données projet'!$E$11+1,1))-AVERAGE(OFFSET($H$3,0,0,'Données projet'!$E$11+1,1))</f>
        <v>389.12604446638119</v>
      </c>
      <c r="BJ159" s="60">
        <f t="shared" si="146"/>
        <v>243.23852967152732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1.0286385077051818E-13</v>
      </c>
      <c r="CA159" s="14">
        <f t="shared" si="170"/>
        <v>1.5402366592183556E-12</v>
      </c>
      <c r="CB159" s="22">
        <f t="shared" si="171"/>
        <v>2.8617333882306215E-12</v>
      </c>
      <c r="CC159" s="60">
        <f t="shared" si="119"/>
        <v>293.33333333333616</v>
      </c>
      <c r="CD159" s="60">
        <f ca="1">AVERAGE(OFFSET($CC$3,0,0,'Données projet'!$E$12+1,1))-AVERAGE(OFFSET($H$3,0,0,'Données projet'!$E$12+1,1))</f>
        <v>371.95849973474657</v>
      </c>
      <c r="CE159" s="60">
        <f t="shared" si="148"/>
        <v>233.32640143610547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2.0746300484081949E-18</v>
      </c>
      <c r="CN159" s="24">
        <f t="shared" si="172"/>
        <v>2.0746300484081949E-18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1.0995790944434703E-13</v>
      </c>
      <c r="CV159" s="14">
        <f t="shared" si="173"/>
        <v>1.6337280948049956E-12</v>
      </c>
      <c r="CW159" s="22">
        <f t="shared" si="174"/>
        <v>3.036919790734272E-12</v>
      </c>
      <c r="CX159" s="60">
        <f t="shared" si="122"/>
        <v>293.33333333333633</v>
      </c>
      <c r="CY159" s="60">
        <f ca="1">AVERAGE(OFFSET($CX$3,0,0,'Données projet'!$E$13+1,1))-AVERAGE(OFFSET($H$3,0,0,'Données projet'!$E$13+1,1))</f>
        <v>394.8445842828649</v>
      </c>
      <c r="CZ159" s="60">
        <f t="shared" si="150"/>
        <v>246.54010105494143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2.2177079827811753E-18</v>
      </c>
      <c r="DI159" s="24">
        <f t="shared" si="175"/>
        <v>2.2177079827811753E-18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5.6843418860808015E-14</v>
      </c>
      <c r="DP159" s="18">
        <f>DO159*VLOOKUP('Données projet'!$B$14,Paramètres!$A$1:$I$89,3,0)*VLOOKUP('Données projet'!$B$14,Paramètres!$A$1:$I$89,5,0)</f>
        <v>4.9658410716801891E-14</v>
      </c>
      <c r="DQ159" s="14">
        <f t="shared" si="176"/>
        <v>8.0934058173791862E-13</v>
      </c>
      <c r="DR159" s="22">
        <f t="shared" si="177"/>
        <v>1.4960899118586383E-12</v>
      </c>
      <c r="DS159" s="60">
        <f t="shared" si="125"/>
        <v>293.33333333333479</v>
      </c>
      <c r="DT159" s="60">
        <f ca="1">AVERAGE(OFFSET($DS$3,0,0,'Données projet'!$E$14+1,1))-AVERAGE(OFFSET($H$3,0,0,'Données projet'!$E$14+1,1))</f>
        <v>266.98113257513319</v>
      </c>
      <c r="DU159" s="60">
        <f t="shared" si="152"/>
        <v>275.73257102713393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0.33841752728258018</v>
      </c>
      <c r="EC159" s="23">
        <f>EXP(-LN(2)/2)*EC158+(1-EXP(-LN(2)/2))/(LN(2)/2)*DW159*DZ159*VLOOKUP('Données projet'!$B$14,Paramètres!$A$1:$I$89,3,0)*0.475*44/12</f>
        <v>1.1347908708124146E-18</v>
      </c>
      <c r="ED159" s="24">
        <f t="shared" si="178"/>
        <v>0.33841752728258018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1.1368683772161603E-13</v>
      </c>
      <c r="EK159" s="18">
        <f>EJ159*VLOOKUP('Données projet'!$B$15,Paramètres!$A$1:$I$89,3,0)*VLOOKUP('Données projet'!$B$15,Paramètres!$A$1:$I$89,5,0)</f>
        <v>1.2946657079737634E-13</v>
      </c>
      <c r="EL159" s="14">
        <f t="shared" si="179"/>
        <v>1.8873591890224769E-12</v>
      </c>
      <c r="EM159" s="22">
        <f t="shared" si="180"/>
        <v>3.5126381983529106E-12</v>
      </c>
      <c r="EN159" s="60">
        <f t="shared" si="128"/>
        <v>293.33333333333684</v>
      </c>
      <c r="EO159" s="60">
        <f ca="1">AVERAGE(OFFSET($EN$3,0,0,'Données projet'!$E$15+1,1))-AVERAGE(OFFSET($H$3,0,0,'Données projet'!$E$15+1,1))</f>
        <v>457.62828850677369</v>
      </c>
      <c r="EP159" s="60">
        <f t="shared" si="154"/>
        <v>282.78263556175563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1.1368683772161603E-13</v>
      </c>
      <c r="FF159" s="18">
        <f>FE159*VLOOKUP('Données projet'!$B$16,Paramètres!$A$1:$I$89,3,0)*VLOOKUP('Données projet'!$B$16,Paramètres!$A$1:$I$89,5,0)</f>
        <v>1.2414602679200469E-13</v>
      </c>
      <c r="FG159" s="14">
        <f t="shared" si="182"/>
        <v>1.8186582995804361E-12</v>
      </c>
      <c r="FH159" s="22">
        <f t="shared" si="183"/>
        <v>3.3837175350986671E-12</v>
      </c>
      <c r="FI159" s="60">
        <f t="shared" si="131"/>
        <v>293.33333333333672</v>
      </c>
      <c r="FJ159" s="60">
        <f ca="1">AVERAGE(OFFSET($FI$3,0,0,'Données projet'!$E$16+1,1))-AVERAGE(OFFSET($H$3,0,0,'Données projet'!$E$16+1,1))</f>
        <v>440.52623925652182</v>
      </c>
      <c r="FK159" s="60">
        <f t="shared" si="156"/>
        <v>272.91122662088918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3.4106051316484809E-13</v>
      </c>
      <c r="GA159" s="18">
        <f>FZ159*VLOOKUP('Données projet'!$B$17,Paramètres!$A$1:$I$89,3,0)*VLOOKUP('Données projet'!$B$17,Paramètres!$A$1:$I$89,5,0)</f>
        <v>1.5961632016114892E-13</v>
      </c>
      <c r="GB159" s="14">
        <f t="shared" si="185"/>
        <v>2.2708641912150958E-12</v>
      </c>
      <c r="GC159" s="22">
        <f t="shared" si="186"/>
        <v>4.2330868906469593E-12</v>
      </c>
      <c r="GD159" s="60">
        <f t="shared" si="134"/>
        <v>293.33333333333752</v>
      </c>
      <c r="GE159" s="60">
        <f ca="1">AVERAGE(OFFSET($GD$3,0,0,'Données projet'!$E$17+1,1))-AVERAGE(OFFSET($H$3,0,0,'Données projet'!$E$17+1,1))</f>
        <v>317.54276561627643</v>
      </c>
      <c r="GF159" s="60">
        <f t="shared" si="158"/>
        <v>238.92443174298893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>
        <f>GU159*VLOOKUP('Données projet'!$B$18,Paramètres!$A$1:$I$89,3,0)*VLOOKUP('Données projet'!$B$18,Paramètres!$A$1:$I$89,5,0)</f>
        <v>0</v>
      </c>
      <c r="GW159" s="14" t="e">
        <f t="shared" si="188"/>
        <v>#NUM!</v>
      </c>
      <c r="GX159" s="22" t="e">
        <f t="shared" si="189"/>
        <v>#NUM!</v>
      </c>
      <c r="GY159" s="60" t="e">
        <f t="shared" si="137"/>
        <v>#NUM!</v>
      </c>
      <c r="GZ159" s="60">
        <f ca="1">AVERAGE(OFFSET($GY$3,0,0,'Données projet'!$E$18+1,1))-AVERAGE(OFFSET($H$3,0,0,'Données projet'!$E$18+1,1))</f>
        <v>79.868679770907136</v>
      </c>
      <c r="HA159" s="60">
        <f t="shared" si="160"/>
        <v>370.47471103028312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5.123999473019726</v>
      </c>
      <c r="HH159" s="23">
        <f>EXP(-LN(2)/25)*HH158+(1-EXP(-LN(2)/25))/(LN(2)/25)*Calculateur!HC159*Calculateur!HE159*VLOOKUP('Données projet'!$B$18,Paramètres!$A$1:$I$89,3,0)*0.475*44/12</f>
        <v>0.45917294896559402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5.5831724219853198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0">
        <f t="shared" si="109"/>
        <v>293.33333333333439</v>
      </c>
      <c r="S160" s="60">
        <f ca="1">AVERAGE(OFFSET($R$3,0,0,'Données projet'!$E$9+1,1))-AVERAGE(OFFSET($H$3,0,0,'Données projet'!$E$9+1,1))</f>
        <v>206.5885410269899</v>
      </c>
      <c r="T160" s="60">
        <f t="shared" si="142"/>
        <v>347.41156847586302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3.3992364478763198E-14</v>
      </c>
      <c r="AK160" s="14">
        <f t="shared" si="164"/>
        <v>5.790027782444094E-13</v>
      </c>
      <c r="AL160" s="22">
        <f t="shared" si="165"/>
        <v>1.0676332069095257E-12</v>
      </c>
      <c r="AM160" s="60">
        <f t="shared" si="113"/>
        <v>293.33333333333439</v>
      </c>
      <c r="AN160" s="60">
        <f ca="1">AVERAGE(OFFSET($AM$3,0,0,'Données projet'!$E$10+1,1))-AVERAGE(OFFSET($H$3,0,0,'Données projet'!$E$10+1,1))</f>
        <v>206.5885410269899</v>
      </c>
      <c r="AO160" s="60">
        <f t="shared" si="144"/>
        <v>347.41156847586302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8.8443997084452821</v>
      </c>
      <c r="AV160" s="23">
        <f>EXP(-LN(2)/25)*AV159+(1-EXP(-LN(2)/25))/(LN(2)/25)*Calculateur!AQ160*Calculateur!AS160*VLOOKUP('Données projet'!$B$10,Paramètres!$A$1:$I$89,3,0)*0.475*44/12</f>
        <v>9.8835752786804953E-2</v>
      </c>
      <c r="AW160" s="23">
        <f>EXP(-LN(2)/2)*AW159+(1-EXP(-LN(2)/2))/(LN(2)/2)*AQ160*AT160*VLOOKUP('Données projet'!$B$10,Paramètres!$A$1:$I$89,3,0)*0.475*44/12</f>
        <v>8.4447563852796826E-17</v>
      </c>
      <c r="AX160" s="23">
        <f t="shared" si="166"/>
        <v>8.9432354612320868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1.0818439477588981E-13</v>
      </c>
      <c r="BF160" s="14">
        <f t="shared" si="167"/>
        <v>1.6104228458716316E-12</v>
      </c>
      <c r="BG160" s="22">
        <f t="shared" si="168"/>
        <v>2.9932409441277661E-12</v>
      </c>
      <c r="BH160" s="60">
        <f t="shared" si="116"/>
        <v>293.33333333333633</v>
      </c>
      <c r="BI160" s="60">
        <f ca="1">AVERAGE(OFFSET($BH$3,0,0,'Données projet'!$E$11+1,1))-AVERAGE(OFFSET($H$3,0,0,'Données projet'!$E$11+1,1))</f>
        <v>389.12604446638119</v>
      </c>
      <c r="BJ160" s="60">
        <f t="shared" si="146"/>
        <v>243.23852967152732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1.0286385077051818E-13</v>
      </c>
      <c r="CA160" s="14">
        <f t="shared" si="170"/>
        <v>1.5402366592183556E-12</v>
      </c>
      <c r="CB160" s="22">
        <f t="shared" si="171"/>
        <v>2.8617333882306215E-12</v>
      </c>
      <c r="CC160" s="60">
        <f t="shared" si="119"/>
        <v>293.33333333333616</v>
      </c>
      <c r="CD160" s="60">
        <f ca="1">AVERAGE(OFFSET($CC$3,0,0,'Données projet'!$E$12+1,1))-AVERAGE(OFFSET($H$3,0,0,'Données projet'!$E$12+1,1))</f>
        <v>371.95849973474657</v>
      </c>
      <c r="CE160" s="60">
        <f t="shared" si="148"/>
        <v>233.32640143610547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1.46698497568281E-18</v>
      </c>
      <c r="CN160" s="24">
        <f t="shared" si="172"/>
        <v>1.46698497568281E-18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1.0995790944434703E-13</v>
      </c>
      <c r="CV160" s="14">
        <f t="shared" si="173"/>
        <v>1.6337280948049956E-12</v>
      </c>
      <c r="CW160" s="22">
        <f t="shared" si="174"/>
        <v>3.036919790734272E-12</v>
      </c>
      <c r="CX160" s="60">
        <f t="shared" si="122"/>
        <v>293.33333333333633</v>
      </c>
      <c r="CY160" s="60">
        <f ca="1">AVERAGE(OFFSET($CX$3,0,0,'Données projet'!$E$13+1,1))-AVERAGE(OFFSET($H$3,0,0,'Données projet'!$E$13+1,1))</f>
        <v>394.8445842828649</v>
      </c>
      <c r="CZ160" s="60">
        <f t="shared" si="150"/>
        <v>246.54010105494143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1.5681563533161082E-18</v>
      </c>
      <c r="DI160" s="24">
        <f t="shared" si="175"/>
        <v>1.5681563533161082E-18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5.6843418860808015E-14</v>
      </c>
      <c r="DP160" s="18">
        <f>DO160*VLOOKUP('Données projet'!$B$14,Paramètres!$A$1:$I$89,3,0)*VLOOKUP('Données projet'!$B$14,Paramètres!$A$1:$I$89,5,0)</f>
        <v>4.9658410716801891E-14</v>
      </c>
      <c r="DQ160" s="14">
        <f t="shared" si="176"/>
        <v>8.0934058173791862E-13</v>
      </c>
      <c r="DR160" s="22">
        <f t="shared" si="177"/>
        <v>1.4960899118586383E-12</v>
      </c>
      <c r="DS160" s="60">
        <f t="shared" si="125"/>
        <v>293.33333333333479</v>
      </c>
      <c r="DT160" s="60">
        <f ca="1">AVERAGE(OFFSET($DS$3,0,0,'Données projet'!$E$14+1,1))-AVERAGE(OFFSET($H$3,0,0,'Données projet'!$E$14+1,1))</f>
        <v>266.98113257513319</v>
      </c>
      <c r="DU160" s="60">
        <f t="shared" si="152"/>
        <v>275.73257102713393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0.32916348220243374</v>
      </c>
      <c r="EC160" s="23">
        <f>EXP(-LN(2)/2)*EC159+(1-EXP(-LN(2)/2))/(LN(2)/2)*DW160*DZ160*VLOOKUP('Données projet'!$B$14,Paramètres!$A$1:$I$89,3,0)*0.475*44/12</f>
        <v>8.0241831998004582E-19</v>
      </c>
      <c r="ED160" s="24">
        <f t="shared" si="178"/>
        <v>0.32916348220243374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1.1368683772161603E-13</v>
      </c>
      <c r="EK160" s="18">
        <f>EJ160*VLOOKUP('Données projet'!$B$15,Paramètres!$A$1:$I$89,3,0)*VLOOKUP('Données projet'!$B$15,Paramètres!$A$1:$I$89,5,0)</f>
        <v>1.2946657079737634E-13</v>
      </c>
      <c r="EL160" s="14">
        <f t="shared" si="179"/>
        <v>1.8873591890224769E-12</v>
      </c>
      <c r="EM160" s="22">
        <f t="shared" si="180"/>
        <v>3.5126381983529106E-12</v>
      </c>
      <c r="EN160" s="60">
        <f t="shared" si="128"/>
        <v>293.33333333333684</v>
      </c>
      <c r="EO160" s="60">
        <f ca="1">AVERAGE(OFFSET($EN$3,0,0,'Données projet'!$E$15+1,1))-AVERAGE(OFFSET($H$3,0,0,'Données projet'!$E$15+1,1))</f>
        <v>457.62828850677369</v>
      </c>
      <c r="EP160" s="60">
        <f t="shared" si="154"/>
        <v>282.78263556175563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1.1368683772161603E-13</v>
      </c>
      <c r="FF160" s="18">
        <f>FE160*VLOOKUP('Données projet'!$B$16,Paramètres!$A$1:$I$89,3,0)*VLOOKUP('Données projet'!$B$16,Paramètres!$A$1:$I$89,5,0)</f>
        <v>1.2414602679200469E-13</v>
      </c>
      <c r="FG160" s="14">
        <f t="shared" si="182"/>
        <v>1.8186582995804361E-12</v>
      </c>
      <c r="FH160" s="22">
        <f t="shared" si="183"/>
        <v>3.3837175350986671E-12</v>
      </c>
      <c r="FI160" s="60">
        <f t="shared" si="131"/>
        <v>293.33333333333672</v>
      </c>
      <c r="FJ160" s="60">
        <f ca="1">AVERAGE(OFFSET($FI$3,0,0,'Données projet'!$E$16+1,1))-AVERAGE(OFFSET($H$3,0,0,'Données projet'!$E$16+1,1))</f>
        <v>440.52623925652182</v>
      </c>
      <c r="FK160" s="60">
        <f t="shared" si="156"/>
        <v>272.91122662088918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3.4106051316484809E-13</v>
      </c>
      <c r="GA160" s="18">
        <f>FZ160*VLOOKUP('Données projet'!$B$17,Paramètres!$A$1:$I$89,3,0)*VLOOKUP('Données projet'!$B$17,Paramètres!$A$1:$I$89,5,0)</f>
        <v>1.5961632016114892E-13</v>
      </c>
      <c r="GB160" s="14">
        <f t="shared" si="185"/>
        <v>2.2708641912150958E-12</v>
      </c>
      <c r="GC160" s="22">
        <f t="shared" si="186"/>
        <v>4.2330868906469593E-12</v>
      </c>
      <c r="GD160" s="60">
        <f t="shared" si="134"/>
        <v>293.33333333333752</v>
      </c>
      <c r="GE160" s="60">
        <f ca="1">AVERAGE(OFFSET($GD$3,0,0,'Données projet'!$E$17+1,1))-AVERAGE(OFFSET($H$3,0,0,'Données projet'!$E$17+1,1))</f>
        <v>317.54276561627643</v>
      </c>
      <c r="GF160" s="60">
        <f t="shared" si="158"/>
        <v>238.92443174298893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>
        <f>GU160*VLOOKUP('Données projet'!$B$18,Paramètres!$A$1:$I$89,3,0)*VLOOKUP('Données projet'!$B$18,Paramètres!$A$1:$I$89,5,0)</f>
        <v>0</v>
      </c>
      <c r="GW160" s="14" t="e">
        <f t="shared" si="188"/>
        <v>#NUM!</v>
      </c>
      <c r="GX160" s="22" t="e">
        <f t="shared" si="189"/>
        <v>#NUM!</v>
      </c>
      <c r="GY160" s="60" t="e">
        <f t="shared" si="137"/>
        <v>#NUM!</v>
      </c>
      <c r="GZ160" s="60">
        <f ca="1">AVERAGE(OFFSET($GY$3,0,0,'Données projet'!$E$18+1,1))-AVERAGE(OFFSET($H$3,0,0,'Données projet'!$E$18+1,1))</f>
        <v>79.868679770907136</v>
      </c>
      <c r="HA160" s="60">
        <f t="shared" si="160"/>
        <v>370.47471103028312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5.0235209686848865</v>
      </c>
      <c r="HH160" s="23">
        <f>EXP(-LN(2)/25)*HH159+(1-EXP(-LN(2)/25))/(LN(2)/25)*Calculateur!HC160*Calculateur!HE160*VLOOKUP('Données projet'!$B$18,Paramètres!$A$1:$I$89,3,0)*0.475*44/12</f>
        <v>0.44661684052927392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5.4701378092141608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0">
        <f t="shared" si="109"/>
        <v>293.33333333333439</v>
      </c>
      <c r="S161" s="60">
        <f ca="1">AVERAGE(OFFSET($R$3,0,0,'Données projet'!$E$9+1,1))-AVERAGE(OFFSET($H$3,0,0,'Données projet'!$E$9+1,1))</f>
        <v>206.5885410269899</v>
      </c>
      <c r="T161" s="60">
        <f t="shared" si="142"/>
        <v>347.41156847586302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3.3992364478763198E-14</v>
      </c>
      <c r="AK161" s="14">
        <f t="shared" si="164"/>
        <v>5.790027782444094E-13</v>
      </c>
      <c r="AL161" s="22">
        <f t="shared" si="165"/>
        <v>1.0676332069095257E-12</v>
      </c>
      <c r="AM161" s="60">
        <f t="shared" si="113"/>
        <v>293.33333333333439</v>
      </c>
      <c r="AN161" s="60">
        <f ca="1">AVERAGE(OFFSET($AM$3,0,0,'Données projet'!$E$10+1,1))-AVERAGE(OFFSET($H$3,0,0,'Données projet'!$E$10+1,1))</f>
        <v>206.5885410269899</v>
      </c>
      <c r="AO161" s="60">
        <f t="shared" si="144"/>
        <v>347.41156847586302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8.6709664247138249</v>
      </c>
      <c r="AV161" s="23">
        <f>EXP(-LN(2)/25)*AV160+(1-EXP(-LN(2)/25))/(LN(2)/25)*Calculateur!AQ161*Calculateur!AS161*VLOOKUP('Données projet'!$B$10,Paramètres!$A$1:$I$89,3,0)*0.475*44/12</f>
        <v>9.613308392930342E-2</v>
      </c>
      <c r="AW161" s="23">
        <f>EXP(-LN(2)/2)*AW160+(1-EXP(-LN(2)/2))/(LN(2)/2)*AQ161*AT161*VLOOKUP('Données projet'!$B$10,Paramètres!$A$1:$I$89,3,0)*0.475*44/12</f>
        <v>5.9713445054996605E-17</v>
      </c>
      <c r="AX161" s="23">
        <f t="shared" si="166"/>
        <v>8.7670995086431276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1.0818439477588981E-13</v>
      </c>
      <c r="BF161" s="14">
        <f t="shared" si="167"/>
        <v>1.6104228458716316E-12</v>
      </c>
      <c r="BG161" s="22">
        <f t="shared" si="168"/>
        <v>2.9932409441277661E-12</v>
      </c>
      <c r="BH161" s="60">
        <f t="shared" si="116"/>
        <v>293.33333333333633</v>
      </c>
      <c r="BI161" s="60">
        <f ca="1">AVERAGE(OFFSET($BH$3,0,0,'Données projet'!$E$11+1,1))-AVERAGE(OFFSET($H$3,0,0,'Données projet'!$E$11+1,1))</f>
        <v>389.12604446638119</v>
      </c>
      <c r="BJ161" s="60">
        <f t="shared" si="146"/>
        <v>243.23852967152732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1.0286385077051818E-13</v>
      </c>
      <c r="CA161" s="14">
        <f t="shared" si="170"/>
        <v>1.5402366592183556E-12</v>
      </c>
      <c r="CB161" s="22">
        <f t="shared" si="171"/>
        <v>2.8617333882306215E-12</v>
      </c>
      <c r="CC161" s="60">
        <f t="shared" si="119"/>
        <v>293.33333333333616</v>
      </c>
      <c r="CD161" s="60">
        <f ca="1">AVERAGE(OFFSET($CC$3,0,0,'Données projet'!$E$12+1,1))-AVERAGE(OFFSET($H$3,0,0,'Données projet'!$E$12+1,1))</f>
        <v>371.95849973474657</v>
      </c>
      <c r="CE161" s="60">
        <f t="shared" si="148"/>
        <v>233.32640143610547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1.0373150242040975E-18</v>
      </c>
      <c r="CN161" s="24">
        <f t="shared" si="172"/>
        <v>1.0373150242040975E-18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1.0995790944434703E-13</v>
      </c>
      <c r="CV161" s="14">
        <f t="shared" si="173"/>
        <v>1.6337280948049956E-12</v>
      </c>
      <c r="CW161" s="22">
        <f t="shared" si="174"/>
        <v>3.036919790734272E-12</v>
      </c>
      <c r="CX161" s="60">
        <f t="shared" si="122"/>
        <v>293.33333333333633</v>
      </c>
      <c r="CY161" s="60">
        <f ca="1">AVERAGE(OFFSET($CX$3,0,0,'Données projet'!$E$13+1,1))-AVERAGE(OFFSET($H$3,0,0,'Données projet'!$E$13+1,1))</f>
        <v>394.8445842828649</v>
      </c>
      <c r="CZ161" s="60">
        <f t="shared" si="150"/>
        <v>246.54010105494143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1.1088539913905876E-18</v>
      </c>
      <c r="DI161" s="24">
        <f t="shared" si="175"/>
        <v>1.1088539913905876E-18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5.6843418860808015E-14</v>
      </c>
      <c r="DP161" s="18">
        <f>DO161*VLOOKUP('Données projet'!$B$14,Paramètres!$A$1:$I$89,3,0)*VLOOKUP('Données projet'!$B$14,Paramètres!$A$1:$I$89,5,0)</f>
        <v>4.9658410716801891E-14</v>
      </c>
      <c r="DQ161" s="14">
        <f t="shared" si="176"/>
        <v>8.0934058173791862E-13</v>
      </c>
      <c r="DR161" s="22">
        <f t="shared" si="177"/>
        <v>1.4960899118586383E-12</v>
      </c>
      <c r="DS161" s="60">
        <f t="shared" si="125"/>
        <v>293.33333333333479</v>
      </c>
      <c r="DT161" s="60">
        <f ca="1">AVERAGE(OFFSET($DS$3,0,0,'Données projet'!$E$14+1,1))-AVERAGE(OFFSET($H$3,0,0,'Données projet'!$E$14+1,1))</f>
        <v>266.98113257513319</v>
      </c>
      <c r="DU161" s="60">
        <f t="shared" si="152"/>
        <v>275.73257102713393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0.32016248947165299</v>
      </c>
      <c r="EC161" s="23">
        <f>EXP(-LN(2)/2)*EC160+(1-EXP(-LN(2)/2))/(LN(2)/2)*DW161*DZ161*VLOOKUP('Données projet'!$B$14,Paramètres!$A$1:$I$89,3,0)*0.475*44/12</f>
        <v>5.6739543540620732E-19</v>
      </c>
      <c r="ED161" s="24">
        <f t="shared" si="178"/>
        <v>0.32016248947165299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1.1368683772161603E-13</v>
      </c>
      <c r="EK161" s="18">
        <f>EJ161*VLOOKUP('Données projet'!$B$15,Paramètres!$A$1:$I$89,3,0)*VLOOKUP('Données projet'!$B$15,Paramètres!$A$1:$I$89,5,0)</f>
        <v>1.2946657079737634E-13</v>
      </c>
      <c r="EL161" s="14">
        <f t="shared" si="179"/>
        <v>1.8873591890224769E-12</v>
      </c>
      <c r="EM161" s="22">
        <f t="shared" si="180"/>
        <v>3.5126381983529106E-12</v>
      </c>
      <c r="EN161" s="60">
        <f t="shared" si="128"/>
        <v>293.33333333333684</v>
      </c>
      <c r="EO161" s="60">
        <f ca="1">AVERAGE(OFFSET($EN$3,0,0,'Données projet'!$E$15+1,1))-AVERAGE(OFFSET($H$3,0,0,'Données projet'!$E$15+1,1))</f>
        <v>457.62828850677369</v>
      </c>
      <c r="EP161" s="60">
        <f t="shared" si="154"/>
        <v>282.78263556175563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1.1368683772161603E-13</v>
      </c>
      <c r="FF161" s="18">
        <f>FE161*VLOOKUP('Données projet'!$B$16,Paramètres!$A$1:$I$89,3,0)*VLOOKUP('Données projet'!$B$16,Paramètres!$A$1:$I$89,5,0)</f>
        <v>1.2414602679200469E-13</v>
      </c>
      <c r="FG161" s="14">
        <f t="shared" si="182"/>
        <v>1.8186582995804361E-12</v>
      </c>
      <c r="FH161" s="22">
        <f t="shared" si="183"/>
        <v>3.3837175350986671E-12</v>
      </c>
      <c r="FI161" s="60">
        <f t="shared" si="131"/>
        <v>293.33333333333672</v>
      </c>
      <c r="FJ161" s="60">
        <f ca="1">AVERAGE(OFFSET($FI$3,0,0,'Données projet'!$E$16+1,1))-AVERAGE(OFFSET($H$3,0,0,'Données projet'!$E$16+1,1))</f>
        <v>440.52623925652182</v>
      </c>
      <c r="FK161" s="60">
        <f t="shared" si="156"/>
        <v>272.91122662088918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3.4106051316484809E-13</v>
      </c>
      <c r="GA161" s="18">
        <f>FZ161*VLOOKUP('Données projet'!$B$17,Paramètres!$A$1:$I$89,3,0)*VLOOKUP('Données projet'!$B$17,Paramètres!$A$1:$I$89,5,0)</f>
        <v>1.5961632016114892E-13</v>
      </c>
      <c r="GB161" s="14">
        <f t="shared" si="185"/>
        <v>2.2708641912150958E-12</v>
      </c>
      <c r="GC161" s="22">
        <f t="shared" si="186"/>
        <v>4.2330868906469593E-12</v>
      </c>
      <c r="GD161" s="60">
        <f t="shared" si="134"/>
        <v>293.33333333333752</v>
      </c>
      <c r="GE161" s="60">
        <f ca="1">AVERAGE(OFFSET($GD$3,0,0,'Données projet'!$E$17+1,1))-AVERAGE(OFFSET($H$3,0,0,'Données projet'!$E$17+1,1))</f>
        <v>317.54276561627643</v>
      </c>
      <c r="GF161" s="60">
        <f t="shared" si="158"/>
        <v>238.92443174298893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>
        <f>GU161*VLOOKUP('Données projet'!$B$18,Paramètres!$A$1:$I$89,3,0)*VLOOKUP('Données projet'!$B$18,Paramètres!$A$1:$I$89,5,0)</f>
        <v>0</v>
      </c>
      <c r="GW161" s="14" t="e">
        <f t="shared" si="188"/>
        <v>#NUM!</v>
      </c>
      <c r="GX161" s="22" t="e">
        <f t="shared" si="189"/>
        <v>#NUM!</v>
      </c>
      <c r="GY161" s="60" t="e">
        <f t="shared" si="137"/>
        <v>#NUM!</v>
      </c>
      <c r="GZ161" s="60">
        <f ca="1">AVERAGE(OFFSET($GY$3,0,0,'Données projet'!$E$18+1,1))-AVERAGE(OFFSET($H$3,0,0,'Données projet'!$E$18+1,1))</f>
        <v>79.868679770907136</v>
      </c>
      <c r="HA161" s="60">
        <f t="shared" si="160"/>
        <v>370.47471103028312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4.925012786534217</v>
      </c>
      <c r="HH161" s="23">
        <f>EXP(-LN(2)/25)*HH160+(1-EXP(-LN(2)/25))/(LN(2)/25)*Calculateur!HC161*Calculateur!HE161*VLOOKUP('Données projet'!$B$18,Paramètres!$A$1:$I$89,3,0)*0.475*44/12</f>
        <v>0.43440407953844201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5.3594168660726593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0">
        <f t="shared" si="109"/>
        <v>293.33333333333439</v>
      </c>
      <c r="S162" s="60">
        <f ca="1">AVERAGE(OFFSET($R$3,0,0,'Données projet'!$E$9+1,1))-AVERAGE(OFFSET($H$3,0,0,'Données projet'!$E$9+1,1))</f>
        <v>206.5885410269899</v>
      </c>
      <c r="T162" s="60">
        <f t="shared" si="142"/>
        <v>347.41156847586302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3.3992364478763198E-14</v>
      </c>
      <c r="AK162" s="14">
        <f t="shared" si="164"/>
        <v>5.790027782444094E-13</v>
      </c>
      <c r="AL162" s="22">
        <f t="shared" si="165"/>
        <v>1.0676332069095257E-12</v>
      </c>
      <c r="AM162" s="60">
        <f t="shared" si="113"/>
        <v>293.33333333333439</v>
      </c>
      <c r="AN162" s="60">
        <f ca="1">AVERAGE(OFFSET($AM$3,0,0,'Données projet'!$E$10+1,1))-AVERAGE(OFFSET($H$3,0,0,'Données projet'!$E$10+1,1))</f>
        <v>206.5885410269899</v>
      </c>
      <c r="AO162" s="60">
        <f t="shared" si="144"/>
        <v>347.41156847586302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8.5009340618924831</v>
      </c>
      <c r="AV162" s="23">
        <f>EXP(-LN(2)/25)*AV161+(1-EXP(-LN(2)/25))/(LN(2)/25)*Calculateur!AQ162*Calculateur!AS162*VLOOKUP('Données projet'!$B$10,Paramètres!$A$1:$I$89,3,0)*0.475*44/12</f>
        <v>9.3504319693837448E-2</v>
      </c>
      <c r="AW162" s="23">
        <f>EXP(-LN(2)/2)*AW161+(1-EXP(-LN(2)/2))/(LN(2)/2)*AQ162*AT162*VLOOKUP('Données projet'!$B$10,Paramètres!$A$1:$I$89,3,0)*0.475*44/12</f>
        <v>4.2223781926398413E-17</v>
      </c>
      <c r="AX162" s="23">
        <f t="shared" si="166"/>
        <v>8.5944383815863201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1.0818439477588981E-13</v>
      </c>
      <c r="BF162" s="14">
        <f t="shared" si="167"/>
        <v>1.6104228458716316E-12</v>
      </c>
      <c r="BG162" s="22">
        <f t="shared" si="168"/>
        <v>2.9932409441277661E-12</v>
      </c>
      <c r="BH162" s="60">
        <f t="shared" si="116"/>
        <v>293.33333333333633</v>
      </c>
      <c r="BI162" s="60">
        <f ca="1">AVERAGE(OFFSET($BH$3,0,0,'Données projet'!$E$11+1,1))-AVERAGE(OFFSET($H$3,0,0,'Données projet'!$E$11+1,1))</f>
        <v>389.12604446638119</v>
      </c>
      <c r="BJ162" s="60">
        <f t="shared" si="146"/>
        <v>243.23852967152732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1.0286385077051818E-13</v>
      </c>
      <c r="CA162" s="14">
        <f t="shared" si="170"/>
        <v>1.5402366592183556E-12</v>
      </c>
      <c r="CB162" s="22">
        <f t="shared" si="171"/>
        <v>2.8617333882306215E-12</v>
      </c>
      <c r="CC162" s="60">
        <f t="shared" si="119"/>
        <v>293.33333333333616</v>
      </c>
      <c r="CD162" s="60">
        <f ca="1">AVERAGE(OFFSET($CC$3,0,0,'Données projet'!$E$12+1,1))-AVERAGE(OFFSET($H$3,0,0,'Données projet'!$E$12+1,1))</f>
        <v>371.95849973474657</v>
      </c>
      <c r="CE162" s="60">
        <f t="shared" si="148"/>
        <v>233.32640143610547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7.3349248784140501E-19</v>
      </c>
      <c r="CN162" s="24">
        <f t="shared" si="172"/>
        <v>7.3349248784140501E-19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1.0995790944434703E-13</v>
      </c>
      <c r="CV162" s="14">
        <f t="shared" si="173"/>
        <v>1.6337280948049956E-12</v>
      </c>
      <c r="CW162" s="22">
        <f t="shared" si="174"/>
        <v>3.036919790734272E-12</v>
      </c>
      <c r="CX162" s="60">
        <f t="shared" si="122"/>
        <v>293.33333333333633</v>
      </c>
      <c r="CY162" s="60">
        <f ca="1">AVERAGE(OFFSET($CX$3,0,0,'Données projet'!$E$13+1,1))-AVERAGE(OFFSET($H$3,0,0,'Données projet'!$E$13+1,1))</f>
        <v>394.8445842828649</v>
      </c>
      <c r="CZ162" s="60">
        <f t="shared" si="150"/>
        <v>246.54010105494143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7.8407817665805412E-19</v>
      </c>
      <c r="DI162" s="24">
        <f t="shared" si="175"/>
        <v>7.8407817665805412E-19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5.6843418860808015E-14</v>
      </c>
      <c r="DP162" s="18">
        <f>DO162*VLOOKUP('Données projet'!$B$14,Paramètres!$A$1:$I$89,3,0)*VLOOKUP('Données projet'!$B$14,Paramètres!$A$1:$I$89,5,0)</f>
        <v>4.9658410716801891E-14</v>
      </c>
      <c r="DQ162" s="14">
        <f t="shared" si="176"/>
        <v>8.0934058173791862E-13</v>
      </c>
      <c r="DR162" s="22">
        <f t="shared" si="177"/>
        <v>1.4960899118586383E-12</v>
      </c>
      <c r="DS162" s="60">
        <f t="shared" si="125"/>
        <v>293.33333333333479</v>
      </c>
      <c r="DT162" s="60">
        <f ca="1">AVERAGE(OFFSET($DS$3,0,0,'Données projet'!$E$14+1,1))-AVERAGE(OFFSET($H$3,0,0,'Données projet'!$E$14+1,1))</f>
        <v>266.98113257513319</v>
      </c>
      <c r="DU162" s="60">
        <f t="shared" si="152"/>
        <v>275.73257102713393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0.31140762936043703</v>
      </c>
      <c r="EC162" s="23">
        <f>EXP(-LN(2)/2)*EC161+(1-EXP(-LN(2)/2))/(LN(2)/2)*DW162*DZ162*VLOOKUP('Données projet'!$B$14,Paramètres!$A$1:$I$89,3,0)*0.475*44/12</f>
        <v>4.0120915999002291E-19</v>
      </c>
      <c r="ED162" s="24">
        <f t="shared" si="178"/>
        <v>0.31140762936043703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1.1368683772161603E-13</v>
      </c>
      <c r="EK162" s="18">
        <f>EJ162*VLOOKUP('Données projet'!$B$15,Paramètres!$A$1:$I$89,3,0)*VLOOKUP('Données projet'!$B$15,Paramètres!$A$1:$I$89,5,0)</f>
        <v>1.2946657079737634E-13</v>
      </c>
      <c r="EL162" s="14">
        <f t="shared" si="179"/>
        <v>1.8873591890224769E-12</v>
      </c>
      <c r="EM162" s="22">
        <f t="shared" si="180"/>
        <v>3.5126381983529106E-12</v>
      </c>
      <c r="EN162" s="60">
        <f t="shared" si="128"/>
        <v>293.33333333333684</v>
      </c>
      <c r="EO162" s="60">
        <f ca="1">AVERAGE(OFFSET($EN$3,0,0,'Données projet'!$E$15+1,1))-AVERAGE(OFFSET($H$3,0,0,'Données projet'!$E$15+1,1))</f>
        <v>457.62828850677369</v>
      </c>
      <c r="EP162" s="60">
        <f t="shared" si="154"/>
        <v>282.78263556175563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1.1368683772161603E-13</v>
      </c>
      <c r="FF162" s="18">
        <f>FE162*VLOOKUP('Données projet'!$B$16,Paramètres!$A$1:$I$89,3,0)*VLOOKUP('Données projet'!$B$16,Paramètres!$A$1:$I$89,5,0)</f>
        <v>1.2414602679200469E-13</v>
      </c>
      <c r="FG162" s="14">
        <f t="shared" si="182"/>
        <v>1.8186582995804361E-12</v>
      </c>
      <c r="FH162" s="22">
        <f t="shared" si="183"/>
        <v>3.3837175350986671E-12</v>
      </c>
      <c r="FI162" s="60">
        <f t="shared" si="131"/>
        <v>293.33333333333672</v>
      </c>
      <c r="FJ162" s="60">
        <f ca="1">AVERAGE(OFFSET($FI$3,0,0,'Données projet'!$E$16+1,1))-AVERAGE(OFFSET($H$3,0,0,'Données projet'!$E$16+1,1))</f>
        <v>440.52623925652182</v>
      </c>
      <c r="FK162" s="60">
        <f t="shared" si="156"/>
        <v>272.91122662088918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3.4106051316484809E-13</v>
      </c>
      <c r="GA162" s="18">
        <f>FZ162*VLOOKUP('Données projet'!$B$17,Paramètres!$A$1:$I$89,3,0)*VLOOKUP('Données projet'!$B$17,Paramètres!$A$1:$I$89,5,0)</f>
        <v>1.5961632016114892E-13</v>
      </c>
      <c r="GB162" s="14">
        <f t="shared" si="185"/>
        <v>2.2708641912150958E-12</v>
      </c>
      <c r="GC162" s="22">
        <f t="shared" si="186"/>
        <v>4.2330868906469593E-12</v>
      </c>
      <c r="GD162" s="60">
        <f t="shared" si="134"/>
        <v>293.33333333333752</v>
      </c>
      <c r="GE162" s="60">
        <f ca="1">AVERAGE(OFFSET($GD$3,0,0,'Données projet'!$E$17+1,1))-AVERAGE(OFFSET($H$3,0,0,'Données projet'!$E$17+1,1))</f>
        <v>317.54276561627643</v>
      </c>
      <c r="GF162" s="60">
        <f t="shared" si="158"/>
        <v>238.92443174298893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>
        <f>GU162*VLOOKUP('Données projet'!$B$18,Paramètres!$A$1:$I$89,3,0)*VLOOKUP('Données projet'!$B$18,Paramètres!$A$1:$I$89,5,0)</f>
        <v>0</v>
      </c>
      <c r="GW162" s="14" t="e">
        <f t="shared" si="188"/>
        <v>#NUM!</v>
      </c>
      <c r="GX162" s="22" t="e">
        <f t="shared" si="189"/>
        <v>#NUM!</v>
      </c>
      <c r="GY162" s="60" t="e">
        <f t="shared" si="137"/>
        <v>#NUM!</v>
      </c>
      <c r="GZ162" s="60">
        <f ca="1">AVERAGE(OFFSET($GY$3,0,0,'Données projet'!$E$18+1,1))-AVERAGE(OFFSET($H$3,0,0,'Données projet'!$E$18+1,1))</f>
        <v>79.868679770907136</v>
      </c>
      <c r="HA162" s="60">
        <f t="shared" si="160"/>
        <v>370.47471103028312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4.8284362897514645</v>
      </c>
      <c r="HH162" s="23">
        <f>EXP(-LN(2)/25)*HH161+(1-EXP(-LN(2)/25))/(LN(2)/25)*Calculateur!HC162*Calculateur!HE162*VLOOKUP('Données projet'!$B$18,Paramètres!$A$1:$I$89,3,0)*0.475*44/12</f>
        <v>0.42252527713914562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5.2509615668906102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0">
        <f t="shared" si="109"/>
        <v>293.33333333333439</v>
      </c>
      <c r="S163" s="60">
        <f ca="1">AVERAGE(OFFSET($R$3,0,0,'Données projet'!$E$9+1,1))-AVERAGE(OFFSET($H$3,0,0,'Données projet'!$E$9+1,1))</f>
        <v>206.5885410269899</v>
      </c>
      <c r="T163" s="60">
        <f t="shared" si="142"/>
        <v>347.41156847586302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3.3992364478763198E-14</v>
      </c>
      <c r="AK163" s="14">
        <f t="shared" si="164"/>
        <v>5.790027782444094E-13</v>
      </c>
      <c r="AL163" s="22">
        <f t="shared" si="165"/>
        <v>1.0676332069095257E-12</v>
      </c>
      <c r="AM163" s="60">
        <f t="shared" si="113"/>
        <v>293.33333333333439</v>
      </c>
      <c r="AN163" s="60">
        <f ca="1">AVERAGE(OFFSET($AM$3,0,0,'Données projet'!$E$10+1,1))-AVERAGE(OFFSET($H$3,0,0,'Données projet'!$E$10+1,1))</f>
        <v>206.5885410269899</v>
      </c>
      <c r="AO163" s="60">
        <f t="shared" si="144"/>
        <v>347.41156847586302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8.3342359299965665</v>
      </c>
      <c r="AV163" s="23">
        <f>EXP(-LN(2)/25)*AV162+(1-EXP(-LN(2)/25))/(LN(2)/25)*Calculateur!AQ163*Calculateur!AS163*VLOOKUP('Données projet'!$B$10,Paramètres!$A$1:$I$89,3,0)*0.475*44/12</f>
        <v>9.0947439154630993E-2</v>
      </c>
      <c r="AW163" s="23">
        <f>EXP(-LN(2)/2)*AW162+(1-EXP(-LN(2)/2))/(LN(2)/2)*AQ163*AT163*VLOOKUP('Données projet'!$B$10,Paramètres!$A$1:$I$89,3,0)*0.475*44/12</f>
        <v>2.9856722527498303E-17</v>
      </c>
      <c r="AX163" s="23">
        <f t="shared" si="166"/>
        <v>8.4251833691511973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1.0818439477588981E-13</v>
      </c>
      <c r="BF163" s="14">
        <f t="shared" si="167"/>
        <v>1.6104228458716316E-12</v>
      </c>
      <c r="BG163" s="22">
        <f t="shared" si="168"/>
        <v>2.9932409441277661E-12</v>
      </c>
      <c r="BH163" s="60">
        <f t="shared" si="116"/>
        <v>293.33333333333633</v>
      </c>
      <c r="BI163" s="60">
        <f ca="1">AVERAGE(OFFSET($BH$3,0,0,'Données projet'!$E$11+1,1))-AVERAGE(OFFSET($H$3,0,0,'Données projet'!$E$11+1,1))</f>
        <v>389.12604446638119</v>
      </c>
      <c r="BJ163" s="60">
        <f t="shared" si="146"/>
        <v>243.23852967152732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1.0286385077051818E-13</v>
      </c>
      <c r="CA163" s="14">
        <f t="shared" si="170"/>
        <v>1.5402366592183556E-12</v>
      </c>
      <c r="CB163" s="22">
        <f t="shared" si="171"/>
        <v>2.8617333882306215E-12</v>
      </c>
      <c r="CC163" s="60">
        <f t="shared" si="119"/>
        <v>293.33333333333616</v>
      </c>
      <c r="CD163" s="60">
        <f ca="1">AVERAGE(OFFSET($CC$3,0,0,'Données projet'!$E$12+1,1))-AVERAGE(OFFSET($H$3,0,0,'Données projet'!$E$12+1,1))</f>
        <v>371.95849973474657</v>
      </c>
      <c r="CE163" s="60">
        <f t="shared" si="148"/>
        <v>233.32640143610547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5.1865751210204874E-19</v>
      </c>
      <c r="CN163" s="24">
        <f t="shared" si="172"/>
        <v>5.1865751210204874E-19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1.0995790944434703E-13</v>
      </c>
      <c r="CV163" s="14">
        <f t="shared" si="173"/>
        <v>1.6337280948049956E-12</v>
      </c>
      <c r="CW163" s="22">
        <f t="shared" si="174"/>
        <v>3.036919790734272E-12</v>
      </c>
      <c r="CX163" s="60">
        <f t="shared" si="122"/>
        <v>293.33333333333633</v>
      </c>
      <c r="CY163" s="60">
        <f ca="1">AVERAGE(OFFSET($CX$3,0,0,'Données projet'!$E$13+1,1))-AVERAGE(OFFSET($H$3,0,0,'Données projet'!$E$13+1,1))</f>
        <v>394.8445842828649</v>
      </c>
      <c r="CZ163" s="60">
        <f t="shared" si="150"/>
        <v>246.54010105494143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5.5442699569529382E-19</v>
      </c>
      <c r="DI163" s="24">
        <f t="shared" si="175"/>
        <v>5.5442699569529382E-19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5.6843418860808015E-14</v>
      </c>
      <c r="DP163" s="18">
        <f>DO163*VLOOKUP('Données projet'!$B$14,Paramètres!$A$1:$I$89,3,0)*VLOOKUP('Données projet'!$B$14,Paramètres!$A$1:$I$89,5,0)</f>
        <v>4.9658410716801891E-14</v>
      </c>
      <c r="DQ163" s="14">
        <f t="shared" si="176"/>
        <v>8.0934058173791862E-13</v>
      </c>
      <c r="DR163" s="22">
        <f t="shared" si="177"/>
        <v>1.4960899118586383E-12</v>
      </c>
      <c r="DS163" s="60">
        <f t="shared" si="125"/>
        <v>293.33333333333479</v>
      </c>
      <c r="DT163" s="60">
        <f ca="1">AVERAGE(OFFSET($DS$3,0,0,'Données projet'!$E$14+1,1))-AVERAGE(OFFSET($H$3,0,0,'Données projet'!$E$14+1,1))</f>
        <v>266.98113257513319</v>
      </c>
      <c r="DU163" s="60">
        <f t="shared" si="152"/>
        <v>275.73257102713393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0.30289217135936036</v>
      </c>
      <c r="EC163" s="23">
        <f>EXP(-LN(2)/2)*EC162+(1-EXP(-LN(2)/2))/(LN(2)/2)*DW163*DZ163*VLOOKUP('Données projet'!$B$14,Paramètres!$A$1:$I$89,3,0)*0.475*44/12</f>
        <v>2.8369771770310366E-19</v>
      </c>
      <c r="ED163" s="24">
        <f t="shared" si="178"/>
        <v>0.30289217135936036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1.1368683772161603E-13</v>
      </c>
      <c r="EK163" s="18">
        <f>EJ163*VLOOKUP('Données projet'!$B$15,Paramètres!$A$1:$I$89,3,0)*VLOOKUP('Données projet'!$B$15,Paramètres!$A$1:$I$89,5,0)</f>
        <v>1.2946657079737634E-13</v>
      </c>
      <c r="EL163" s="14">
        <f t="shared" si="179"/>
        <v>1.8873591890224769E-12</v>
      </c>
      <c r="EM163" s="22">
        <f t="shared" si="180"/>
        <v>3.5126381983529106E-12</v>
      </c>
      <c r="EN163" s="60">
        <f t="shared" si="128"/>
        <v>293.33333333333684</v>
      </c>
      <c r="EO163" s="60">
        <f ca="1">AVERAGE(OFFSET($EN$3,0,0,'Données projet'!$E$15+1,1))-AVERAGE(OFFSET($H$3,0,0,'Données projet'!$E$15+1,1))</f>
        <v>457.62828850677369</v>
      </c>
      <c r="EP163" s="60">
        <f t="shared" si="154"/>
        <v>282.78263556175563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1.1368683772161603E-13</v>
      </c>
      <c r="FF163" s="18">
        <f>FE163*VLOOKUP('Données projet'!$B$16,Paramètres!$A$1:$I$89,3,0)*VLOOKUP('Données projet'!$B$16,Paramètres!$A$1:$I$89,5,0)</f>
        <v>1.2414602679200469E-13</v>
      </c>
      <c r="FG163" s="14">
        <f t="shared" si="182"/>
        <v>1.8186582995804361E-12</v>
      </c>
      <c r="FH163" s="22">
        <f t="shared" si="183"/>
        <v>3.3837175350986671E-12</v>
      </c>
      <c r="FI163" s="60">
        <f t="shared" si="131"/>
        <v>293.33333333333672</v>
      </c>
      <c r="FJ163" s="60">
        <f ca="1">AVERAGE(OFFSET($FI$3,0,0,'Données projet'!$E$16+1,1))-AVERAGE(OFFSET($H$3,0,0,'Données projet'!$E$16+1,1))</f>
        <v>440.52623925652182</v>
      </c>
      <c r="FK163" s="60">
        <f t="shared" si="156"/>
        <v>272.91122662088918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3.4106051316484809E-13</v>
      </c>
      <c r="GA163" s="18">
        <f>FZ163*VLOOKUP('Données projet'!$B$17,Paramètres!$A$1:$I$89,3,0)*VLOOKUP('Données projet'!$B$17,Paramètres!$A$1:$I$89,5,0)</f>
        <v>1.5961632016114892E-13</v>
      </c>
      <c r="GB163" s="14">
        <f t="shared" si="185"/>
        <v>2.2708641912150958E-12</v>
      </c>
      <c r="GC163" s="22">
        <f t="shared" si="186"/>
        <v>4.2330868906469593E-12</v>
      </c>
      <c r="GD163" s="60">
        <f t="shared" si="134"/>
        <v>293.33333333333752</v>
      </c>
      <c r="GE163" s="60">
        <f ca="1">AVERAGE(OFFSET($GD$3,0,0,'Données projet'!$E$17+1,1))-AVERAGE(OFFSET($H$3,0,0,'Données projet'!$E$17+1,1))</f>
        <v>317.54276561627643</v>
      </c>
      <c r="GF163" s="60">
        <f t="shared" si="158"/>
        <v>238.92443174298893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>
        <f>GU163*VLOOKUP('Données projet'!$B$18,Paramètres!$A$1:$I$89,3,0)*VLOOKUP('Données projet'!$B$18,Paramètres!$A$1:$I$89,5,0)</f>
        <v>0</v>
      </c>
      <c r="GW163" s="14" t="e">
        <f t="shared" si="188"/>
        <v>#NUM!</v>
      </c>
      <c r="GX163" s="22" t="e">
        <f t="shared" si="189"/>
        <v>#NUM!</v>
      </c>
      <c r="GY163" s="60" t="e">
        <f t="shared" si="137"/>
        <v>#NUM!</v>
      </c>
      <c r="GZ163" s="60">
        <f ca="1">AVERAGE(OFFSET($GY$3,0,0,'Données projet'!$E$18+1,1))-AVERAGE(OFFSET($H$3,0,0,'Données projet'!$E$18+1,1))</f>
        <v>79.868679770907136</v>
      </c>
      <c r="HA163" s="60">
        <f t="shared" si="160"/>
        <v>370.47471103028312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4.7337535991647748</v>
      </c>
      <c r="HH163" s="23">
        <f>EXP(-LN(2)/25)*HH162+(1-EXP(-LN(2)/25))/(LN(2)/25)*Calculateur!HC163*Calculateur!HE163*VLOOKUP('Données projet'!$B$18,Paramètres!$A$1:$I$89,3,0)*0.475*44/12</f>
        <v>0.41097130121613706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5.1447249003809121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0">
        <f t="shared" si="109"/>
        <v>293.33333333333439</v>
      </c>
      <c r="S164" s="60">
        <f ca="1">AVERAGE(OFFSET($R$3,0,0,'Données projet'!$E$9+1,1))-AVERAGE(OFFSET($H$3,0,0,'Données projet'!$E$9+1,1))</f>
        <v>206.5885410269899</v>
      </c>
      <c r="T164" s="60">
        <f t="shared" si="142"/>
        <v>347.41156847586302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3.3992364478763198E-14</v>
      </c>
      <c r="AK164" s="14">
        <f t="shared" si="164"/>
        <v>5.790027782444094E-13</v>
      </c>
      <c r="AL164" s="22">
        <f t="shared" si="165"/>
        <v>1.0676332069095257E-12</v>
      </c>
      <c r="AM164" s="60">
        <f t="shared" si="113"/>
        <v>293.33333333333439</v>
      </c>
      <c r="AN164" s="60">
        <f ca="1">AVERAGE(OFFSET($AM$3,0,0,'Données projet'!$E$10+1,1))-AVERAGE(OFFSET($H$3,0,0,'Données projet'!$E$10+1,1))</f>
        <v>206.5885410269899</v>
      </c>
      <c r="AO164" s="60">
        <f t="shared" si="144"/>
        <v>347.41156847586302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8.1708066467913092</v>
      </c>
      <c r="AV164" s="23">
        <f>EXP(-LN(2)/25)*AV163+(1-EXP(-LN(2)/25))/(LN(2)/25)*Calculateur!AQ164*Calculateur!AS164*VLOOKUP('Données projet'!$B$10,Paramètres!$A$1:$I$89,3,0)*0.475*44/12</f>
        <v>8.8460476648229647E-2</v>
      </c>
      <c r="AW164" s="23">
        <f>EXP(-LN(2)/2)*AW163+(1-EXP(-LN(2)/2))/(LN(2)/2)*AQ164*AT164*VLOOKUP('Données projet'!$B$10,Paramètres!$A$1:$I$89,3,0)*0.475*44/12</f>
        <v>2.1111890963199206E-17</v>
      </c>
      <c r="AX164" s="23">
        <f t="shared" si="166"/>
        <v>8.2592671234395389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1.0818439477588981E-13</v>
      </c>
      <c r="BF164" s="14">
        <f t="shared" si="167"/>
        <v>1.6104228458716316E-12</v>
      </c>
      <c r="BG164" s="22">
        <f t="shared" si="168"/>
        <v>2.9932409441277661E-12</v>
      </c>
      <c r="BH164" s="60">
        <f t="shared" si="116"/>
        <v>293.33333333333633</v>
      </c>
      <c r="BI164" s="60">
        <f ca="1">AVERAGE(OFFSET($BH$3,0,0,'Données projet'!$E$11+1,1))-AVERAGE(OFFSET($H$3,0,0,'Données projet'!$E$11+1,1))</f>
        <v>389.12604446638119</v>
      </c>
      <c r="BJ164" s="60">
        <f t="shared" si="146"/>
        <v>243.23852967152732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1.0286385077051818E-13</v>
      </c>
      <c r="CA164" s="14">
        <f t="shared" si="170"/>
        <v>1.5402366592183556E-12</v>
      </c>
      <c r="CB164" s="22">
        <f t="shared" si="171"/>
        <v>2.8617333882306215E-12</v>
      </c>
      <c r="CC164" s="60">
        <f t="shared" si="119"/>
        <v>293.33333333333616</v>
      </c>
      <c r="CD164" s="60">
        <f ca="1">AVERAGE(OFFSET($CC$3,0,0,'Données projet'!$E$12+1,1))-AVERAGE(OFFSET($H$3,0,0,'Données projet'!$E$12+1,1))</f>
        <v>371.95849973474657</v>
      </c>
      <c r="CE164" s="60">
        <f t="shared" si="148"/>
        <v>233.32640143610547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3.6674624392070251E-19</v>
      </c>
      <c r="CN164" s="24">
        <f t="shared" si="172"/>
        <v>3.6674624392070251E-19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1.0995790944434703E-13</v>
      </c>
      <c r="CV164" s="14">
        <f t="shared" si="173"/>
        <v>1.6337280948049956E-12</v>
      </c>
      <c r="CW164" s="22">
        <f t="shared" si="174"/>
        <v>3.036919790734272E-12</v>
      </c>
      <c r="CX164" s="60">
        <f t="shared" si="122"/>
        <v>293.33333333333633</v>
      </c>
      <c r="CY164" s="60">
        <f ca="1">AVERAGE(OFFSET($CX$3,0,0,'Données projet'!$E$13+1,1))-AVERAGE(OFFSET($H$3,0,0,'Données projet'!$E$13+1,1))</f>
        <v>394.8445842828649</v>
      </c>
      <c r="CZ164" s="60">
        <f t="shared" si="150"/>
        <v>246.54010105494143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3.9203908832902706E-19</v>
      </c>
      <c r="DI164" s="24">
        <f t="shared" si="175"/>
        <v>3.9203908832902706E-19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5.6843418860808015E-14</v>
      </c>
      <c r="DP164" s="18">
        <f>DO164*VLOOKUP('Données projet'!$B$14,Paramètres!$A$1:$I$89,3,0)*VLOOKUP('Données projet'!$B$14,Paramètres!$A$1:$I$89,5,0)</f>
        <v>4.9658410716801891E-14</v>
      </c>
      <c r="DQ164" s="14">
        <f t="shared" si="176"/>
        <v>8.0934058173791862E-13</v>
      </c>
      <c r="DR164" s="22">
        <f t="shared" si="177"/>
        <v>1.4960899118586383E-12</v>
      </c>
      <c r="DS164" s="60">
        <f t="shared" si="125"/>
        <v>293.33333333333479</v>
      </c>
      <c r="DT164" s="60">
        <f ca="1">AVERAGE(OFFSET($DS$3,0,0,'Données projet'!$E$14+1,1))-AVERAGE(OFFSET($H$3,0,0,'Données projet'!$E$14+1,1))</f>
        <v>266.98113257513319</v>
      </c>
      <c r="DU164" s="60">
        <f t="shared" si="152"/>
        <v>275.73257102713393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0.29460956900513163</v>
      </c>
      <c r="EC164" s="23">
        <f>EXP(-LN(2)/2)*EC163+(1-EXP(-LN(2)/2))/(LN(2)/2)*DW164*DZ164*VLOOKUP('Données projet'!$B$14,Paramètres!$A$1:$I$89,3,0)*0.475*44/12</f>
        <v>2.0060457999501145E-19</v>
      </c>
      <c r="ED164" s="24">
        <f t="shared" si="178"/>
        <v>0.29460956900513163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1.1368683772161603E-13</v>
      </c>
      <c r="EK164" s="18">
        <f>EJ164*VLOOKUP('Données projet'!$B$15,Paramètres!$A$1:$I$89,3,0)*VLOOKUP('Données projet'!$B$15,Paramètres!$A$1:$I$89,5,0)</f>
        <v>1.2946657079737634E-13</v>
      </c>
      <c r="EL164" s="14">
        <f t="shared" si="179"/>
        <v>1.8873591890224769E-12</v>
      </c>
      <c r="EM164" s="22">
        <f t="shared" si="180"/>
        <v>3.5126381983529106E-12</v>
      </c>
      <c r="EN164" s="60">
        <f t="shared" si="128"/>
        <v>293.33333333333684</v>
      </c>
      <c r="EO164" s="60">
        <f ca="1">AVERAGE(OFFSET($EN$3,0,0,'Données projet'!$E$15+1,1))-AVERAGE(OFFSET($H$3,0,0,'Données projet'!$E$15+1,1))</f>
        <v>457.62828850677369</v>
      </c>
      <c r="EP164" s="60">
        <f t="shared" si="154"/>
        <v>282.78263556175563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1.1368683772161603E-13</v>
      </c>
      <c r="FF164" s="18">
        <f>FE164*VLOOKUP('Données projet'!$B$16,Paramètres!$A$1:$I$89,3,0)*VLOOKUP('Données projet'!$B$16,Paramètres!$A$1:$I$89,5,0)</f>
        <v>1.2414602679200469E-13</v>
      </c>
      <c r="FG164" s="14">
        <f t="shared" si="182"/>
        <v>1.8186582995804361E-12</v>
      </c>
      <c r="FH164" s="22">
        <f t="shared" si="183"/>
        <v>3.3837175350986671E-12</v>
      </c>
      <c r="FI164" s="60">
        <f t="shared" si="131"/>
        <v>293.33333333333672</v>
      </c>
      <c r="FJ164" s="60">
        <f ca="1">AVERAGE(OFFSET($FI$3,0,0,'Données projet'!$E$16+1,1))-AVERAGE(OFFSET($H$3,0,0,'Données projet'!$E$16+1,1))</f>
        <v>440.52623925652182</v>
      </c>
      <c r="FK164" s="60">
        <f t="shared" si="156"/>
        <v>272.91122662088918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3.4106051316484809E-13</v>
      </c>
      <c r="GA164" s="18">
        <f>FZ164*VLOOKUP('Données projet'!$B$17,Paramètres!$A$1:$I$89,3,0)*VLOOKUP('Données projet'!$B$17,Paramètres!$A$1:$I$89,5,0)</f>
        <v>1.5961632016114892E-13</v>
      </c>
      <c r="GB164" s="14">
        <f t="shared" si="185"/>
        <v>2.2708641912150958E-12</v>
      </c>
      <c r="GC164" s="22">
        <f t="shared" si="186"/>
        <v>4.2330868906469593E-12</v>
      </c>
      <c r="GD164" s="60">
        <f t="shared" si="134"/>
        <v>293.33333333333752</v>
      </c>
      <c r="GE164" s="60">
        <f ca="1">AVERAGE(OFFSET($GD$3,0,0,'Données projet'!$E$17+1,1))-AVERAGE(OFFSET($H$3,0,0,'Données projet'!$E$17+1,1))</f>
        <v>317.54276561627643</v>
      </c>
      <c r="GF164" s="60">
        <f t="shared" si="158"/>
        <v>238.92443174298893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>
        <f>GU164*VLOOKUP('Données projet'!$B$18,Paramètres!$A$1:$I$89,3,0)*VLOOKUP('Données projet'!$B$18,Paramètres!$A$1:$I$89,5,0)</f>
        <v>0</v>
      </c>
      <c r="GW164" s="14" t="e">
        <f t="shared" si="188"/>
        <v>#NUM!</v>
      </c>
      <c r="GX164" s="22" t="e">
        <f t="shared" si="189"/>
        <v>#NUM!</v>
      </c>
      <c r="GY164" s="60" t="e">
        <f t="shared" si="137"/>
        <v>#NUM!</v>
      </c>
      <c r="GZ164" s="60">
        <f ca="1">AVERAGE(OFFSET($GY$3,0,0,'Données projet'!$E$18+1,1))-AVERAGE(OFFSET($H$3,0,0,'Données projet'!$E$18+1,1))</f>
        <v>79.868679770907136</v>
      </c>
      <c r="HA164" s="60">
        <f t="shared" si="160"/>
        <v>370.47471103028312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4.6409275783897517</v>
      </c>
      <c r="HH164" s="23">
        <f>EXP(-LN(2)/25)*HH163+(1-EXP(-LN(2)/25))/(LN(2)/25)*Calculateur!HC164*Calculateur!HE164*VLOOKUP('Données projet'!$B$18,Paramètres!$A$1:$I$89,3,0)*0.475*44/12</f>
        <v>0.39973326937234033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5.0406608477620924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0">
        <f t="shared" si="109"/>
        <v>293.33333333333439</v>
      </c>
      <c r="S165" s="60">
        <f ca="1">AVERAGE(OFFSET($R$3,0,0,'Données projet'!$E$9+1,1))-AVERAGE(OFFSET($H$3,0,0,'Données projet'!$E$9+1,1))</f>
        <v>206.5885410269899</v>
      </c>
      <c r="T165" s="60">
        <f t="shared" si="142"/>
        <v>347.41156847586302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3.3992364478763198E-14</v>
      </c>
      <c r="AK165" s="14">
        <f t="shared" si="164"/>
        <v>5.790027782444094E-13</v>
      </c>
      <c r="AL165" s="22">
        <f t="shared" si="165"/>
        <v>1.0676332069095257E-12</v>
      </c>
      <c r="AM165" s="60">
        <f t="shared" si="113"/>
        <v>293.33333333333439</v>
      </c>
      <c r="AN165" s="60">
        <f ca="1">AVERAGE(OFFSET($AM$3,0,0,'Données projet'!$E$10+1,1))-AVERAGE(OFFSET($H$3,0,0,'Données projet'!$E$10+1,1))</f>
        <v>206.5885410269899</v>
      </c>
      <c r="AO165" s="60">
        <f t="shared" si="144"/>
        <v>347.41156847586302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8.0105821121476861</v>
      </c>
      <c r="AV165" s="23">
        <f>EXP(-LN(2)/25)*AV164+(1-EXP(-LN(2)/25))/(LN(2)/25)*Calculateur!AQ165*Calculateur!AS165*VLOOKUP('Données projet'!$B$10,Paramètres!$A$1:$I$89,3,0)*0.475*44/12</f>
        <v>8.6041520262349513E-2</v>
      </c>
      <c r="AW165" s="23">
        <f>EXP(-LN(2)/2)*AW164+(1-EXP(-LN(2)/2))/(LN(2)/2)*AQ165*AT165*VLOOKUP('Données projet'!$B$10,Paramètres!$A$1:$I$89,3,0)*0.475*44/12</f>
        <v>1.4928361263749151E-17</v>
      </c>
      <c r="AX165" s="23">
        <f t="shared" si="166"/>
        <v>8.0966236324100365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1.0818439477588981E-13</v>
      </c>
      <c r="BF165" s="14">
        <f t="shared" si="167"/>
        <v>1.6104228458716316E-12</v>
      </c>
      <c r="BG165" s="22">
        <f t="shared" si="168"/>
        <v>2.9932409441277661E-12</v>
      </c>
      <c r="BH165" s="60">
        <f t="shared" si="116"/>
        <v>293.33333333333633</v>
      </c>
      <c r="BI165" s="60">
        <f ca="1">AVERAGE(OFFSET($BH$3,0,0,'Données projet'!$E$11+1,1))-AVERAGE(OFFSET($H$3,0,0,'Données projet'!$E$11+1,1))</f>
        <v>389.12604446638119</v>
      </c>
      <c r="BJ165" s="60">
        <f t="shared" si="146"/>
        <v>243.23852967152732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1.0286385077051818E-13</v>
      </c>
      <c r="CA165" s="14">
        <f t="shared" si="170"/>
        <v>1.5402366592183556E-12</v>
      </c>
      <c r="CB165" s="22">
        <f t="shared" si="171"/>
        <v>2.8617333882306215E-12</v>
      </c>
      <c r="CC165" s="60">
        <f t="shared" si="119"/>
        <v>293.33333333333616</v>
      </c>
      <c r="CD165" s="60">
        <f ca="1">AVERAGE(OFFSET($CC$3,0,0,'Données projet'!$E$12+1,1))-AVERAGE(OFFSET($H$3,0,0,'Données projet'!$E$12+1,1))</f>
        <v>371.95849973474657</v>
      </c>
      <c r="CE165" s="60">
        <f t="shared" si="148"/>
        <v>233.32640143610547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2.5932875605102437E-19</v>
      </c>
      <c r="CN165" s="24">
        <f t="shared" si="172"/>
        <v>2.5932875605102437E-19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1.0995790944434703E-13</v>
      </c>
      <c r="CV165" s="14">
        <f t="shared" si="173"/>
        <v>1.6337280948049956E-12</v>
      </c>
      <c r="CW165" s="22">
        <f t="shared" si="174"/>
        <v>3.036919790734272E-12</v>
      </c>
      <c r="CX165" s="60">
        <f t="shared" si="122"/>
        <v>293.33333333333633</v>
      </c>
      <c r="CY165" s="60">
        <f ca="1">AVERAGE(OFFSET($CX$3,0,0,'Données projet'!$E$13+1,1))-AVERAGE(OFFSET($H$3,0,0,'Données projet'!$E$13+1,1))</f>
        <v>394.8445842828649</v>
      </c>
      <c r="CZ165" s="60">
        <f t="shared" si="150"/>
        <v>246.54010105494143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2.7721349784764691E-19</v>
      </c>
      <c r="DI165" s="24">
        <f t="shared" si="175"/>
        <v>2.7721349784764691E-19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5.6843418860808015E-14</v>
      </c>
      <c r="DP165" s="18">
        <f>DO165*VLOOKUP('Données projet'!$B$14,Paramètres!$A$1:$I$89,3,0)*VLOOKUP('Données projet'!$B$14,Paramètres!$A$1:$I$89,5,0)</f>
        <v>4.9658410716801891E-14</v>
      </c>
      <c r="DQ165" s="14">
        <f t="shared" si="176"/>
        <v>8.0934058173791862E-13</v>
      </c>
      <c r="DR165" s="22">
        <f t="shared" si="177"/>
        <v>1.4960899118586383E-12</v>
      </c>
      <c r="DS165" s="60">
        <f t="shared" si="125"/>
        <v>293.33333333333479</v>
      </c>
      <c r="DT165" s="60">
        <f ca="1">AVERAGE(OFFSET($DS$3,0,0,'Données projet'!$E$14+1,1))-AVERAGE(OFFSET($H$3,0,0,'Données projet'!$E$14+1,1))</f>
        <v>266.98113257513319</v>
      </c>
      <c r="DU165" s="60">
        <f t="shared" si="152"/>
        <v>275.73257102713393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0.28655345484784239</v>
      </c>
      <c r="EC165" s="23">
        <f>EXP(-LN(2)/2)*EC164+(1-EXP(-LN(2)/2))/(LN(2)/2)*DW165*DZ165*VLOOKUP('Données projet'!$B$14,Paramètres!$A$1:$I$89,3,0)*0.475*44/12</f>
        <v>1.4184885885155183E-19</v>
      </c>
      <c r="ED165" s="24">
        <f t="shared" si="178"/>
        <v>0.28655345484784239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1.1368683772161603E-13</v>
      </c>
      <c r="EK165" s="18">
        <f>EJ165*VLOOKUP('Données projet'!$B$15,Paramètres!$A$1:$I$89,3,0)*VLOOKUP('Données projet'!$B$15,Paramètres!$A$1:$I$89,5,0)</f>
        <v>1.2946657079737634E-13</v>
      </c>
      <c r="EL165" s="14">
        <f t="shared" si="179"/>
        <v>1.8873591890224769E-12</v>
      </c>
      <c r="EM165" s="22">
        <f t="shared" si="180"/>
        <v>3.5126381983529106E-12</v>
      </c>
      <c r="EN165" s="60">
        <f t="shared" si="128"/>
        <v>293.33333333333684</v>
      </c>
      <c r="EO165" s="60">
        <f ca="1">AVERAGE(OFFSET($EN$3,0,0,'Données projet'!$E$15+1,1))-AVERAGE(OFFSET($H$3,0,0,'Données projet'!$E$15+1,1))</f>
        <v>457.62828850677369</v>
      </c>
      <c r="EP165" s="60">
        <f t="shared" si="154"/>
        <v>282.78263556175563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1.1368683772161603E-13</v>
      </c>
      <c r="FF165" s="18">
        <f>FE165*VLOOKUP('Données projet'!$B$16,Paramètres!$A$1:$I$89,3,0)*VLOOKUP('Données projet'!$B$16,Paramètres!$A$1:$I$89,5,0)</f>
        <v>1.2414602679200469E-13</v>
      </c>
      <c r="FG165" s="14">
        <f t="shared" si="182"/>
        <v>1.8186582995804361E-12</v>
      </c>
      <c r="FH165" s="22">
        <f t="shared" si="183"/>
        <v>3.3837175350986671E-12</v>
      </c>
      <c r="FI165" s="60">
        <f t="shared" si="131"/>
        <v>293.33333333333672</v>
      </c>
      <c r="FJ165" s="60">
        <f ca="1">AVERAGE(OFFSET($FI$3,0,0,'Données projet'!$E$16+1,1))-AVERAGE(OFFSET($H$3,0,0,'Données projet'!$E$16+1,1))</f>
        <v>440.52623925652182</v>
      </c>
      <c r="FK165" s="60">
        <f t="shared" si="156"/>
        <v>272.91122662088918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3.4106051316484809E-13</v>
      </c>
      <c r="GA165" s="18">
        <f>FZ165*VLOOKUP('Données projet'!$B$17,Paramètres!$A$1:$I$89,3,0)*VLOOKUP('Données projet'!$B$17,Paramètres!$A$1:$I$89,5,0)</f>
        <v>1.5961632016114892E-13</v>
      </c>
      <c r="GB165" s="14">
        <f t="shared" si="185"/>
        <v>2.2708641912150958E-12</v>
      </c>
      <c r="GC165" s="22">
        <f t="shared" si="186"/>
        <v>4.2330868906469593E-12</v>
      </c>
      <c r="GD165" s="60">
        <f t="shared" si="134"/>
        <v>293.33333333333752</v>
      </c>
      <c r="GE165" s="60">
        <f ca="1">AVERAGE(OFFSET($GD$3,0,0,'Données projet'!$E$17+1,1))-AVERAGE(OFFSET($H$3,0,0,'Données projet'!$E$17+1,1))</f>
        <v>317.54276561627643</v>
      </c>
      <c r="GF165" s="60">
        <f t="shared" si="158"/>
        <v>238.92443174298893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>
        <f>GU165*VLOOKUP('Données projet'!$B$18,Paramètres!$A$1:$I$89,3,0)*VLOOKUP('Données projet'!$B$18,Paramètres!$A$1:$I$89,5,0)</f>
        <v>0</v>
      </c>
      <c r="GW165" s="14" t="e">
        <f t="shared" si="188"/>
        <v>#NUM!</v>
      </c>
      <c r="GX165" s="22" t="e">
        <f t="shared" si="189"/>
        <v>#NUM!</v>
      </c>
      <c r="GY165" s="60" t="e">
        <f t="shared" si="137"/>
        <v>#NUM!</v>
      </c>
      <c r="GZ165" s="60">
        <f ca="1">AVERAGE(OFFSET($GY$3,0,0,'Données projet'!$E$18+1,1))-AVERAGE(OFFSET($H$3,0,0,'Données projet'!$E$18+1,1))</f>
        <v>79.868679770907136</v>
      </c>
      <c r="HA165" s="60">
        <f t="shared" si="160"/>
        <v>370.47471103028312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4.5499218192638446</v>
      </c>
      <c r="HH165" s="23">
        <f>EXP(-LN(2)/25)*HH164+(1-EXP(-LN(2)/25))/(LN(2)/25)*Calculateur!HC165*Calculateur!HE165*VLOOKUP('Données projet'!$B$18,Paramètres!$A$1:$I$89,3,0)*0.475*44/12</f>
        <v>0.38880254210029463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4.9387243613641392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0">
        <f t="shared" si="109"/>
        <v>293.33333333333439</v>
      </c>
      <c r="S166" s="60">
        <f ca="1">AVERAGE(OFFSET($R$3,0,0,'Données projet'!$E$9+1,1))-AVERAGE(OFFSET($H$3,0,0,'Données projet'!$E$9+1,1))</f>
        <v>206.5885410269899</v>
      </c>
      <c r="T166" s="60">
        <f t="shared" si="142"/>
        <v>347.41156847586302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3.3992364478763198E-14</v>
      </c>
      <c r="AK166" s="14">
        <f t="shared" si="164"/>
        <v>5.790027782444094E-13</v>
      </c>
      <c r="AL166" s="22">
        <f t="shared" si="165"/>
        <v>1.0676332069095257E-12</v>
      </c>
      <c r="AM166" s="60">
        <f t="shared" si="113"/>
        <v>293.33333333333439</v>
      </c>
      <c r="AN166" s="60">
        <f ca="1">AVERAGE(OFFSET($AM$3,0,0,'Données projet'!$E$10+1,1))-AVERAGE(OFFSET($H$3,0,0,'Données projet'!$E$10+1,1))</f>
        <v>206.5885410269899</v>
      </c>
      <c r="AO166" s="60">
        <f t="shared" si="144"/>
        <v>347.41156847586302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7.8534994829011087</v>
      </c>
      <c r="AV166" s="23">
        <f>EXP(-LN(2)/25)*AV165+(1-EXP(-LN(2)/25))/(LN(2)/25)*Calculateur!AQ166*Calculateur!AS166*VLOOKUP('Données projet'!$B$10,Paramètres!$A$1:$I$89,3,0)*0.475*44/12</f>
        <v>8.3688710366048663E-2</v>
      </c>
      <c r="AW166" s="23">
        <f>EXP(-LN(2)/2)*AW165+(1-EXP(-LN(2)/2))/(LN(2)/2)*AQ166*AT166*VLOOKUP('Données projet'!$B$10,Paramètres!$A$1:$I$89,3,0)*0.475*44/12</f>
        <v>1.0555945481599603E-17</v>
      </c>
      <c r="AX166" s="23">
        <f t="shared" si="166"/>
        <v>7.9371881932671577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1.0818439477588981E-13</v>
      </c>
      <c r="BF166" s="14">
        <f t="shared" si="167"/>
        <v>1.6104228458716316E-12</v>
      </c>
      <c r="BG166" s="22">
        <f t="shared" si="168"/>
        <v>2.9932409441277661E-12</v>
      </c>
      <c r="BH166" s="60">
        <f t="shared" si="116"/>
        <v>293.33333333333633</v>
      </c>
      <c r="BI166" s="60">
        <f ca="1">AVERAGE(OFFSET($BH$3,0,0,'Données projet'!$E$11+1,1))-AVERAGE(OFFSET($H$3,0,0,'Données projet'!$E$11+1,1))</f>
        <v>389.12604446638119</v>
      </c>
      <c r="BJ166" s="60">
        <f t="shared" si="146"/>
        <v>243.23852967152732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1.0286385077051818E-13</v>
      </c>
      <c r="CA166" s="14">
        <f t="shared" si="170"/>
        <v>1.5402366592183556E-12</v>
      </c>
      <c r="CB166" s="22">
        <f t="shared" si="171"/>
        <v>2.8617333882306215E-12</v>
      </c>
      <c r="CC166" s="60">
        <f t="shared" si="119"/>
        <v>293.33333333333616</v>
      </c>
      <c r="CD166" s="60">
        <f ca="1">AVERAGE(OFFSET($CC$3,0,0,'Données projet'!$E$12+1,1))-AVERAGE(OFFSET($H$3,0,0,'Données projet'!$E$12+1,1))</f>
        <v>371.95849973474657</v>
      </c>
      <c r="CE166" s="60">
        <f t="shared" si="148"/>
        <v>233.32640143610547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1.8337312196035125E-19</v>
      </c>
      <c r="CN166" s="24">
        <f t="shared" si="172"/>
        <v>1.8337312196035125E-19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1.0995790944434703E-13</v>
      </c>
      <c r="CV166" s="14">
        <f t="shared" si="173"/>
        <v>1.6337280948049956E-12</v>
      </c>
      <c r="CW166" s="22">
        <f t="shared" si="174"/>
        <v>3.036919790734272E-12</v>
      </c>
      <c r="CX166" s="60">
        <f t="shared" si="122"/>
        <v>293.33333333333633</v>
      </c>
      <c r="CY166" s="60">
        <f ca="1">AVERAGE(OFFSET($CX$3,0,0,'Données projet'!$E$13+1,1))-AVERAGE(OFFSET($H$3,0,0,'Données projet'!$E$13+1,1))</f>
        <v>394.8445842828649</v>
      </c>
      <c r="CZ166" s="60">
        <f t="shared" si="150"/>
        <v>246.54010105494143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1.9601954416451353E-19</v>
      </c>
      <c r="DI166" s="24">
        <f t="shared" si="175"/>
        <v>1.9601954416451353E-19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5.6843418860808015E-14</v>
      </c>
      <c r="DP166" s="18">
        <f>DO166*VLOOKUP('Données projet'!$B$14,Paramètres!$A$1:$I$89,3,0)*VLOOKUP('Données projet'!$B$14,Paramètres!$A$1:$I$89,5,0)</f>
        <v>4.9658410716801891E-14</v>
      </c>
      <c r="DQ166" s="14">
        <f t="shared" si="176"/>
        <v>8.0934058173791862E-13</v>
      </c>
      <c r="DR166" s="22">
        <f t="shared" si="177"/>
        <v>1.4960899118586383E-12</v>
      </c>
      <c r="DS166" s="60">
        <f t="shared" si="125"/>
        <v>293.33333333333479</v>
      </c>
      <c r="DT166" s="60">
        <f ca="1">AVERAGE(OFFSET($DS$3,0,0,'Données projet'!$E$14+1,1))-AVERAGE(OFFSET($H$3,0,0,'Données projet'!$E$14+1,1))</f>
        <v>266.98113257513319</v>
      </c>
      <c r="DU166" s="60">
        <f t="shared" si="152"/>
        <v>275.73257102713393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0.2787176355558369</v>
      </c>
      <c r="EC166" s="23">
        <f>EXP(-LN(2)/2)*EC165+(1-EXP(-LN(2)/2))/(LN(2)/2)*DW166*DZ166*VLOOKUP('Données projet'!$B$14,Paramètres!$A$1:$I$89,3,0)*0.475*44/12</f>
        <v>1.0030228999750573E-19</v>
      </c>
      <c r="ED166" s="24">
        <f t="shared" si="178"/>
        <v>0.2787176355558369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1.1368683772161603E-13</v>
      </c>
      <c r="EK166" s="18">
        <f>EJ166*VLOOKUP('Données projet'!$B$15,Paramètres!$A$1:$I$89,3,0)*VLOOKUP('Données projet'!$B$15,Paramètres!$A$1:$I$89,5,0)</f>
        <v>1.2946657079737634E-13</v>
      </c>
      <c r="EL166" s="14">
        <f t="shared" si="179"/>
        <v>1.8873591890224769E-12</v>
      </c>
      <c r="EM166" s="22">
        <f t="shared" si="180"/>
        <v>3.5126381983529106E-12</v>
      </c>
      <c r="EN166" s="60">
        <f t="shared" si="128"/>
        <v>293.33333333333684</v>
      </c>
      <c r="EO166" s="60">
        <f ca="1">AVERAGE(OFFSET($EN$3,0,0,'Données projet'!$E$15+1,1))-AVERAGE(OFFSET($H$3,0,0,'Données projet'!$E$15+1,1))</f>
        <v>457.62828850677369</v>
      </c>
      <c r="EP166" s="60">
        <f t="shared" si="154"/>
        <v>282.78263556175563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1.1368683772161603E-13</v>
      </c>
      <c r="FF166" s="18">
        <f>FE166*VLOOKUP('Données projet'!$B$16,Paramètres!$A$1:$I$89,3,0)*VLOOKUP('Données projet'!$B$16,Paramètres!$A$1:$I$89,5,0)</f>
        <v>1.2414602679200469E-13</v>
      </c>
      <c r="FG166" s="14">
        <f t="shared" si="182"/>
        <v>1.8186582995804361E-12</v>
      </c>
      <c r="FH166" s="22">
        <f t="shared" si="183"/>
        <v>3.3837175350986671E-12</v>
      </c>
      <c r="FI166" s="60">
        <f t="shared" si="131"/>
        <v>293.33333333333672</v>
      </c>
      <c r="FJ166" s="60">
        <f ca="1">AVERAGE(OFFSET($FI$3,0,0,'Données projet'!$E$16+1,1))-AVERAGE(OFFSET($H$3,0,0,'Données projet'!$E$16+1,1))</f>
        <v>440.52623925652182</v>
      </c>
      <c r="FK166" s="60">
        <f t="shared" si="156"/>
        <v>272.91122662088918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3.4106051316484809E-13</v>
      </c>
      <c r="GA166" s="18">
        <f>FZ166*VLOOKUP('Données projet'!$B$17,Paramètres!$A$1:$I$89,3,0)*VLOOKUP('Données projet'!$B$17,Paramètres!$A$1:$I$89,5,0)</f>
        <v>1.5961632016114892E-13</v>
      </c>
      <c r="GB166" s="14">
        <f t="shared" si="185"/>
        <v>2.2708641912150958E-12</v>
      </c>
      <c r="GC166" s="22">
        <f t="shared" si="186"/>
        <v>4.2330868906469593E-12</v>
      </c>
      <c r="GD166" s="60">
        <f t="shared" si="134"/>
        <v>293.33333333333752</v>
      </c>
      <c r="GE166" s="60">
        <f ca="1">AVERAGE(OFFSET($GD$3,0,0,'Données projet'!$E$17+1,1))-AVERAGE(OFFSET($H$3,0,0,'Données projet'!$E$17+1,1))</f>
        <v>317.54276561627643</v>
      </c>
      <c r="GF166" s="60">
        <f t="shared" si="158"/>
        <v>238.92443174298893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>
        <f>GU166*VLOOKUP('Données projet'!$B$18,Paramètres!$A$1:$I$89,3,0)*VLOOKUP('Données projet'!$B$18,Paramètres!$A$1:$I$89,5,0)</f>
        <v>0</v>
      </c>
      <c r="GW166" s="14" t="e">
        <f t="shared" si="188"/>
        <v>#NUM!</v>
      </c>
      <c r="GX166" s="22" t="e">
        <f t="shared" si="189"/>
        <v>#NUM!</v>
      </c>
      <c r="GY166" s="60" t="e">
        <f t="shared" si="137"/>
        <v>#NUM!</v>
      </c>
      <c r="GZ166" s="60">
        <f ca="1">AVERAGE(OFFSET($GY$3,0,0,'Données projet'!$E$18+1,1))-AVERAGE(OFFSET($H$3,0,0,'Données projet'!$E$18+1,1))</f>
        <v>79.868679770907136</v>
      </c>
      <c r="HA166" s="60">
        <f t="shared" si="160"/>
        <v>370.47471103028312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4.4607006275663643</v>
      </c>
      <c r="HH166" s="23">
        <f>EXP(-LN(2)/25)*HH165+(1-EXP(-LN(2)/25))/(LN(2)/25)*Calculateur!HC166*Calculateur!HE166*VLOOKUP('Données projet'!$B$18,Paramètres!$A$1:$I$89,3,0)*0.475*44/12</f>
        <v>0.37817071614032499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4.838871343706689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0">
        <f t="shared" si="109"/>
        <v>293.33333333333439</v>
      </c>
      <c r="S167" s="60">
        <f ca="1">AVERAGE(OFFSET($R$3,0,0,'Données projet'!$E$9+1,1))-AVERAGE(OFFSET($H$3,0,0,'Données projet'!$E$9+1,1))</f>
        <v>206.5885410269899</v>
      </c>
      <c r="T167" s="60">
        <f t="shared" si="142"/>
        <v>347.41156847586302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3.3992364478763198E-14</v>
      </c>
      <c r="AK167" s="14">
        <f t="shared" si="164"/>
        <v>5.790027782444094E-13</v>
      </c>
      <c r="AL167" s="22">
        <f t="shared" si="165"/>
        <v>1.0676332069095257E-12</v>
      </c>
      <c r="AM167" s="60">
        <f t="shared" si="113"/>
        <v>293.33333333333439</v>
      </c>
      <c r="AN167" s="60">
        <f ca="1">AVERAGE(OFFSET($AM$3,0,0,'Données projet'!$E$10+1,1))-AVERAGE(OFFSET($H$3,0,0,'Données projet'!$E$10+1,1))</f>
        <v>206.5885410269899</v>
      </c>
      <c r="AO167" s="60">
        <f t="shared" si="144"/>
        <v>347.41156847586302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7.6994971482031129</v>
      </c>
      <c r="AV167" s="23">
        <f>EXP(-LN(2)/25)*AV166+(1-EXP(-LN(2)/25))/(LN(2)/25)*Calculateur!AQ167*Calculateur!AS167*VLOOKUP('Données projet'!$B$10,Paramètres!$A$1:$I$89,3,0)*0.475*44/12</f>
        <v>8.1400238180091053E-2</v>
      </c>
      <c r="AW167" s="23">
        <f>EXP(-LN(2)/2)*AW166+(1-EXP(-LN(2)/2))/(LN(2)/2)*AQ167*AT167*VLOOKUP('Données projet'!$B$10,Paramètres!$A$1:$I$89,3,0)*0.475*44/12</f>
        <v>7.4641806318745757E-18</v>
      </c>
      <c r="AX167" s="23">
        <f t="shared" si="166"/>
        <v>7.7808973863832041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1.0818439477588981E-13</v>
      </c>
      <c r="BF167" s="14">
        <f t="shared" si="167"/>
        <v>1.6104228458716316E-12</v>
      </c>
      <c r="BG167" s="22">
        <f t="shared" si="168"/>
        <v>2.9932409441277661E-12</v>
      </c>
      <c r="BH167" s="60">
        <f t="shared" si="116"/>
        <v>293.33333333333633</v>
      </c>
      <c r="BI167" s="60">
        <f ca="1">AVERAGE(OFFSET($BH$3,0,0,'Données projet'!$E$11+1,1))-AVERAGE(OFFSET($H$3,0,0,'Données projet'!$E$11+1,1))</f>
        <v>389.12604446638119</v>
      </c>
      <c r="BJ167" s="60">
        <f t="shared" si="146"/>
        <v>243.23852967152732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1.0286385077051818E-13</v>
      </c>
      <c r="CA167" s="14">
        <f t="shared" si="170"/>
        <v>1.5402366592183556E-12</v>
      </c>
      <c r="CB167" s="22">
        <f t="shared" si="171"/>
        <v>2.8617333882306215E-12</v>
      </c>
      <c r="CC167" s="60">
        <f t="shared" si="119"/>
        <v>293.33333333333616</v>
      </c>
      <c r="CD167" s="60">
        <f ca="1">AVERAGE(OFFSET($CC$3,0,0,'Données projet'!$E$12+1,1))-AVERAGE(OFFSET($H$3,0,0,'Données projet'!$E$12+1,1))</f>
        <v>371.95849973474657</v>
      </c>
      <c r="CE167" s="60">
        <f t="shared" si="148"/>
        <v>233.32640143610547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1.2966437802551218E-19</v>
      </c>
      <c r="CN167" s="24">
        <f t="shared" si="172"/>
        <v>1.2966437802551218E-19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1.0995790944434703E-13</v>
      </c>
      <c r="CV167" s="14">
        <f t="shared" si="173"/>
        <v>1.6337280948049956E-12</v>
      </c>
      <c r="CW167" s="22">
        <f t="shared" si="174"/>
        <v>3.036919790734272E-12</v>
      </c>
      <c r="CX167" s="60">
        <f t="shared" si="122"/>
        <v>293.33333333333633</v>
      </c>
      <c r="CY167" s="60">
        <f ca="1">AVERAGE(OFFSET($CX$3,0,0,'Données projet'!$E$13+1,1))-AVERAGE(OFFSET($H$3,0,0,'Données projet'!$E$13+1,1))</f>
        <v>394.8445842828649</v>
      </c>
      <c r="CZ167" s="60">
        <f t="shared" si="150"/>
        <v>246.54010105494143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1.3860674892382345E-19</v>
      </c>
      <c r="DI167" s="24">
        <f t="shared" si="175"/>
        <v>1.3860674892382345E-19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5.6843418860808015E-14</v>
      </c>
      <c r="DP167" s="18">
        <f>DO167*VLOOKUP('Données projet'!$B$14,Paramètres!$A$1:$I$89,3,0)*VLOOKUP('Données projet'!$B$14,Paramètres!$A$1:$I$89,5,0)</f>
        <v>4.9658410716801891E-14</v>
      </c>
      <c r="DQ167" s="14">
        <f t="shared" si="176"/>
        <v>8.0934058173791862E-13</v>
      </c>
      <c r="DR167" s="22">
        <f t="shared" si="177"/>
        <v>1.4960899118586383E-12</v>
      </c>
      <c r="DS167" s="60">
        <f t="shared" si="125"/>
        <v>293.33333333333479</v>
      </c>
      <c r="DT167" s="60">
        <f ca="1">AVERAGE(OFFSET($DS$3,0,0,'Données projet'!$E$14+1,1))-AVERAGE(OFFSET($H$3,0,0,'Données projet'!$E$14+1,1))</f>
        <v>266.98113257513319</v>
      </c>
      <c r="DU167" s="60">
        <f t="shared" si="152"/>
        <v>275.73257102713393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0.27109608715443911</v>
      </c>
      <c r="EC167" s="23">
        <f>EXP(-LN(2)/2)*EC166+(1-EXP(-LN(2)/2))/(LN(2)/2)*DW167*DZ167*VLOOKUP('Données projet'!$B$14,Paramètres!$A$1:$I$89,3,0)*0.475*44/12</f>
        <v>7.0924429425775916E-20</v>
      </c>
      <c r="ED167" s="24">
        <f t="shared" si="178"/>
        <v>0.27109608715443911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1.1368683772161603E-13</v>
      </c>
      <c r="EK167" s="18">
        <f>EJ167*VLOOKUP('Données projet'!$B$15,Paramètres!$A$1:$I$89,3,0)*VLOOKUP('Données projet'!$B$15,Paramètres!$A$1:$I$89,5,0)</f>
        <v>1.2946657079737634E-13</v>
      </c>
      <c r="EL167" s="14">
        <f t="shared" si="179"/>
        <v>1.8873591890224769E-12</v>
      </c>
      <c r="EM167" s="22">
        <f t="shared" si="180"/>
        <v>3.5126381983529106E-12</v>
      </c>
      <c r="EN167" s="60">
        <f t="shared" si="128"/>
        <v>293.33333333333684</v>
      </c>
      <c r="EO167" s="60">
        <f ca="1">AVERAGE(OFFSET($EN$3,0,0,'Données projet'!$E$15+1,1))-AVERAGE(OFFSET($H$3,0,0,'Données projet'!$E$15+1,1))</f>
        <v>457.62828850677369</v>
      </c>
      <c r="EP167" s="60">
        <f t="shared" si="154"/>
        <v>282.78263556175563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1.1368683772161603E-13</v>
      </c>
      <c r="FF167" s="18">
        <f>FE167*VLOOKUP('Données projet'!$B$16,Paramètres!$A$1:$I$89,3,0)*VLOOKUP('Données projet'!$B$16,Paramètres!$A$1:$I$89,5,0)</f>
        <v>1.2414602679200469E-13</v>
      </c>
      <c r="FG167" s="14">
        <f t="shared" si="182"/>
        <v>1.8186582995804361E-12</v>
      </c>
      <c r="FH167" s="22">
        <f t="shared" si="183"/>
        <v>3.3837175350986671E-12</v>
      </c>
      <c r="FI167" s="60">
        <f t="shared" si="131"/>
        <v>293.33333333333672</v>
      </c>
      <c r="FJ167" s="60">
        <f ca="1">AVERAGE(OFFSET($FI$3,0,0,'Données projet'!$E$16+1,1))-AVERAGE(OFFSET($H$3,0,0,'Données projet'!$E$16+1,1))</f>
        <v>440.52623925652182</v>
      </c>
      <c r="FK167" s="60">
        <f t="shared" si="156"/>
        <v>272.91122662088918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3.4106051316484809E-13</v>
      </c>
      <c r="GA167" s="18">
        <f>FZ167*VLOOKUP('Données projet'!$B$17,Paramètres!$A$1:$I$89,3,0)*VLOOKUP('Données projet'!$B$17,Paramètres!$A$1:$I$89,5,0)</f>
        <v>1.5961632016114892E-13</v>
      </c>
      <c r="GB167" s="14">
        <f t="shared" si="185"/>
        <v>2.2708641912150958E-12</v>
      </c>
      <c r="GC167" s="22">
        <f t="shared" si="186"/>
        <v>4.2330868906469593E-12</v>
      </c>
      <c r="GD167" s="60">
        <f t="shared" si="134"/>
        <v>293.33333333333752</v>
      </c>
      <c r="GE167" s="60">
        <f ca="1">AVERAGE(OFFSET($GD$3,0,0,'Données projet'!$E$17+1,1))-AVERAGE(OFFSET($H$3,0,0,'Données projet'!$E$17+1,1))</f>
        <v>317.54276561627643</v>
      </c>
      <c r="GF167" s="60">
        <f t="shared" si="158"/>
        <v>238.92443174298893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>
        <f>GU167*VLOOKUP('Données projet'!$B$18,Paramètres!$A$1:$I$89,3,0)*VLOOKUP('Données projet'!$B$18,Paramètres!$A$1:$I$89,5,0)</f>
        <v>0</v>
      </c>
      <c r="GW167" s="14" t="e">
        <f t="shared" si="188"/>
        <v>#NUM!</v>
      </c>
      <c r="GX167" s="22" t="e">
        <f t="shared" si="189"/>
        <v>#NUM!</v>
      </c>
      <c r="GY167" s="60" t="e">
        <f t="shared" si="137"/>
        <v>#NUM!</v>
      </c>
      <c r="GZ167" s="60">
        <f ca="1">AVERAGE(OFFSET($GY$3,0,0,'Données projet'!$E$18+1,1))-AVERAGE(OFFSET($H$3,0,0,'Données projet'!$E$18+1,1))</f>
        <v>79.868679770907136</v>
      </c>
      <c r="HA167" s="60">
        <f t="shared" si="160"/>
        <v>370.47471103028312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4.3732290090185177</v>
      </c>
      <c r="HH167" s="23">
        <f>EXP(-LN(2)/25)*HH166+(1-EXP(-LN(2)/25))/(LN(2)/25)*Calculateur!HC167*Calculateur!HE167*VLOOKUP('Données projet'!$B$18,Paramètres!$A$1:$I$89,3,0)*0.475*44/12</f>
        <v>0.36782961802033415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4.7410586270388517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0">
        <f t="shared" si="109"/>
        <v>293.33333333333439</v>
      </c>
      <c r="S168" s="60">
        <f ca="1">AVERAGE(OFFSET($R$3,0,0,'Données projet'!$E$9+1,1))-AVERAGE(OFFSET($H$3,0,0,'Données projet'!$E$9+1,1))</f>
        <v>206.5885410269899</v>
      </c>
      <c r="T168" s="60">
        <f t="shared" si="142"/>
        <v>347.41156847586302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3.3992364478763198E-14</v>
      </c>
      <c r="AK168" s="14">
        <f t="shared" si="164"/>
        <v>5.790027782444094E-13</v>
      </c>
      <c r="AL168" s="22">
        <f t="shared" si="165"/>
        <v>1.0676332069095257E-12</v>
      </c>
      <c r="AM168" s="60">
        <f t="shared" si="113"/>
        <v>293.33333333333439</v>
      </c>
      <c r="AN168" s="60">
        <f ca="1">AVERAGE(OFFSET($AM$3,0,0,'Données projet'!$E$10+1,1))-AVERAGE(OFFSET($H$3,0,0,'Données projet'!$E$10+1,1))</f>
        <v>206.5885410269899</v>
      </c>
      <c r="AO168" s="60">
        <f t="shared" si="144"/>
        <v>347.41156847586302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7.5485147053563963</v>
      </c>
      <c r="AV168" s="23">
        <f>EXP(-LN(2)/25)*AV167+(1-EXP(-LN(2)/25))/(LN(2)/25)*Calculateur!AQ168*Calculateur!AS168*VLOOKUP('Données projet'!$B$10,Paramètres!$A$1:$I$89,3,0)*0.475*44/12</f>
        <v>7.9174344386403986E-2</v>
      </c>
      <c r="AW168" s="23">
        <f>EXP(-LN(2)/2)*AW167+(1-EXP(-LN(2)/2))/(LN(2)/2)*AQ168*AT168*VLOOKUP('Données projet'!$B$10,Paramètres!$A$1:$I$89,3,0)*0.475*44/12</f>
        <v>5.2779727407998016E-18</v>
      </c>
      <c r="AX168" s="23">
        <f t="shared" si="166"/>
        <v>7.6276890497428003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1.0818439477588981E-13</v>
      </c>
      <c r="BF168" s="14">
        <f t="shared" si="167"/>
        <v>1.6104228458716316E-12</v>
      </c>
      <c r="BG168" s="22">
        <f t="shared" si="168"/>
        <v>2.9932409441277661E-12</v>
      </c>
      <c r="BH168" s="60">
        <f t="shared" si="116"/>
        <v>293.33333333333633</v>
      </c>
      <c r="BI168" s="60">
        <f ca="1">AVERAGE(OFFSET($BH$3,0,0,'Données projet'!$E$11+1,1))-AVERAGE(OFFSET($H$3,0,0,'Données projet'!$E$11+1,1))</f>
        <v>389.12604446638119</v>
      </c>
      <c r="BJ168" s="60">
        <f t="shared" si="146"/>
        <v>243.23852967152732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1.0286385077051818E-13</v>
      </c>
      <c r="CA168" s="14">
        <f t="shared" si="170"/>
        <v>1.5402366592183556E-12</v>
      </c>
      <c r="CB168" s="22">
        <f t="shared" si="171"/>
        <v>2.8617333882306215E-12</v>
      </c>
      <c r="CC168" s="60">
        <f t="shared" si="119"/>
        <v>293.33333333333616</v>
      </c>
      <c r="CD168" s="60">
        <f ca="1">AVERAGE(OFFSET($CC$3,0,0,'Données projet'!$E$12+1,1))-AVERAGE(OFFSET($H$3,0,0,'Données projet'!$E$12+1,1))</f>
        <v>371.95849973474657</v>
      </c>
      <c r="CE168" s="60">
        <f t="shared" si="148"/>
        <v>233.32640143610547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9.1686560980175627E-20</v>
      </c>
      <c r="CN168" s="24">
        <f t="shared" si="172"/>
        <v>9.1686560980175627E-20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1.0995790944434703E-13</v>
      </c>
      <c r="CV168" s="14">
        <f t="shared" si="173"/>
        <v>1.6337280948049956E-12</v>
      </c>
      <c r="CW168" s="22">
        <f t="shared" si="174"/>
        <v>3.036919790734272E-12</v>
      </c>
      <c r="CX168" s="60">
        <f t="shared" si="122"/>
        <v>293.33333333333633</v>
      </c>
      <c r="CY168" s="60">
        <f ca="1">AVERAGE(OFFSET($CX$3,0,0,'Données projet'!$E$13+1,1))-AVERAGE(OFFSET($H$3,0,0,'Données projet'!$E$13+1,1))</f>
        <v>394.8445842828649</v>
      </c>
      <c r="CZ168" s="60">
        <f t="shared" si="150"/>
        <v>246.54010105494143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9.8009772082256765E-20</v>
      </c>
      <c r="DI168" s="24">
        <f t="shared" si="175"/>
        <v>9.8009772082256765E-20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5.6843418860808015E-14</v>
      </c>
      <c r="DP168" s="18">
        <f>DO168*VLOOKUP('Données projet'!$B$14,Paramètres!$A$1:$I$89,3,0)*VLOOKUP('Données projet'!$B$14,Paramètres!$A$1:$I$89,5,0)</f>
        <v>4.9658410716801891E-14</v>
      </c>
      <c r="DQ168" s="14">
        <f t="shared" si="176"/>
        <v>8.0934058173791862E-13</v>
      </c>
      <c r="DR168" s="22">
        <f t="shared" si="177"/>
        <v>1.4960899118586383E-12</v>
      </c>
      <c r="DS168" s="60">
        <f t="shared" si="125"/>
        <v>293.33333333333479</v>
      </c>
      <c r="DT168" s="60">
        <f ca="1">AVERAGE(OFFSET($DS$3,0,0,'Données projet'!$E$14+1,1))-AVERAGE(OFFSET($H$3,0,0,'Données projet'!$E$14+1,1))</f>
        <v>266.98113257513319</v>
      </c>
      <c r="DU168" s="60">
        <f t="shared" si="152"/>
        <v>275.73257102713393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0.26368295039487732</v>
      </c>
      <c r="EC168" s="23">
        <f>EXP(-LN(2)/2)*EC167+(1-EXP(-LN(2)/2))/(LN(2)/2)*DW168*DZ168*VLOOKUP('Données projet'!$B$14,Paramètres!$A$1:$I$89,3,0)*0.475*44/12</f>
        <v>5.0151144998752863E-20</v>
      </c>
      <c r="ED168" s="24">
        <f t="shared" si="178"/>
        <v>0.26368295039487732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1.1368683772161603E-13</v>
      </c>
      <c r="EK168" s="18">
        <f>EJ168*VLOOKUP('Données projet'!$B$15,Paramètres!$A$1:$I$89,3,0)*VLOOKUP('Données projet'!$B$15,Paramètres!$A$1:$I$89,5,0)</f>
        <v>1.2946657079737634E-13</v>
      </c>
      <c r="EL168" s="14">
        <f t="shared" si="179"/>
        <v>1.8873591890224769E-12</v>
      </c>
      <c r="EM168" s="22">
        <f t="shared" si="180"/>
        <v>3.5126381983529106E-12</v>
      </c>
      <c r="EN168" s="60">
        <f t="shared" si="128"/>
        <v>293.33333333333684</v>
      </c>
      <c r="EO168" s="60">
        <f ca="1">AVERAGE(OFFSET($EN$3,0,0,'Données projet'!$E$15+1,1))-AVERAGE(OFFSET($H$3,0,0,'Données projet'!$E$15+1,1))</f>
        <v>457.62828850677369</v>
      </c>
      <c r="EP168" s="60">
        <f t="shared" si="154"/>
        <v>282.78263556175563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1.1368683772161603E-13</v>
      </c>
      <c r="FF168" s="18">
        <f>FE168*VLOOKUP('Données projet'!$B$16,Paramètres!$A$1:$I$89,3,0)*VLOOKUP('Données projet'!$B$16,Paramètres!$A$1:$I$89,5,0)</f>
        <v>1.2414602679200469E-13</v>
      </c>
      <c r="FG168" s="14">
        <f t="shared" si="182"/>
        <v>1.8186582995804361E-12</v>
      </c>
      <c r="FH168" s="22">
        <f t="shared" si="183"/>
        <v>3.3837175350986671E-12</v>
      </c>
      <c r="FI168" s="60">
        <f t="shared" si="131"/>
        <v>293.33333333333672</v>
      </c>
      <c r="FJ168" s="60">
        <f ca="1">AVERAGE(OFFSET($FI$3,0,0,'Données projet'!$E$16+1,1))-AVERAGE(OFFSET($H$3,0,0,'Données projet'!$E$16+1,1))</f>
        <v>440.52623925652182</v>
      </c>
      <c r="FK168" s="60">
        <f t="shared" si="156"/>
        <v>272.91122662088918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3.4106051316484809E-13</v>
      </c>
      <c r="GA168" s="18">
        <f>FZ168*VLOOKUP('Données projet'!$B$17,Paramètres!$A$1:$I$89,3,0)*VLOOKUP('Données projet'!$B$17,Paramètres!$A$1:$I$89,5,0)</f>
        <v>1.5961632016114892E-13</v>
      </c>
      <c r="GB168" s="14">
        <f t="shared" si="185"/>
        <v>2.2708641912150958E-12</v>
      </c>
      <c r="GC168" s="22">
        <f t="shared" si="186"/>
        <v>4.2330868906469593E-12</v>
      </c>
      <c r="GD168" s="60">
        <f t="shared" si="134"/>
        <v>293.33333333333752</v>
      </c>
      <c r="GE168" s="60">
        <f ca="1">AVERAGE(OFFSET($GD$3,0,0,'Données projet'!$E$17+1,1))-AVERAGE(OFFSET($H$3,0,0,'Données projet'!$E$17+1,1))</f>
        <v>317.54276561627643</v>
      </c>
      <c r="GF168" s="60">
        <f t="shared" si="158"/>
        <v>238.92443174298893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>
        <f>GU168*VLOOKUP('Données projet'!$B$18,Paramètres!$A$1:$I$89,3,0)*VLOOKUP('Données projet'!$B$18,Paramètres!$A$1:$I$89,5,0)</f>
        <v>0</v>
      </c>
      <c r="GW168" s="14" t="e">
        <f t="shared" si="188"/>
        <v>#NUM!</v>
      </c>
      <c r="GX168" s="22" t="e">
        <f t="shared" si="189"/>
        <v>#NUM!</v>
      </c>
      <c r="GY168" s="60" t="e">
        <f t="shared" si="137"/>
        <v>#NUM!</v>
      </c>
      <c r="GZ168" s="60">
        <f ca="1">AVERAGE(OFFSET($GY$3,0,0,'Données projet'!$E$18+1,1))-AVERAGE(OFFSET($H$3,0,0,'Données projet'!$E$18+1,1))</f>
        <v>79.868679770907136</v>
      </c>
      <c r="HA168" s="60">
        <f t="shared" si="160"/>
        <v>370.47471103028312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4.2874726555579752</v>
      </c>
      <c r="HH168" s="23">
        <f>EXP(-LN(2)/25)*HH167+(1-EXP(-LN(2)/25))/(LN(2)/25)*Calculateur!HC168*Calculateur!HE168*VLOOKUP('Données projet'!$B$18,Paramètres!$A$1:$I$89,3,0)*0.475*44/12</f>
        <v>0.3577712977722492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4.6452439533302243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0">
        <f t="shared" si="109"/>
        <v>293.33333333333439</v>
      </c>
      <c r="S169" s="60">
        <f ca="1">AVERAGE(OFFSET($R$3,0,0,'Données projet'!$E$9+1,1))-AVERAGE(OFFSET($H$3,0,0,'Données projet'!$E$9+1,1))</f>
        <v>206.5885410269899</v>
      </c>
      <c r="T169" s="60">
        <f t="shared" si="142"/>
        <v>347.41156847586302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3.3992364478763198E-14</v>
      </c>
      <c r="AK169" s="14">
        <f t="shared" si="164"/>
        <v>5.790027782444094E-13</v>
      </c>
      <c r="AL169" s="22">
        <f t="shared" si="165"/>
        <v>1.0676332069095257E-12</v>
      </c>
      <c r="AM169" s="60">
        <f t="shared" si="113"/>
        <v>293.33333333333439</v>
      </c>
      <c r="AN169" s="60">
        <f ca="1">AVERAGE(OFFSET($AM$3,0,0,'Données projet'!$E$10+1,1))-AVERAGE(OFFSET($H$3,0,0,'Données projet'!$E$10+1,1))</f>
        <v>206.5885410269899</v>
      </c>
      <c r="AO169" s="60">
        <f t="shared" si="144"/>
        <v>347.41156847586302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7.4004929361237064</v>
      </c>
      <c r="AV169" s="23">
        <f>EXP(-LN(2)/25)*AV168+(1-EXP(-LN(2)/25))/(LN(2)/25)*Calculateur!AQ169*Calculateur!AS169*VLOOKUP('Données projet'!$B$10,Paramètres!$A$1:$I$89,3,0)*0.475*44/12</f>
        <v>7.7009317775559957E-2</v>
      </c>
      <c r="AW169" s="23">
        <f>EXP(-LN(2)/2)*AW168+(1-EXP(-LN(2)/2))/(LN(2)/2)*AQ169*AT169*VLOOKUP('Données projet'!$B$10,Paramètres!$A$1:$I$89,3,0)*0.475*44/12</f>
        <v>3.7320903159372878E-18</v>
      </c>
      <c r="AX169" s="23">
        <f t="shared" si="166"/>
        <v>7.4775022538992664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1.0818439477588981E-13</v>
      </c>
      <c r="BF169" s="14">
        <f t="shared" si="167"/>
        <v>1.6104228458716316E-12</v>
      </c>
      <c r="BG169" s="22">
        <f t="shared" si="168"/>
        <v>2.9932409441277661E-12</v>
      </c>
      <c r="BH169" s="60">
        <f t="shared" si="116"/>
        <v>293.33333333333633</v>
      </c>
      <c r="BI169" s="60">
        <f ca="1">AVERAGE(OFFSET($BH$3,0,0,'Données projet'!$E$11+1,1))-AVERAGE(OFFSET($H$3,0,0,'Données projet'!$E$11+1,1))</f>
        <v>389.12604446638119</v>
      </c>
      <c r="BJ169" s="60">
        <f t="shared" si="146"/>
        <v>243.23852967152732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1.0286385077051818E-13</v>
      </c>
      <c r="CA169" s="14">
        <f t="shared" si="170"/>
        <v>1.5402366592183556E-12</v>
      </c>
      <c r="CB169" s="22">
        <f t="shared" si="171"/>
        <v>2.8617333882306215E-12</v>
      </c>
      <c r="CC169" s="60">
        <f t="shared" si="119"/>
        <v>293.33333333333616</v>
      </c>
      <c r="CD169" s="60">
        <f ca="1">AVERAGE(OFFSET($CC$3,0,0,'Données projet'!$E$12+1,1))-AVERAGE(OFFSET($H$3,0,0,'Données projet'!$E$12+1,1))</f>
        <v>371.95849973474657</v>
      </c>
      <c r="CE169" s="60">
        <f t="shared" si="148"/>
        <v>233.32640143610547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6.4832189012756092E-20</v>
      </c>
      <c r="CN169" s="24">
        <f t="shared" si="172"/>
        <v>6.4832189012756092E-20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1.0995790944434703E-13</v>
      </c>
      <c r="CV169" s="14">
        <f t="shared" si="173"/>
        <v>1.6337280948049956E-12</v>
      </c>
      <c r="CW169" s="22">
        <f t="shared" si="174"/>
        <v>3.036919790734272E-12</v>
      </c>
      <c r="CX169" s="60">
        <f t="shared" si="122"/>
        <v>293.33333333333633</v>
      </c>
      <c r="CY169" s="60">
        <f ca="1">AVERAGE(OFFSET($CX$3,0,0,'Données projet'!$E$13+1,1))-AVERAGE(OFFSET($H$3,0,0,'Données projet'!$E$13+1,1))</f>
        <v>394.8445842828649</v>
      </c>
      <c r="CZ169" s="60">
        <f t="shared" si="150"/>
        <v>246.54010105494143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6.9303374461911727E-20</v>
      </c>
      <c r="DI169" s="24">
        <f t="shared" si="175"/>
        <v>6.9303374461911727E-20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5.6843418860808015E-14</v>
      </c>
      <c r="DP169" s="18">
        <f>DO169*VLOOKUP('Données projet'!$B$14,Paramètres!$A$1:$I$89,3,0)*VLOOKUP('Données projet'!$B$14,Paramètres!$A$1:$I$89,5,0)</f>
        <v>4.9658410716801891E-14</v>
      </c>
      <c r="DQ169" s="14">
        <f t="shared" si="176"/>
        <v>8.0934058173791862E-13</v>
      </c>
      <c r="DR169" s="22">
        <f t="shared" si="177"/>
        <v>1.4960899118586383E-12</v>
      </c>
      <c r="DS169" s="60">
        <f t="shared" si="125"/>
        <v>293.33333333333479</v>
      </c>
      <c r="DT169" s="60">
        <f ca="1">AVERAGE(OFFSET($DS$3,0,0,'Données projet'!$E$14+1,1))-AVERAGE(OFFSET($H$3,0,0,'Données projet'!$E$14+1,1))</f>
        <v>266.98113257513319</v>
      </c>
      <c r="DU169" s="60">
        <f t="shared" si="152"/>
        <v>275.73257102713393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0.25647252624984568</v>
      </c>
      <c r="EC169" s="23">
        <f>EXP(-LN(2)/2)*EC168+(1-EXP(-LN(2)/2))/(LN(2)/2)*DW169*DZ169*VLOOKUP('Données projet'!$B$14,Paramètres!$A$1:$I$89,3,0)*0.475*44/12</f>
        <v>3.5462214712887958E-20</v>
      </c>
      <c r="ED169" s="24">
        <f t="shared" si="178"/>
        <v>0.25647252624984568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1.1368683772161603E-13</v>
      </c>
      <c r="EK169" s="18">
        <f>EJ169*VLOOKUP('Données projet'!$B$15,Paramètres!$A$1:$I$89,3,0)*VLOOKUP('Données projet'!$B$15,Paramètres!$A$1:$I$89,5,0)</f>
        <v>1.2946657079737634E-13</v>
      </c>
      <c r="EL169" s="14">
        <f t="shared" si="179"/>
        <v>1.8873591890224769E-12</v>
      </c>
      <c r="EM169" s="22">
        <f t="shared" si="180"/>
        <v>3.5126381983529106E-12</v>
      </c>
      <c r="EN169" s="60">
        <f t="shared" si="128"/>
        <v>293.33333333333684</v>
      </c>
      <c r="EO169" s="60">
        <f ca="1">AVERAGE(OFFSET($EN$3,0,0,'Données projet'!$E$15+1,1))-AVERAGE(OFFSET($H$3,0,0,'Données projet'!$E$15+1,1))</f>
        <v>457.62828850677369</v>
      </c>
      <c r="EP169" s="60">
        <f t="shared" si="154"/>
        <v>282.78263556175563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1.1368683772161603E-13</v>
      </c>
      <c r="FF169" s="18">
        <f>FE169*VLOOKUP('Données projet'!$B$16,Paramètres!$A$1:$I$89,3,0)*VLOOKUP('Données projet'!$B$16,Paramètres!$A$1:$I$89,5,0)</f>
        <v>1.2414602679200469E-13</v>
      </c>
      <c r="FG169" s="14">
        <f t="shared" si="182"/>
        <v>1.8186582995804361E-12</v>
      </c>
      <c r="FH169" s="22">
        <f t="shared" si="183"/>
        <v>3.3837175350986671E-12</v>
      </c>
      <c r="FI169" s="60">
        <f t="shared" si="131"/>
        <v>293.33333333333672</v>
      </c>
      <c r="FJ169" s="60">
        <f ca="1">AVERAGE(OFFSET($FI$3,0,0,'Données projet'!$E$16+1,1))-AVERAGE(OFFSET($H$3,0,0,'Données projet'!$E$16+1,1))</f>
        <v>440.52623925652182</v>
      </c>
      <c r="FK169" s="60">
        <f t="shared" si="156"/>
        <v>272.91122662088918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3.4106051316484809E-13</v>
      </c>
      <c r="GA169" s="18">
        <f>FZ169*VLOOKUP('Données projet'!$B$17,Paramètres!$A$1:$I$89,3,0)*VLOOKUP('Données projet'!$B$17,Paramètres!$A$1:$I$89,5,0)</f>
        <v>1.5961632016114892E-13</v>
      </c>
      <c r="GB169" s="14">
        <f t="shared" si="185"/>
        <v>2.2708641912150958E-12</v>
      </c>
      <c r="GC169" s="22">
        <f t="shared" si="186"/>
        <v>4.2330868906469593E-12</v>
      </c>
      <c r="GD169" s="60">
        <f t="shared" si="134"/>
        <v>293.33333333333752</v>
      </c>
      <c r="GE169" s="60">
        <f ca="1">AVERAGE(OFFSET($GD$3,0,0,'Données projet'!$E$17+1,1))-AVERAGE(OFFSET($H$3,0,0,'Données projet'!$E$17+1,1))</f>
        <v>317.54276561627643</v>
      </c>
      <c r="GF169" s="60">
        <f t="shared" si="158"/>
        <v>238.92443174298893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>
        <f>GU169*VLOOKUP('Données projet'!$B$18,Paramètres!$A$1:$I$89,3,0)*VLOOKUP('Données projet'!$B$18,Paramètres!$A$1:$I$89,5,0)</f>
        <v>0</v>
      </c>
      <c r="GW169" s="14" t="e">
        <f t="shared" si="188"/>
        <v>#NUM!</v>
      </c>
      <c r="GX169" s="22" t="e">
        <f t="shared" si="189"/>
        <v>#NUM!</v>
      </c>
      <c r="GY169" s="60" t="e">
        <f t="shared" si="137"/>
        <v>#NUM!</v>
      </c>
      <c r="GZ169" s="60">
        <f ca="1">AVERAGE(OFFSET($GY$3,0,0,'Données projet'!$E$18+1,1))-AVERAGE(OFFSET($H$3,0,0,'Données projet'!$E$18+1,1))</f>
        <v>79.868679770907136</v>
      </c>
      <c r="HA169" s="60">
        <f t="shared" si="160"/>
        <v>370.47471103028312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4.2033979318825834</v>
      </c>
      <c r="HH169" s="23">
        <f>EXP(-LN(2)/25)*HH168+(1-EXP(-LN(2)/25))/(LN(2)/25)*Calculateur!HC169*Calculateur!HE169*VLOOKUP('Données projet'!$B$18,Paramètres!$A$1:$I$89,3,0)*0.475*44/12</f>
        <v>0.34798802282029218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4.5513859547028757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0">
        <f t="shared" si="109"/>
        <v>293.33333333333439</v>
      </c>
      <c r="S170" s="60">
        <f ca="1">AVERAGE(OFFSET($R$3,0,0,'Données projet'!$E$9+1,1))-AVERAGE(OFFSET($H$3,0,0,'Données projet'!$E$9+1,1))</f>
        <v>206.5885410269899</v>
      </c>
      <c r="T170" s="60">
        <f t="shared" si="142"/>
        <v>347.41156847586302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3.3992364478763198E-14</v>
      </c>
      <c r="AK170" s="14">
        <f t="shared" si="164"/>
        <v>5.790027782444094E-13</v>
      </c>
      <c r="AL170" s="22">
        <f t="shared" si="165"/>
        <v>1.0676332069095257E-12</v>
      </c>
      <c r="AM170" s="60">
        <f t="shared" si="113"/>
        <v>293.33333333333439</v>
      </c>
      <c r="AN170" s="60">
        <f ca="1">AVERAGE(OFFSET($AM$3,0,0,'Données projet'!$E$10+1,1))-AVERAGE(OFFSET($H$3,0,0,'Données projet'!$E$10+1,1))</f>
        <v>206.5885410269899</v>
      </c>
      <c r="AO170" s="60">
        <f t="shared" si="144"/>
        <v>347.41156847586302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7.2553737835013052</v>
      </c>
      <c r="AV170" s="23">
        <f>EXP(-LN(2)/25)*AV169+(1-EXP(-LN(2)/25))/(LN(2)/25)*Calculateur!AQ170*Calculateur!AS170*VLOOKUP('Données projet'!$B$10,Paramètres!$A$1:$I$89,3,0)*0.475*44/12</f>
        <v>7.4903493931243251E-2</v>
      </c>
      <c r="AW170" s="23">
        <f>EXP(-LN(2)/2)*AW169+(1-EXP(-LN(2)/2))/(LN(2)/2)*AQ170*AT170*VLOOKUP('Données projet'!$B$10,Paramètres!$A$1:$I$89,3,0)*0.475*44/12</f>
        <v>2.6389863703999008E-18</v>
      </c>
      <c r="AX170" s="23">
        <f t="shared" si="166"/>
        <v>7.3302772774325486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1.0818439477588981E-13</v>
      </c>
      <c r="BF170" s="14">
        <f t="shared" si="167"/>
        <v>1.6104228458716316E-12</v>
      </c>
      <c r="BG170" s="22">
        <f t="shared" si="168"/>
        <v>2.9932409441277661E-12</v>
      </c>
      <c r="BH170" s="60">
        <f t="shared" si="116"/>
        <v>293.33333333333633</v>
      </c>
      <c r="BI170" s="60">
        <f ca="1">AVERAGE(OFFSET($BH$3,0,0,'Données projet'!$E$11+1,1))-AVERAGE(OFFSET($H$3,0,0,'Données projet'!$E$11+1,1))</f>
        <v>389.12604446638119</v>
      </c>
      <c r="BJ170" s="60">
        <f t="shared" si="146"/>
        <v>243.23852967152732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1.0286385077051818E-13</v>
      </c>
      <c r="CA170" s="14">
        <f t="shared" si="170"/>
        <v>1.5402366592183556E-12</v>
      </c>
      <c r="CB170" s="22">
        <f t="shared" si="171"/>
        <v>2.8617333882306215E-12</v>
      </c>
      <c r="CC170" s="60">
        <f t="shared" si="119"/>
        <v>293.33333333333616</v>
      </c>
      <c r="CD170" s="60">
        <f ca="1">AVERAGE(OFFSET($CC$3,0,0,'Données projet'!$E$12+1,1))-AVERAGE(OFFSET($H$3,0,0,'Données projet'!$E$12+1,1))</f>
        <v>371.95849973474657</v>
      </c>
      <c r="CE170" s="60">
        <f t="shared" si="148"/>
        <v>233.32640143610547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4.5843280490087813E-20</v>
      </c>
      <c r="CN170" s="24">
        <f t="shared" si="172"/>
        <v>4.5843280490087813E-20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1.0995790944434703E-13</v>
      </c>
      <c r="CV170" s="14">
        <f t="shared" si="173"/>
        <v>1.6337280948049956E-12</v>
      </c>
      <c r="CW170" s="22">
        <f t="shared" si="174"/>
        <v>3.036919790734272E-12</v>
      </c>
      <c r="CX170" s="60">
        <f t="shared" si="122"/>
        <v>293.33333333333633</v>
      </c>
      <c r="CY170" s="60">
        <f ca="1">AVERAGE(OFFSET($CX$3,0,0,'Données projet'!$E$13+1,1))-AVERAGE(OFFSET($H$3,0,0,'Données projet'!$E$13+1,1))</f>
        <v>394.8445842828649</v>
      </c>
      <c r="CZ170" s="60">
        <f t="shared" si="150"/>
        <v>246.54010105494143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4.9004886041128382E-20</v>
      </c>
      <c r="DI170" s="24">
        <f t="shared" si="175"/>
        <v>4.9004886041128382E-20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5.6843418860808015E-14</v>
      </c>
      <c r="DP170" s="18">
        <f>DO170*VLOOKUP('Données projet'!$B$14,Paramètres!$A$1:$I$89,3,0)*VLOOKUP('Données projet'!$B$14,Paramètres!$A$1:$I$89,5,0)</f>
        <v>4.9658410716801891E-14</v>
      </c>
      <c r="DQ170" s="14">
        <f t="shared" si="176"/>
        <v>8.0934058173791862E-13</v>
      </c>
      <c r="DR170" s="22">
        <f t="shared" si="177"/>
        <v>1.4960899118586383E-12</v>
      </c>
      <c r="DS170" s="60">
        <f t="shared" si="125"/>
        <v>293.33333333333479</v>
      </c>
      <c r="DT170" s="60">
        <f ca="1">AVERAGE(OFFSET($DS$3,0,0,'Données projet'!$E$14+1,1))-AVERAGE(OFFSET($H$3,0,0,'Données projet'!$E$14+1,1))</f>
        <v>266.98113257513319</v>
      </c>
      <c r="DU170" s="60">
        <f t="shared" si="152"/>
        <v>275.73257102713393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0.24945927153223968</v>
      </c>
      <c r="EC170" s="23">
        <f>EXP(-LN(2)/2)*EC169+(1-EXP(-LN(2)/2))/(LN(2)/2)*DW170*DZ170*VLOOKUP('Données projet'!$B$14,Paramètres!$A$1:$I$89,3,0)*0.475*44/12</f>
        <v>2.5075572499376432E-20</v>
      </c>
      <c r="ED170" s="24">
        <f t="shared" si="178"/>
        <v>0.24945927153223968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1.1368683772161603E-13</v>
      </c>
      <c r="EK170" s="18">
        <f>EJ170*VLOOKUP('Données projet'!$B$15,Paramètres!$A$1:$I$89,3,0)*VLOOKUP('Données projet'!$B$15,Paramètres!$A$1:$I$89,5,0)</f>
        <v>1.2946657079737634E-13</v>
      </c>
      <c r="EL170" s="14">
        <f t="shared" si="179"/>
        <v>1.8873591890224769E-12</v>
      </c>
      <c r="EM170" s="22">
        <f t="shared" si="180"/>
        <v>3.5126381983529106E-12</v>
      </c>
      <c r="EN170" s="60">
        <f t="shared" si="128"/>
        <v>293.33333333333684</v>
      </c>
      <c r="EO170" s="60">
        <f ca="1">AVERAGE(OFFSET($EN$3,0,0,'Données projet'!$E$15+1,1))-AVERAGE(OFFSET($H$3,0,0,'Données projet'!$E$15+1,1))</f>
        <v>457.62828850677369</v>
      </c>
      <c r="EP170" s="60">
        <f t="shared" si="154"/>
        <v>282.78263556175563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1.1368683772161603E-13</v>
      </c>
      <c r="FF170" s="18">
        <f>FE170*VLOOKUP('Données projet'!$B$16,Paramètres!$A$1:$I$89,3,0)*VLOOKUP('Données projet'!$B$16,Paramètres!$A$1:$I$89,5,0)</f>
        <v>1.2414602679200469E-13</v>
      </c>
      <c r="FG170" s="14">
        <f t="shared" si="182"/>
        <v>1.8186582995804361E-12</v>
      </c>
      <c r="FH170" s="22">
        <f t="shared" si="183"/>
        <v>3.3837175350986671E-12</v>
      </c>
      <c r="FI170" s="60">
        <f t="shared" si="131"/>
        <v>293.33333333333672</v>
      </c>
      <c r="FJ170" s="60">
        <f ca="1">AVERAGE(OFFSET($FI$3,0,0,'Données projet'!$E$16+1,1))-AVERAGE(OFFSET($H$3,0,0,'Données projet'!$E$16+1,1))</f>
        <v>440.52623925652182</v>
      </c>
      <c r="FK170" s="60">
        <f t="shared" si="156"/>
        <v>272.91122662088918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3.4106051316484809E-13</v>
      </c>
      <c r="GA170" s="18">
        <f>FZ170*VLOOKUP('Données projet'!$B$17,Paramètres!$A$1:$I$89,3,0)*VLOOKUP('Données projet'!$B$17,Paramètres!$A$1:$I$89,5,0)</f>
        <v>1.5961632016114892E-13</v>
      </c>
      <c r="GB170" s="14">
        <f t="shared" si="185"/>
        <v>2.2708641912150958E-12</v>
      </c>
      <c r="GC170" s="22">
        <f t="shared" si="186"/>
        <v>4.2330868906469593E-12</v>
      </c>
      <c r="GD170" s="60">
        <f t="shared" si="134"/>
        <v>293.33333333333752</v>
      </c>
      <c r="GE170" s="60">
        <f ca="1">AVERAGE(OFFSET($GD$3,0,0,'Données projet'!$E$17+1,1))-AVERAGE(OFFSET($H$3,0,0,'Données projet'!$E$17+1,1))</f>
        <v>317.54276561627643</v>
      </c>
      <c r="GF170" s="60">
        <f t="shared" si="158"/>
        <v>238.92443174298893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>
        <f>GU170*VLOOKUP('Données projet'!$B$18,Paramètres!$A$1:$I$89,3,0)*VLOOKUP('Données projet'!$B$18,Paramètres!$A$1:$I$89,5,0)</f>
        <v>0</v>
      </c>
      <c r="GW170" s="14" t="e">
        <f t="shared" si="188"/>
        <v>#NUM!</v>
      </c>
      <c r="GX170" s="22" t="e">
        <f t="shared" si="189"/>
        <v>#NUM!</v>
      </c>
      <c r="GY170" s="60" t="e">
        <f t="shared" si="137"/>
        <v>#NUM!</v>
      </c>
      <c r="GZ170" s="60">
        <f ca="1">AVERAGE(OFFSET($GY$3,0,0,'Données projet'!$E$18+1,1))-AVERAGE(OFFSET($H$3,0,0,'Données projet'!$E$18+1,1))</f>
        <v>79.868679770907136</v>
      </c>
      <c r="HA170" s="60">
        <f t="shared" si="160"/>
        <v>370.47471103028312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4.1209718622579485</v>
      </c>
      <c r="HH170" s="23">
        <f>EXP(-LN(2)/25)*HH169+(1-EXP(-LN(2)/25))/(LN(2)/25)*Calculateur!HC170*Calculateur!HE170*VLOOKUP('Données projet'!$B$18,Paramètres!$A$1:$I$89,3,0)*0.475*44/12</f>
        <v>0.33847227203637648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4.4594441342943254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0">
        <f t="shared" si="109"/>
        <v>293.33333333333439</v>
      </c>
      <c r="S171" s="60">
        <f ca="1">AVERAGE(OFFSET($R$3,0,0,'Données projet'!$E$9+1,1))-AVERAGE(OFFSET($H$3,0,0,'Données projet'!$E$9+1,1))</f>
        <v>206.5885410269899</v>
      </c>
      <c r="T171" s="60">
        <f t="shared" si="142"/>
        <v>347.41156847586302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3.3992364478763198E-14</v>
      </c>
      <c r="AK171" s="14">
        <f t="shared" si="164"/>
        <v>5.790027782444094E-13</v>
      </c>
      <c r="AL171" s="22">
        <f t="shared" si="165"/>
        <v>1.0676332069095257E-12</v>
      </c>
      <c r="AM171" s="60">
        <f t="shared" si="113"/>
        <v>293.33333333333439</v>
      </c>
      <c r="AN171" s="60">
        <f ca="1">AVERAGE(OFFSET($AM$3,0,0,'Données projet'!$E$10+1,1))-AVERAGE(OFFSET($H$3,0,0,'Données projet'!$E$10+1,1))</f>
        <v>206.5885410269899</v>
      </c>
      <c r="AO171" s="60">
        <f t="shared" si="144"/>
        <v>347.41156847586302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7.113100328947886</v>
      </c>
      <c r="AV171" s="23">
        <f>EXP(-LN(2)/25)*AV170+(1-EXP(-LN(2)/25))/(LN(2)/25)*Calculateur!AQ171*Calculateur!AS171*VLOOKUP('Données projet'!$B$10,Paramètres!$A$1:$I$89,3,0)*0.475*44/12</f>
        <v>7.2855253950689855E-2</v>
      </c>
      <c r="AW171" s="23">
        <f>EXP(-LN(2)/2)*AW170+(1-EXP(-LN(2)/2))/(LN(2)/2)*AQ171*AT171*VLOOKUP('Données projet'!$B$10,Paramètres!$A$1:$I$89,3,0)*0.475*44/12</f>
        <v>1.8660451579686439E-18</v>
      </c>
      <c r="AX171" s="23">
        <f t="shared" si="166"/>
        <v>7.1859555828985755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1.0818439477588981E-13</v>
      </c>
      <c r="BF171" s="14">
        <f t="shared" si="167"/>
        <v>1.6104228458716316E-12</v>
      </c>
      <c r="BG171" s="22">
        <f t="shared" si="168"/>
        <v>2.9932409441277661E-12</v>
      </c>
      <c r="BH171" s="60">
        <f t="shared" si="116"/>
        <v>293.33333333333633</v>
      </c>
      <c r="BI171" s="60">
        <f ca="1">AVERAGE(OFFSET($BH$3,0,0,'Données projet'!$E$11+1,1))-AVERAGE(OFFSET($H$3,0,0,'Données projet'!$E$11+1,1))</f>
        <v>389.12604446638119</v>
      </c>
      <c r="BJ171" s="60">
        <f t="shared" si="146"/>
        <v>243.23852967152732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1.0286385077051818E-13</v>
      </c>
      <c r="CA171" s="14">
        <f t="shared" si="170"/>
        <v>1.5402366592183556E-12</v>
      </c>
      <c r="CB171" s="22">
        <f t="shared" si="171"/>
        <v>2.8617333882306215E-12</v>
      </c>
      <c r="CC171" s="60">
        <f t="shared" si="119"/>
        <v>293.33333333333616</v>
      </c>
      <c r="CD171" s="60">
        <f ca="1">AVERAGE(OFFSET($CC$3,0,0,'Données projet'!$E$12+1,1))-AVERAGE(OFFSET($H$3,0,0,'Données projet'!$E$12+1,1))</f>
        <v>371.95849973474657</v>
      </c>
      <c r="CE171" s="60">
        <f t="shared" si="148"/>
        <v>233.32640143610547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3.2416094506378046E-20</v>
      </c>
      <c r="CN171" s="24">
        <f t="shared" si="172"/>
        <v>3.2416094506378046E-20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1.0995790944434703E-13</v>
      </c>
      <c r="CV171" s="14">
        <f t="shared" si="173"/>
        <v>1.6337280948049956E-12</v>
      </c>
      <c r="CW171" s="22">
        <f t="shared" si="174"/>
        <v>3.036919790734272E-12</v>
      </c>
      <c r="CX171" s="60">
        <f t="shared" si="122"/>
        <v>293.33333333333633</v>
      </c>
      <c r="CY171" s="60">
        <f ca="1">AVERAGE(OFFSET($CX$3,0,0,'Données projet'!$E$13+1,1))-AVERAGE(OFFSET($H$3,0,0,'Données projet'!$E$13+1,1))</f>
        <v>394.8445842828649</v>
      </c>
      <c r="CZ171" s="60">
        <f t="shared" si="150"/>
        <v>246.54010105494143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3.4651687230955864E-20</v>
      </c>
      <c r="DI171" s="24">
        <f t="shared" si="175"/>
        <v>3.4651687230955864E-20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5.6843418860808015E-14</v>
      </c>
      <c r="DP171" s="18">
        <f>DO171*VLOOKUP('Données projet'!$B$14,Paramètres!$A$1:$I$89,3,0)*VLOOKUP('Données projet'!$B$14,Paramètres!$A$1:$I$89,5,0)</f>
        <v>4.9658410716801891E-14</v>
      </c>
      <c r="DQ171" s="14">
        <f t="shared" si="176"/>
        <v>8.0934058173791862E-13</v>
      </c>
      <c r="DR171" s="22">
        <f t="shared" si="177"/>
        <v>1.4960899118586383E-12</v>
      </c>
      <c r="DS171" s="60">
        <f t="shared" si="125"/>
        <v>293.33333333333479</v>
      </c>
      <c r="DT171" s="60">
        <f ca="1">AVERAGE(OFFSET($DS$3,0,0,'Données projet'!$E$14+1,1))-AVERAGE(OFFSET($H$3,0,0,'Données projet'!$E$14+1,1))</f>
        <v>266.98113257513319</v>
      </c>
      <c r="DU171" s="60">
        <f t="shared" si="152"/>
        <v>275.73257102713393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0.24263779463369764</v>
      </c>
      <c r="EC171" s="23">
        <f>EXP(-LN(2)/2)*EC170+(1-EXP(-LN(2)/2))/(LN(2)/2)*DW171*DZ171*VLOOKUP('Données projet'!$B$14,Paramètres!$A$1:$I$89,3,0)*0.475*44/12</f>
        <v>1.7731107356443979E-20</v>
      </c>
      <c r="ED171" s="24">
        <f t="shared" si="178"/>
        <v>0.24263779463369764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1.1368683772161603E-13</v>
      </c>
      <c r="EK171" s="18">
        <f>EJ171*VLOOKUP('Données projet'!$B$15,Paramètres!$A$1:$I$89,3,0)*VLOOKUP('Données projet'!$B$15,Paramètres!$A$1:$I$89,5,0)</f>
        <v>1.2946657079737634E-13</v>
      </c>
      <c r="EL171" s="14">
        <f t="shared" si="179"/>
        <v>1.8873591890224769E-12</v>
      </c>
      <c r="EM171" s="22">
        <f t="shared" si="180"/>
        <v>3.5126381983529106E-12</v>
      </c>
      <c r="EN171" s="60">
        <f t="shared" si="128"/>
        <v>293.33333333333684</v>
      </c>
      <c r="EO171" s="60">
        <f ca="1">AVERAGE(OFFSET($EN$3,0,0,'Données projet'!$E$15+1,1))-AVERAGE(OFFSET($H$3,0,0,'Données projet'!$E$15+1,1))</f>
        <v>457.62828850677369</v>
      </c>
      <c r="EP171" s="60">
        <f t="shared" si="154"/>
        <v>282.78263556175563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1.1368683772161603E-13</v>
      </c>
      <c r="FF171" s="18">
        <f>FE171*VLOOKUP('Données projet'!$B$16,Paramètres!$A$1:$I$89,3,0)*VLOOKUP('Données projet'!$B$16,Paramètres!$A$1:$I$89,5,0)</f>
        <v>1.2414602679200469E-13</v>
      </c>
      <c r="FG171" s="14">
        <f t="shared" si="182"/>
        <v>1.8186582995804361E-12</v>
      </c>
      <c r="FH171" s="22">
        <f t="shared" si="183"/>
        <v>3.3837175350986671E-12</v>
      </c>
      <c r="FI171" s="60">
        <f t="shared" si="131"/>
        <v>293.33333333333672</v>
      </c>
      <c r="FJ171" s="60">
        <f ca="1">AVERAGE(OFFSET($FI$3,0,0,'Données projet'!$E$16+1,1))-AVERAGE(OFFSET($H$3,0,0,'Données projet'!$E$16+1,1))</f>
        <v>440.52623925652182</v>
      </c>
      <c r="FK171" s="60">
        <f t="shared" si="156"/>
        <v>272.91122662088918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3.4106051316484809E-13</v>
      </c>
      <c r="GA171" s="18">
        <f>FZ171*VLOOKUP('Données projet'!$B$17,Paramètres!$A$1:$I$89,3,0)*VLOOKUP('Données projet'!$B$17,Paramètres!$A$1:$I$89,5,0)</f>
        <v>1.5961632016114892E-13</v>
      </c>
      <c r="GB171" s="14">
        <f t="shared" si="185"/>
        <v>2.2708641912150958E-12</v>
      </c>
      <c r="GC171" s="22">
        <f t="shared" si="186"/>
        <v>4.2330868906469593E-12</v>
      </c>
      <c r="GD171" s="60">
        <f t="shared" si="134"/>
        <v>293.33333333333752</v>
      </c>
      <c r="GE171" s="60">
        <f ca="1">AVERAGE(OFFSET($GD$3,0,0,'Données projet'!$E$17+1,1))-AVERAGE(OFFSET($H$3,0,0,'Données projet'!$E$17+1,1))</f>
        <v>317.54276561627643</v>
      </c>
      <c r="GF171" s="60">
        <f t="shared" si="158"/>
        <v>238.92443174298893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>
        <f>GU171*VLOOKUP('Données projet'!$B$18,Paramètres!$A$1:$I$89,3,0)*VLOOKUP('Données projet'!$B$18,Paramètres!$A$1:$I$89,5,0)</f>
        <v>0</v>
      </c>
      <c r="GW171" s="14" t="e">
        <f t="shared" si="188"/>
        <v>#NUM!</v>
      </c>
      <c r="GX171" s="22" t="e">
        <f t="shared" si="189"/>
        <v>#NUM!</v>
      </c>
      <c r="GY171" s="60" t="e">
        <f t="shared" si="137"/>
        <v>#NUM!</v>
      </c>
      <c r="GZ171" s="60">
        <f ca="1">AVERAGE(OFFSET($GY$3,0,0,'Données projet'!$E$18+1,1))-AVERAGE(OFFSET($H$3,0,0,'Données projet'!$E$18+1,1))</f>
        <v>79.868679770907136</v>
      </c>
      <c r="HA171" s="60">
        <f t="shared" si="160"/>
        <v>370.47471103028312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4.0401621175837139</v>
      </c>
      <c r="HH171" s="23">
        <f>EXP(-LN(2)/25)*HH170+(1-EXP(-LN(2)/25))/(LN(2)/25)*Calculateur!HC171*Calculateur!HE171*VLOOKUP('Données projet'!$B$18,Paramètres!$A$1:$I$89,3,0)*0.475*44/12</f>
        <v>0.32921672995805856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4.3693788475417721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0">
        <f t="shared" si="109"/>
        <v>293.33333333333439</v>
      </c>
      <c r="S172" s="60">
        <f ca="1">AVERAGE(OFFSET($R$3,0,0,'Données projet'!$E$9+1,1))-AVERAGE(OFFSET($H$3,0,0,'Données projet'!$E$9+1,1))</f>
        <v>206.5885410269899</v>
      </c>
      <c r="T172" s="60">
        <f t="shared" si="142"/>
        <v>347.41156847586302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3.3992364478763198E-14</v>
      </c>
      <c r="AK172" s="14">
        <f t="shared" si="164"/>
        <v>5.790027782444094E-13</v>
      </c>
      <c r="AL172" s="22">
        <f t="shared" si="165"/>
        <v>1.0676332069095257E-12</v>
      </c>
      <c r="AM172" s="60">
        <f t="shared" si="113"/>
        <v>293.33333333333439</v>
      </c>
      <c r="AN172" s="60">
        <f ca="1">AVERAGE(OFFSET($AM$3,0,0,'Données projet'!$E$10+1,1))-AVERAGE(OFFSET($H$3,0,0,'Données projet'!$E$10+1,1))</f>
        <v>206.5885410269899</v>
      </c>
      <c r="AO172" s="60">
        <f t="shared" si="144"/>
        <v>347.41156847586302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6.9736167700600209</v>
      </c>
      <c r="AV172" s="23">
        <f>EXP(-LN(2)/25)*AV171+(1-EXP(-LN(2)/25))/(LN(2)/25)*Calculateur!AQ172*Calculateur!AS172*VLOOKUP('Données projet'!$B$10,Paramètres!$A$1:$I$89,3,0)*0.475*44/12</f>
        <v>7.0863023200116948E-2</v>
      </c>
      <c r="AW172" s="23">
        <f>EXP(-LN(2)/2)*AW171+(1-EXP(-LN(2)/2))/(LN(2)/2)*AQ172*AT172*VLOOKUP('Données projet'!$B$10,Paramètres!$A$1:$I$89,3,0)*0.475*44/12</f>
        <v>1.3194931851999504E-18</v>
      </c>
      <c r="AX172" s="23">
        <f t="shared" si="166"/>
        <v>7.0444797932601375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1.0818439477588981E-13</v>
      </c>
      <c r="BF172" s="14">
        <f t="shared" si="167"/>
        <v>1.6104228458716316E-12</v>
      </c>
      <c r="BG172" s="22">
        <f t="shared" si="168"/>
        <v>2.9932409441277661E-12</v>
      </c>
      <c r="BH172" s="60">
        <f t="shared" si="116"/>
        <v>293.33333333333633</v>
      </c>
      <c r="BI172" s="60">
        <f ca="1">AVERAGE(OFFSET($BH$3,0,0,'Données projet'!$E$11+1,1))-AVERAGE(OFFSET($H$3,0,0,'Données projet'!$E$11+1,1))</f>
        <v>389.12604446638119</v>
      </c>
      <c r="BJ172" s="60">
        <f t="shared" si="146"/>
        <v>243.23852967152732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1.0286385077051818E-13</v>
      </c>
      <c r="CA172" s="14">
        <f t="shared" si="170"/>
        <v>1.5402366592183556E-12</v>
      </c>
      <c r="CB172" s="22">
        <f t="shared" si="171"/>
        <v>2.8617333882306215E-12</v>
      </c>
      <c r="CC172" s="60">
        <f t="shared" si="119"/>
        <v>293.33333333333616</v>
      </c>
      <c r="CD172" s="60">
        <f ca="1">AVERAGE(OFFSET($CC$3,0,0,'Données projet'!$E$12+1,1))-AVERAGE(OFFSET($H$3,0,0,'Données projet'!$E$12+1,1))</f>
        <v>371.95849973474657</v>
      </c>
      <c r="CE172" s="60">
        <f t="shared" si="148"/>
        <v>233.32640143610547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2.2921640245043907E-20</v>
      </c>
      <c r="CN172" s="24">
        <f t="shared" si="172"/>
        <v>2.2921640245043907E-20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1.0995790944434703E-13</v>
      </c>
      <c r="CV172" s="14">
        <f t="shared" si="173"/>
        <v>1.6337280948049956E-12</v>
      </c>
      <c r="CW172" s="22">
        <f t="shared" si="174"/>
        <v>3.036919790734272E-12</v>
      </c>
      <c r="CX172" s="60">
        <f t="shared" si="122"/>
        <v>293.33333333333633</v>
      </c>
      <c r="CY172" s="60">
        <f ca="1">AVERAGE(OFFSET($CX$3,0,0,'Données projet'!$E$13+1,1))-AVERAGE(OFFSET($H$3,0,0,'Données projet'!$E$13+1,1))</f>
        <v>394.8445842828649</v>
      </c>
      <c r="CZ172" s="60">
        <f t="shared" si="150"/>
        <v>246.54010105494143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2.4502443020564191E-20</v>
      </c>
      <c r="DI172" s="24">
        <f t="shared" si="175"/>
        <v>2.4502443020564191E-20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5.6843418860808015E-14</v>
      </c>
      <c r="DP172" s="18">
        <f>DO172*VLOOKUP('Données projet'!$B$14,Paramètres!$A$1:$I$89,3,0)*VLOOKUP('Données projet'!$B$14,Paramètres!$A$1:$I$89,5,0)</f>
        <v>4.9658410716801891E-14</v>
      </c>
      <c r="DQ172" s="14">
        <f t="shared" si="176"/>
        <v>8.0934058173791862E-13</v>
      </c>
      <c r="DR172" s="22">
        <f t="shared" si="177"/>
        <v>1.4960899118586383E-12</v>
      </c>
      <c r="DS172" s="60">
        <f t="shared" si="125"/>
        <v>293.33333333333479</v>
      </c>
      <c r="DT172" s="60">
        <f ca="1">AVERAGE(OFFSET($DS$3,0,0,'Données projet'!$E$14+1,1))-AVERAGE(OFFSET($H$3,0,0,'Données projet'!$E$14+1,1))</f>
        <v>266.98113257513319</v>
      </c>
      <c r="DU172" s="60">
        <f t="shared" si="152"/>
        <v>275.73257102713393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0.23600285137967211</v>
      </c>
      <c r="EC172" s="23">
        <f>EXP(-LN(2)/2)*EC171+(1-EXP(-LN(2)/2))/(LN(2)/2)*DW172*DZ172*VLOOKUP('Données projet'!$B$14,Paramètres!$A$1:$I$89,3,0)*0.475*44/12</f>
        <v>1.2537786249688216E-20</v>
      </c>
      <c r="ED172" s="24">
        <f t="shared" si="178"/>
        <v>0.23600285137967211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1.1368683772161603E-13</v>
      </c>
      <c r="EK172" s="18">
        <f>EJ172*VLOOKUP('Données projet'!$B$15,Paramètres!$A$1:$I$89,3,0)*VLOOKUP('Données projet'!$B$15,Paramètres!$A$1:$I$89,5,0)</f>
        <v>1.2946657079737634E-13</v>
      </c>
      <c r="EL172" s="14">
        <f t="shared" si="179"/>
        <v>1.8873591890224769E-12</v>
      </c>
      <c r="EM172" s="22">
        <f t="shared" si="180"/>
        <v>3.5126381983529106E-12</v>
      </c>
      <c r="EN172" s="60">
        <f t="shared" si="128"/>
        <v>293.33333333333684</v>
      </c>
      <c r="EO172" s="60">
        <f ca="1">AVERAGE(OFFSET($EN$3,0,0,'Données projet'!$E$15+1,1))-AVERAGE(OFFSET($H$3,0,0,'Données projet'!$E$15+1,1))</f>
        <v>457.62828850677369</v>
      </c>
      <c r="EP172" s="60">
        <f t="shared" si="154"/>
        <v>282.78263556175563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1.1368683772161603E-13</v>
      </c>
      <c r="FF172" s="18">
        <f>FE172*VLOOKUP('Données projet'!$B$16,Paramètres!$A$1:$I$89,3,0)*VLOOKUP('Données projet'!$B$16,Paramètres!$A$1:$I$89,5,0)</f>
        <v>1.2414602679200469E-13</v>
      </c>
      <c r="FG172" s="14">
        <f t="shared" si="182"/>
        <v>1.8186582995804361E-12</v>
      </c>
      <c r="FH172" s="22">
        <f t="shared" si="183"/>
        <v>3.3837175350986671E-12</v>
      </c>
      <c r="FI172" s="60">
        <f t="shared" si="131"/>
        <v>293.33333333333672</v>
      </c>
      <c r="FJ172" s="60">
        <f ca="1">AVERAGE(OFFSET($FI$3,0,0,'Données projet'!$E$16+1,1))-AVERAGE(OFFSET($H$3,0,0,'Données projet'!$E$16+1,1))</f>
        <v>440.52623925652182</v>
      </c>
      <c r="FK172" s="60">
        <f t="shared" si="156"/>
        <v>272.91122662088918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3.4106051316484809E-13</v>
      </c>
      <c r="GA172" s="18">
        <f>FZ172*VLOOKUP('Données projet'!$B$17,Paramètres!$A$1:$I$89,3,0)*VLOOKUP('Données projet'!$B$17,Paramètres!$A$1:$I$89,5,0)</f>
        <v>1.5961632016114892E-13</v>
      </c>
      <c r="GB172" s="14">
        <f t="shared" si="185"/>
        <v>2.2708641912150958E-12</v>
      </c>
      <c r="GC172" s="22">
        <f t="shared" si="186"/>
        <v>4.2330868906469593E-12</v>
      </c>
      <c r="GD172" s="60">
        <f t="shared" si="134"/>
        <v>293.33333333333752</v>
      </c>
      <c r="GE172" s="60">
        <f ca="1">AVERAGE(OFFSET($GD$3,0,0,'Données projet'!$E$17+1,1))-AVERAGE(OFFSET($H$3,0,0,'Données projet'!$E$17+1,1))</f>
        <v>317.54276561627643</v>
      </c>
      <c r="GF172" s="60">
        <f t="shared" si="158"/>
        <v>238.92443174298893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>
        <f>GU172*VLOOKUP('Données projet'!$B$18,Paramètres!$A$1:$I$89,3,0)*VLOOKUP('Données projet'!$B$18,Paramètres!$A$1:$I$89,5,0)</f>
        <v>0</v>
      </c>
      <c r="GW172" s="14" t="e">
        <f t="shared" si="188"/>
        <v>#NUM!</v>
      </c>
      <c r="GX172" s="22" t="e">
        <f t="shared" si="189"/>
        <v>#NUM!</v>
      </c>
      <c r="GY172" s="60" t="e">
        <f t="shared" si="137"/>
        <v>#NUM!</v>
      </c>
      <c r="GZ172" s="60">
        <f ca="1">AVERAGE(OFFSET($GY$3,0,0,'Données projet'!$E$18+1,1))-AVERAGE(OFFSET($H$3,0,0,'Données projet'!$E$18+1,1))</f>
        <v>79.868679770907136</v>
      </c>
      <c r="HA172" s="60">
        <f t="shared" si="160"/>
        <v>370.47471103028312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3.9609370027134641</v>
      </c>
      <c r="HH172" s="23">
        <f>EXP(-LN(2)/25)*HH171+(1-EXP(-LN(2)/25))/(LN(2)/25)*Calculateur!HC172*Calculateur!HE172*VLOOKUP('Données projet'!$B$18,Paramètres!$A$1:$I$89,3,0)*0.475*44/12</f>
        <v>0.32021428116460005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4.2811512838780637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0">
        <f t="shared" si="109"/>
        <v>293.33333333333439</v>
      </c>
      <c r="S173" s="60">
        <f ca="1">AVERAGE(OFFSET($R$3,0,0,'Données projet'!$E$9+1,1))-AVERAGE(OFFSET($H$3,0,0,'Données projet'!$E$9+1,1))</f>
        <v>206.5885410269899</v>
      </c>
      <c r="T173" s="60">
        <f t="shared" si="142"/>
        <v>347.41156847586302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3.3992364478763198E-14</v>
      </c>
      <c r="AK173" s="14">
        <f t="shared" si="164"/>
        <v>5.790027782444094E-13</v>
      </c>
      <c r="AL173" s="22">
        <f t="shared" si="165"/>
        <v>1.0676332069095257E-12</v>
      </c>
      <c r="AM173" s="60">
        <f t="shared" si="113"/>
        <v>293.33333333333439</v>
      </c>
      <c r="AN173" s="60">
        <f ca="1">AVERAGE(OFFSET($AM$3,0,0,'Données projet'!$E$10+1,1))-AVERAGE(OFFSET($H$3,0,0,'Données projet'!$E$10+1,1))</f>
        <v>206.5885410269899</v>
      </c>
      <c r="AO173" s="60">
        <f t="shared" si="144"/>
        <v>347.41156847586302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6.8368683986853771</v>
      </c>
      <c r="AV173" s="23">
        <f>EXP(-LN(2)/25)*AV172+(1-EXP(-LN(2)/25))/(LN(2)/25)*Calculateur!AQ173*Calculateur!AS173*VLOOKUP('Données projet'!$B$10,Paramètres!$A$1:$I$89,3,0)*0.475*44/12</f>
        <v>6.8925270104185324E-2</v>
      </c>
      <c r="AW173" s="23">
        <f>EXP(-LN(2)/2)*AW172+(1-EXP(-LN(2)/2))/(LN(2)/2)*AQ173*AT173*VLOOKUP('Données projet'!$B$10,Paramètres!$A$1:$I$89,3,0)*0.475*44/12</f>
        <v>9.3302257898432196E-19</v>
      </c>
      <c r="AX173" s="23">
        <f t="shared" si="166"/>
        <v>6.9057936687895625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1.0818439477588981E-13</v>
      </c>
      <c r="BF173" s="14">
        <f t="shared" si="167"/>
        <v>1.6104228458716316E-12</v>
      </c>
      <c r="BG173" s="22">
        <f t="shared" si="168"/>
        <v>2.9932409441277661E-12</v>
      </c>
      <c r="BH173" s="60">
        <f t="shared" si="116"/>
        <v>293.33333333333633</v>
      </c>
      <c r="BI173" s="60">
        <f ca="1">AVERAGE(OFFSET($BH$3,0,0,'Données projet'!$E$11+1,1))-AVERAGE(OFFSET($H$3,0,0,'Données projet'!$E$11+1,1))</f>
        <v>389.12604446638119</v>
      </c>
      <c r="BJ173" s="60">
        <f t="shared" si="146"/>
        <v>243.23852967152732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1.0286385077051818E-13</v>
      </c>
      <c r="CA173" s="14">
        <f t="shared" si="170"/>
        <v>1.5402366592183556E-12</v>
      </c>
      <c r="CB173" s="22">
        <f t="shared" si="171"/>
        <v>2.8617333882306215E-12</v>
      </c>
      <c r="CC173" s="60">
        <f t="shared" si="119"/>
        <v>293.33333333333616</v>
      </c>
      <c r="CD173" s="60">
        <f ca="1">AVERAGE(OFFSET($CC$3,0,0,'Données projet'!$E$12+1,1))-AVERAGE(OFFSET($H$3,0,0,'Données projet'!$E$12+1,1))</f>
        <v>371.95849973474657</v>
      </c>
      <c r="CE173" s="60">
        <f t="shared" si="148"/>
        <v>233.32640143610547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1.6208047253189023E-20</v>
      </c>
      <c r="CN173" s="24">
        <f t="shared" si="172"/>
        <v>1.6208047253189023E-20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1.0995790944434703E-13</v>
      </c>
      <c r="CV173" s="14">
        <f t="shared" si="173"/>
        <v>1.6337280948049956E-12</v>
      </c>
      <c r="CW173" s="22">
        <f t="shared" si="174"/>
        <v>3.036919790734272E-12</v>
      </c>
      <c r="CX173" s="60">
        <f t="shared" si="122"/>
        <v>293.33333333333633</v>
      </c>
      <c r="CY173" s="60">
        <f ca="1">AVERAGE(OFFSET($CX$3,0,0,'Données projet'!$E$13+1,1))-AVERAGE(OFFSET($H$3,0,0,'Données projet'!$E$13+1,1))</f>
        <v>394.8445842828649</v>
      </c>
      <c r="CZ173" s="60">
        <f t="shared" si="150"/>
        <v>246.54010105494143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1.7325843615477932E-20</v>
      </c>
      <c r="DI173" s="24">
        <f t="shared" si="175"/>
        <v>1.7325843615477932E-20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5.6843418860808015E-14</v>
      </c>
      <c r="DP173" s="18">
        <f>DO173*VLOOKUP('Données projet'!$B$14,Paramètres!$A$1:$I$89,3,0)*VLOOKUP('Données projet'!$B$14,Paramètres!$A$1:$I$89,5,0)</f>
        <v>4.9658410716801891E-14</v>
      </c>
      <c r="DQ173" s="14">
        <f t="shared" si="176"/>
        <v>8.0934058173791862E-13</v>
      </c>
      <c r="DR173" s="22">
        <f t="shared" si="177"/>
        <v>1.4960899118586383E-12</v>
      </c>
      <c r="DS173" s="60">
        <f t="shared" si="125"/>
        <v>293.33333333333479</v>
      </c>
      <c r="DT173" s="60">
        <f ca="1">AVERAGE(OFFSET($DS$3,0,0,'Données projet'!$E$14+1,1))-AVERAGE(OFFSET($H$3,0,0,'Données projet'!$E$14+1,1))</f>
        <v>266.98113257513319</v>
      </c>
      <c r="DU173" s="60">
        <f t="shared" si="152"/>
        <v>275.73257102713393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0.22954934099784441</v>
      </c>
      <c r="EC173" s="23">
        <f>EXP(-LN(2)/2)*EC172+(1-EXP(-LN(2)/2))/(LN(2)/2)*DW173*DZ173*VLOOKUP('Données projet'!$B$14,Paramètres!$A$1:$I$89,3,0)*0.475*44/12</f>
        <v>8.8655536782219894E-21</v>
      </c>
      <c r="ED173" s="24">
        <f t="shared" si="178"/>
        <v>0.22954934099784441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1.1368683772161603E-13</v>
      </c>
      <c r="EK173" s="18">
        <f>EJ173*VLOOKUP('Données projet'!$B$15,Paramètres!$A$1:$I$89,3,0)*VLOOKUP('Données projet'!$B$15,Paramètres!$A$1:$I$89,5,0)</f>
        <v>1.2946657079737634E-13</v>
      </c>
      <c r="EL173" s="14">
        <f t="shared" si="179"/>
        <v>1.8873591890224769E-12</v>
      </c>
      <c r="EM173" s="22">
        <f t="shared" si="180"/>
        <v>3.5126381983529106E-12</v>
      </c>
      <c r="EN173" s="60">
        <f t="shared" si="128"/>
        <v>293.33333333333684</v>
      </c>
      <c r="EO173" s="60">
        <f ca="1">AVERAGE(OFFSET($EN$3,0,0,'Données projet'!$E$15+1,1))-AVERAGE(OFFSET($H$3,0,0,'Données projet'!$E$15+1,1))</f>
        <v>457.62828850677369</v>
      </c>
      <c r="EP173" s="60">
        <f t="shared" si="154"/>
        <v>282.78263556175563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1.1368683772161603E-13</v>
      </c>
      <c r="FF173" s="18">
        <f>FE173*VLOOKUP('Données projet'!$B$16,Paramètres!$A$1:$I$89,3,0)*VLOOKUP('Données projet'!$B$16,Paramètres!$A$1:$I$89,5,0)</f>
        <v>1.2414602679200469E-13</v>
      </c>
      <c r="FG173" s="14">
        <f t="shared" si="182"/>
        <v>1.8186582995804361E-12</v>
      </c>
      <c r="FH173" s="22">
        <f t="shared" si="183"/>
        <v>3.3837175350986671E-12</v>
      </c>
      <c r="FI173" s="60">
        <f t="shared" si="131"/>
        <v>293.33333333333672</v>
      </c>
      <c r="FJ173" s="60">
        <f ca="1">AVERAGE(OFFSET($FI$3,0,0,'Données projet'!$E$16+1,1))-AVERAGE(OFFSET($H$3,0,0,'Données projet'!$E$16+1,1))</f>
        <v>440.52623925652182</v>
      </c>
      <c r="FK173" s="60">
        <f t="shared" si="156"/>
        <v>272.91122662088918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3.4106051316484809E-13</v>
      </c>
      <c r="GA173" s="18">
        <f>FZ173*VLOOKUP('Données projet'!$B$17,Paramètres!$A$1:$I$89,3,0)*VLOOKUP('Données projet'!$B$17,Paramètres!$A$1:$I$89,5,0)</f>
        <v>1.5961632016114892E-13</v>
      </c>
      <c r="GB173" s="14">
        <f t="shared" si="185"/>
        <v>2.2708641912150958E-12</v>
      </c>
      <c r="GC173" s="22">
        <f t="shared" si="186"/>
        <v>4.2330868906469593E-12</v>
      </c>
      <c r="GD173" s="60">
        <f t="shared" si="134"/>
        <v>293.33333333333752</v>
      </c>
      <c r="GE173" s="60">
        <f ca="1">AVERAGE(OFFSET($GD$3,0,0,'Données projet'!$E$17+1,1))-AVERAGE(OFFSET($H$3,0,0,'Données projet'!$E$17+1,1))</f>
        <v>317.54276561627643</v>
      </c>
      <c r="GF173" s="60">
        <f t="shared" si="158"/>
        <v>238.92443174298893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>
        <f>GU173*VLOOKUP('Données projet'!$B$18,Paramètres!$A$1:$I$89,3,0)*VLOOKUP('Données projet'!$B$18,Paramètres!$A$1:$I$89,5,0)</f>
        <v>0</v>
      </c>
      <c r="GW173" s="14" t="e">
        <f t="shared" si="188"/>
        <v>#NUM!</v>
      </c>
      <c r="GX173" s="22" t="e">
        <f t="shared" si="189"/>
        <v>#NUM!</v>
      </c>
      <c r="GY173" s="60" t="e">
        <f t="shared" si="137"/>
        <v>#NUM!</v>
      </c>
      <c r="GZ173" s="60">
        <f ca="1">AVERAGE(OFFSET($GY$3,0,0,'Données projet'!$E$18+1,1))-AVERAGE(OFFSET($H$3,0,0,'Données projet'!$E$18+1,1))</f>
        <v>79.868679770907136</v>
      </c>
      <c r="HA173" s="60">
        <f t="shared" si="160"/>
        <v>370.47471103028312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3.8832654440232712</v>
      </c>
      <c r="HH173" s="23">
        <f>EXP(-LN(2)/25)*HH172+(1-EXP(-LN(2)/25))/(LN(2)/25)*Calculateur!HC173*Calculateur!HE173*VLOOKUP('Données projet'!$B$18,Paramètres!$A$1:$I$89,3,0)*0.475*44/12</f>
        <v>0.31145800480681685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4.1947234488300884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0">
        <f t="shared" si="109"/>
        <v>293.33333333333439</v>
      </c>
      <c r="S174" s="60">
        <f ca="1">AVERAGE(OFFSET($R$3,0,0,'Données projet'!$E$9+1,1))-AVERAGE(OFFSET($H$3,0,0,'Données projet'!$E$9+1,1))</f>
        <v>206.5885410269899</v>
      </c>
      <c r="T174" s="60">
        <f t="shared" si="142"/>
        <v>347.41156847586302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3.3992364478763198E-14</v>
      </c>
      <c r="AK174" s="14">
        <f t="shared" si="164"/>
        <v>5.790027782444094E-13</v>
      </c>
      <c r="AL174" s="22">
        <f t="shared" si="165"/>
        <v>1.0676332069095257E-12</v>
      </c>
      <c r="AM174" s="60">
        <f t="shared" si="113"/>
        <v>293.33333333333439</v>
      </c>
      <c r="AN174" s="60">
        <f ca="1">AVERAGE(OFFSET($AM$3,0,0,'Données projet'!$E$10+1,1))-AVERAGE(OFFSET($H$3,0,0,'Données projet'!$E$10+1,1))</f>
        <v>206.5885410269899</v>
      </c>
      <c r="AO174" s="60">
        <f t="shared" si="144"/>
        <v>347.41156847586302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6.7028015794651195</v>
      </c>
      <c r="AV174" s="23">
        <f>EXP(-LN(2)/25)*AV173+(1-EXP(-LN(2)/25))/(LN(2)/25)*Calculateur!AQ174*Calculateur!AS174*VLOOKUP('Données projet'!$B$10,Paramètres!$A$1:$I$89,3,0)*0.475*44/12</f>
        <v>6.7040504968563952E-2</v>
      </c>
      <c r="AW174" s="23">
        <f>EXP(-LN(2)/2)*AW173+(1-EXP(-LN(2)/2))/(LN(2)/2)*AQ174*AT174*VLOOKUP('Données projet'!$B$10,Paramètres!$A$1:$I$89,3,0)*0.475*44/12</f>
        <v>6.597465925999752E-19</v>
      </c>
      <c r="AX174" s="23">
        <f t="shared" si="166"/>
        <v>6.7698420844336837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1.0818439477588981E-13</v>
      </c>
      <c r="BF174" s="14">
        <f t="shared" si="167"/>
        <v>1.6104228458716316E-12</v>
      </c>
      <c r="BG174" s="22">
        <f t="shared" si="168"/>
        <v>2.9932409441277661E-12</v>
      </c>
      <c r="BH174" s="60">
        <f t="shared" si="116"/>
        <v>293.33333333333633</v>
      </c>
      <c r="BI174" s="60">
        <f ca="1">AVERAGE(OFFSET($BH$3,0,0,'Données projet'!$E$11+1,1))-AVERAGE(OFFSET($H$3,0,0,'Données projet'!$E$11+1,1))</f>
        <v>389.12604446638119</v>
      </c>
      <c r="BJ174" s="60">
        <f t="shared" si="146"/>
        <v>243.23852967152732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1.0286385077051818E-13</v>
      </c>
      <c r="CA174" s="14">
        <f t="shared" si="170"/>
        <v>1.5402366592183556E-12</v>
      </c>
      <c r="CB174" s="22">
        <f t="shared" si="171"/>
        <v>2.8617333882306215E-12</v>
      </c>
      <c r="CC174" s="60">
        <f t="shared" si="119"/>
        <v>293.33333333333616</v>
      </c>
      <c r="CD174" s="60">
        <f ca="1">AVERAGE(OFFSET($CC$3,0,0,'Données projet'!$E$12+1,1))-AVERAGE(OFFSET($H$3,0,0,'Données projet'!$E$12+1,1))</f>
        <v>371.95849973474657</v>
      </c>
      <c r="CE174" s="60">
        <f t="shared" si="148"/>
        <v>233.32640143610547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1.1460820122521953E-20</v>
      </c>
      <c r="CN174" s="24">
        <f t="shared" si="172"/>
        <v>1.1460820122521953E-20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1.0995790944434703E-13</v>
      </c>
      <c r="CV174" s="14">
        <f t="shared" si="173"/>
        <v>1.6337280948049956E-12</v>
      </c>
      <c r="CW174" s="22">
        <f t="shared" si="174"/>
        <v>3.036919790734272E-12</v>
      </c>
      <c r="CX174" s="60">
        <f t="shared" si="122"/>
        <v>293.33333333333633</v>
      </c>
      <c r="CY174" s="60">
        <f ca="1">AVERAGE(OFFSET($CX$3,0,0,'Données projet'!$E$13+1,1))-AVERAGE(OFFSET($H$3,0,0,'Données projet'!$E$13+1,1))</f>
        <v>394.8445842828649</v>
      </c>
      <c r="CZ174" s="60">
        <f t="shared" si="150"/>
        <v>246.54010105494143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1.2251221510282096E-20</v>
      </c>
      <c r="DI174" s="24">
        <f t="shared" si="175"/>
        <v>1.2251221510282096E-20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5.6843418860808015E-14</v>
      </c>
      <c r="DP174" s="18">
        <f>DO174*VLOOKUP('Données projet'!$B$14,Paramètres!$A$1:$I$89,3,0)*VLOOKUP('Données projet'!$B$14,Paramètres!$A$1:$I$89,5,0)</f>
        <v>4.9658410716801891E-14</v>
      </c>
      <c r="DQ174" s="14">
        <f t="shared" si="176"/>
        <v>8.0934058173791862E-13</v>
      </c>
      <c r="DR174" s="22">
        <f t="shared" si="177"/>
        <v>1.4960899118586383E-12</v>
      </c>
      <c r="DS174" s="60">
        <f t="shared" si="125"/>
        <v>293.33333333333479</v>
      </c>
      <c r="DT174" s="60">
        <f ca="1">AVERAGE(OFFSET($DS$3,0,0,'Données projet'!$E$14+1,1))-AVERAGE(OFFSET($H$3,0,0,'Données projet'!$E$14+1,1))</f>
        <v>266.98113257513319</v>
      </c>
      <c r="DU174" s="60">
        <f t="shared" si="152"/>
        <v>275.73257102713393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0.22327230219678315</v>
      </c>
      <c r="EC174" s="23">
        <f>EXP(-LN(2)/2)*EC173+(1-EXP(-LN(2)/2))/(LN(2)/2)*DW174*DZ174*VLOOKUP('Données projet'!$B$14,Paramètres!$A$1:$I$89,3,0)*0.475*44/12</f>
        <v>6.2688931248441079E-21</v>
      </c>
      <c r="ED174" s="24">
        <f t="shared" si="178"/>
        <v>0.22327230219678315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1.1368683772161603E-13</v>
      </c>
      <c r="EK174" s="18">
        <f>EJ174*VLOOKUP('Données projet'!$B$15,Paramètres!$A$1:$I$89,3,0)*VLOOKUP('Données projet'!$B$15,Paramètres!$A$1:$I$89,5,0)</f>
        <v>1.2946657079737634E-13</v>
      </c>
      <c r="EL174" s="14">
        <f t="shared" si="179"/>
        <v>1.8873591890224769E-12</v>
      </c>
      <c r="EM174" s="22">
        <f t="shared" si="180"/>
        <v>3.5126381983529106E-12</v>
      </c>
      <c r="EN174" s="60">
        <f t="shared" si="128"/>
        <v>293.33333333333684</v>
      </c>
      <c r="EO174" s="60">
        <f ca="1">AVERAGE(OFFSET($EN$3,0,0,'Données projet'!$E$15+1,1))-AVERAGE(OFFSET($H$3,0,0,'Données projet'!$E$15+1,1))</f>
        <v>457.62828850677369</v>
      </c>
      <c r="EP174" s="60">
        <f t="shared" si="154"/>
        <v>282.78263556175563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1.1368683772161603E-13</v>
      </c>
      <c r="FF174" s="18">
        <f>FE174*VLOOKUP('Données projet'!$B$16,Paramètres!$A$1:$I$89,3,0)*VLOOKUP('Données projet'!$B$16,Paramètres!$A$1:$I$89,5,0)</f>
        <v>1.2414602679200469E-13</v>
      </c>
      <c r="FG174" s="14">
        <f t="shared" si="182"/>
        <v>1.8186582995804361E-12</v>
      </c>
      <c r="FH174" s="22">
        <f t="shared" si="183"/>
        <v>3.3837175350986671E-12</v>
      </c>
      <c r="FI174" s="60">
        <f t="shared" si="131"/>
        <v>293.33333333333672</v>
      </c>
      <c r="FJ174" s="60">
        <f ca="1">AVERAGE(OFFSET($FI$3,0,0,'Données projet'!$E$16+1,1))-AVERAGE(OFFSET($H$3,0,0,'Données projet'!$E$16+1,1))</f>
        <v>440.52623925652182</v>
      </c>
      <c r="FK174" s="60">
        <f t="shared" si="156"/>
        <v>272.91122662088918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3.4106051316484809E-13</v>
      </c>
      <c r="GA174" s="18">
        <f>FZ174*VLOOKUP('Données projet'!$B$17,Paramètres!$A$1:$I$89,3,0)*VLOOKUP('Données projet'!$B$17,Paramètres!$A$1:$I$89,5,0)</f>
        <v>1.5961632016114892E-13</v>
      </c>
      <c r="GB174" s="14">
        <f t="shared" si="185"/>
        <v>2.2708641912150958E-12</v>
      </c>
      <c r="GC174" s="22">
        <f t="shared" si="186"/>
        <v>4.2330868906469593E-12</v>
      </c>
      <c r="GD174" s="60">
        <f t="shared" si="134"/>
        <v>293.33333333333752</v>
      </c>
      <c r="GE174" s="60">
        <f ca="1">AVERAGE(OFFSET($GD$3,0,0,'Données projet'!$E$17+1,1))-AVERAGE(OFFSET($H$3,0,0,'Données projet'!$E$17+1,1))</f>
        <v>317.54276561627643</v>
      </c>
      <c r="GF174" s="60">
        <f t="shared" si="158"/>
        <v>238.92443174298893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>
        <f>GU174*VLOOKUP('Données projet'!$B$18,Paramètres!$A$1:$I$89,3,0)*VLOOKUP('Données projet'!$B$18,Paramètres!$A$1:$I$89,5,0)</f>
        <v>0</v>
      </c>
      <c r="GW174" s="14" t="e">
        <f t="shared" si="188"/>
        <v>#NUM!</v>
      </c>
      <c r="GX174" s="22" t="e">
        <f t="shared" si="189"/>
        <v>#NUM!</v>
      </c>
      <c r="GY174" s="60" t="e">
        <f t="shared" si="137"/>
        <v>#NUM!</v>
      </c>
      <c r="GZ174" s="60">
        <f ca="1">AVERAGE(OFFSET($GY$3,0,0,'Données projet'!$E$18+1,1))-AVERAGE(OFFSET($H$3,0,0,'Données projet'!$E$18+1,1))</f>
        <v>79.868679770907136</v>
      </c>
      <c r="HA174" s="60">
        <f t="shared" si="160"/>
        <v>370.47471103028312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3.8071169772240201</v>
      </c>
      <c r="HH174" s="23">
        <f>EXP(-LN(2)/25)*HH173+(1-EXP(-LN(2)/25))/(LN(2)/25)*Calculateur!HC174*Calculateur!HE174*VLOOKUP('Données projet'!$B$18,Paramètres!$A$1:$I$89,3,0)*0.475*44/12</f>
        <v>0.30294116928650983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4.1100581465105304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0">
        <f t="shared" si="109"/>
        <v>293.33333333333439</v>
      </c>
      <c r="S175" s="60">
        <f ca="1">AVERAGE(OFFSET($R$3,0,0,'Données projet'!$E$9+1,1))-AVERAGE(OFFSET($H$3,0,0,'Données projet'!$E$9+1,1))</f>
        <v>206.5885410269899</v>
      </c>
      <c r="T175" s="60">
        <f t="shared" si="142"/>
        <v>347.41156847586302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3.3992364478763198E-14</v>
      </c>
      <c r="AK175" s="14">
        <f t="shared" si="164"/>
        <v>5.790027782444094E-13</v>
      </c>
      <c r="AL175" s="22">
        <f t="shared" si="165"/>
        <v>1.0676332069095257E-12</v>
      </c>
      <c r="AM175" s="60">
        <f t="shared" si="113"/>
        <v>293.33333333333439</v>
      </c>
      <c r="AN175" s="60">
        <f ca="1">AVERAGE(OFFSET($AM$3,0,0,'Données projet'!$E$10+1,1))-AVERAGE(OFFSET($H$3,0,0,'Données projet'!$E$10+1,1))</f>
        <v>206.5885410269899</v>
      </c>
      <c r="AO175" s="60">
        <f t="shared" si="144"/>
        <v>347.41156847586302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6.5713637287970856</v>
      </c>
      <c r="AV175" s="23">
        <f>EXP(-LN(2)/25)*AV174+(1-EXP(-LN(2)/25))/(LN(2)/25)*Calculateur!AQ175*Calculateur!AS175*VLOOKUP('Données projet'!$B$10,Paramètres!$A$1:$I$89,3,0)*0.475*44/12</f>
        <v>6.5207278834691643E-2</v>
      </c>
      <c r="AW175" s="23">
        <f>EXP(-LN(2)/2)*AW174+(1-EXP(-LN(2)/2))/(LN(2)/2)*AQ175*AT175*VLOOKUP('Données projet'!$B$10,Paramètres!$A$1:$I$89,3,0)*0.475*44/12</f>
        <v>4.6651128949216098E-19</v>
      </c>
      <c r="AX175" s="23">
        <f t="shared" si="166"/>
        <v>6.636571007631777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1.0818439477588981E-13</v>
      </c>
      <c r="BF175" s="14">
        <f t="shared" si="167"/>
        <v>1.6104228458716316E-12</v>
      </c>
      <c r="BG175" s="22">
        <f t="shared" si="168"/>
        <v>2.9932409441277661E-12</v>
      </c>
      <c r="BH175" s="60">
        <f t="shared" si="116"/>
        <v>293.33333333333633</v>
      </c>
      <c r="BI175" s="60">
        <f ca="1">AVERAGE(OFFSET($BH$3,0,0,'Données projet'!$E$11+1,1))-AVERAGE(OFFSET($H$3,0,0,'Données projet'!$E$11+1,1))</f>
        <v>389.12604446638119</v>
      </c>
      <c r="BJ175" s="60">
        <f t="shared" si="146"/>
        <v>243.23852967152732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1.0286385077051818E-13</v>
      </c>
      <c r="CA175" s="14">
        <f t="shared" si="170"/>
        <v>1.5402366592183556E-12</v>
      </c>
      <c r="CB175" s="22">
        <f t="shared" si="171"/>
        <v>2.8617333882306215E-12</v>
      </c>
      <c r="CC175" s="60">
        <f t="shared" si="119"/>
        <v>293.33333333333616</v>
      </c>
      <c r="CD175" s="60">
        <f ca="1">AVERAGE(OFFSET($CC$3,0,0,'Données projet'!$E$12+1,1))-AVERAGE(OFFSET($H$3,0,0,'Données projet'!$E$12+1,1))</f>
        <v>371.95849973474657</v>
      </c>
      <c r="CE175" s="60">
        <f t="shared" si="148"/>
        <v>233.32640143610547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8.1040236265945115E-21</v>
      </c>
      <c r="CN175" s="24">
        <f t="shared" si="172"/>
        <v>8.1040236265945115E-21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1.0995790944434703E-13</v>
      </c>
      <c r="CV175" s="14">
        <f t="shared" si="173"/>
        <v>1.6337280948049956E-12</v>
      </c>
      <c r="CW175" s="22">
        <f t="shared" si="174"/>
        <v>3.036919790734272E-12</v>
      </c>
      <c r="CX175" s="60">
        <f t="shared" si="122"/>
        <v>293.33333333333633</v>
      </c>
      <c r="CY175" s="60">
        <f ca="1">AVERAGE(OFFSET($CX$3,0,0,'Données projet'!$E$13+1,1))-AVERAGE(OFFSET($H$3,0,0,'Données projet'!$E$13+1,1))</f>
        <v>394.8445842828649</v>
      </c>
      <c r="CZ175" s="60">
        <f t="shared" si="150"/>
        <v>246.54010105494143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8.6629218077389659E-21</v>
      </c>
      <c r="DI175" s="24">
        <f t="shared" si="175"/>
        <v>8.6629218077389659E-21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5.6843418860808015E-14</v>
      </c>
      <c r="DP175" s="18">
        <f>DO175*VLOOKUP('Données projet'!$B$14,Paramètres!$A$1:$I$89,3,0)*VLOOKUP('Données projet'!$B$14,Paramètres!$A$1:$I$89,5,0)</f>
        <v>4.9658410716801891E-14</v>
      </c>
      <c r="DQ175" s="14">
        <f t="shared" si="176"/>
        <v>8.0934058173791862E-13</v>
      </c>
      <c r="DR175" s="22">
        <f t="shared" si="177"/>
        <v>1.4960899118586383E-12</v>
      </c>
      <c r="DS175" s="60">
        <f t="shared" si="125"/>
        <v>293.33333333333479</v>
      </c>
      <c r="DT175" s="60">
        <f ca="1">AVERAGE(OFFSET($DS$3,0,0,'Données projet'!$E$14+1,1))-AVERAGE(OFFSET($H$3,0,0,'Données projet'!$E$14+1,1))</f>
        <v>266.98113257513319</v>
      </c>
      <c r="DU175" s="60">
        <f t="shared" si="152"/>
        <v>275.73257102713393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0.21716690935183203</v>
      </c>
      <c r="EC175" s="23">
        <f>EXP(-LN(2)/2)*EC174+(1-EXP(-LN(2)/2))/(LN(2)/2)*DW175*DZ175*VLOOKUP('Données projet'!$B$14,Paramètres!$A$1:$I$89,3,0)*0.475*44/12</f>
        <v>4.4327768391109947E-21</v>
      </c>
      <c r="ED175" s="24">
        <f t="shared" si="178"/>
        <v>0.21716690935183203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1.1368683772161603E-13</v>
      </c>
      <c r="EK175" s="18">
        <f>EJ175*VLOOKUP('Données projet'!$B$15,Paramètres!$A$1:$I$89,3,0)*VLOOKUP('Données projet'!$B$15,Paramètres!$A$1:$I$89,5,0)</f>
        <v>1.2946657079737634E-13</v>
      </c>
      <c r="EL175" s="14">
        <f t="shared" si="179"/>
        <v>1.8873591890224769E-12</v>
      </c>
      <c r="EM175" s="22">
        <f t="shared" si="180"/>
        <v>3.5126381983529106E-12</v>
      </c>
      <c r="EN175" s="60">
        <f t="shared" si="128"/>
        <v>293.33333333333684</v>
      </c>
      <c r="EO175" s="60">
        <f ca="1">AVERAGE(OFFSET($EN$3,0,0,'Données projet'!$E$15+1,1))-AVERAGE(OFFSET($H$3,0,0,'Données projet'!$E$15+1,1))</f>
        <v>457.62828850677369</v>
      </c>
      <c r="EP175" s="60">
        <f t="shared" si="154"/>
        <v>282.78263556175563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1.1368683772161603E-13</v>
      </c>
      <c r="FF175" s="18">
        <f>FE175*VLOOKUP('Données projet'!$B$16,Paramètres!$A$1:$I$89,3,0)*VLOOKUP('Données projet'!$B$16,Paramètres!$A$1:$I$89,5,0)</f>
        <v>1.2414602679200469E-13</v>
      </c>
      <c r="FG175" s="14">
        <f t="shared" si="182"/>
        <v>1.8186582995804361E-12</v>
      </c>
      <c r="FH175" s="22">
        <f t="shared" si="183"/>
        <v>3.3837175350986671E-12</v>
      </c>
      <c r="FI175" s="60">
        <f t="shared" si="131"/>
        <v>293.33333333333672</v>
      </c>
      <c r="FJ175" s="60">
        <f ca="1">AVERAGE(OFFSET($FI$3,0,0,'Données projet'!$E$16+1,1))-AVERAGE(OFFSET($H$3,0,0,'Données projet'!$E$16+1,1))</f>
        <v>440.52623925652182</v>
      </c>
      <c r="FK175" s="60">
        <f t="shared" si="156"/>
        <v>272.91122662088918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3.4106051316484809E-13</v>
      </c>
      <c r="GA175" s="18">
        <f>FZ175*VLOOKUP('Données projet'!$B$17,Paramètres!$A$1:$I$89,3,0)*VLOOKUP('Données projet'!$B$17,Paramètres!$A$1:$I$89,5,0)</f>
        <v>1.5961632016114892E-13</v>
      </c>
      <c r="GB175" s="14">
        <f t="shared" si="185"/>
        <v>2.2708641912150958E-12</v>
      </c>
      <c r="GC175" s="22">
        <f t="shared" si="186"/>
        <v>4.2330868906469593E-12</v>
      </c>
      <c r="GD175" s="60">
        <f t="shared" si="134"/>
        <v>293.33333333333752</v>
      </c>
      <c r="GE175" s="60">
        <f ca="1">AVERAGE(OFFSET($GD$3,0,0,'Données projet'!$E$17+1,1))-AVERAGE(OFFSET($H$3,0,0,'Données projet'!$E$17+1,1))</f>
        <v>317.54276561627643</v>
      </c>
      <c r="GF175" s="60">
        <f t="shared" si="158"/>
        <v>238.92443174298893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>
        <f>GU175*VLOOKUP('Données projet'!$B$18,Paramètres!$A$1:$I$89,3,0)*VLOOKUP('Données projet'!$B$18,Paramètres!$A$1:$I$89,5,0)</f>
        <v>0</v>
      </c>
      <c r="GW175" s="14" t="e">
        <f t="shared" si="188"/>
        <v>#NUM!</v>
      </c>
      <c r="GX175" s="22" t="e">
        <f t="shared" si="189"/>
        <v>#NUM!</v>
      </c>
      <c r="GY175" s="60" t="e">
        <f t="shared" si="137"/>
        <v>#NUM!</v>
      </c>
      <c r="GZ175" s="60">
        <f ca="1">AVERAGE(OFFSET($GY$3,0,0,'Données projet'!$E$18+1,1))-AVERAGE(OFFSET($H$3,0,0,'Données projet'!$E$18+1,1))</f>
        <v>79.868679770907136</v>
      </c>
      <c r="HA175" s="60">
        <f t="shared" si="160"/>
        <v>370.47471103028312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3.7324617354127239</v>
      </c>
      <c r="HH175" s="23">
        <f>EXP(-LN(2)/25)*HH174+(1-EXP(-LN(2)/25))/(LN(2)/25)*Calculateur!HC175*Calculateur!HE175*VLOOKUP('Données projet'!$B$18,Paramètres!$A$1:$I$89,3,0)*0.475*44/12</f>
        <v>0.29465722708138653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4.0271189624941108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0">
        <f t="shared" si="109"/>
        <v>293.33333333333439</v>
      </c>
      <c r="S176" s="60">
        <f ca="1">AVERAGE(OFFSET($R$3,0,0,'Données projet'!$E$9+1,1))-AVERAGE(OFFSET($H$3,0,0,'Données projet'!$E$9+1,1))</f>
        <v>206.5885410269899</v>
      </c>
      <c r="T176" s="60">
        <f t="shared" si="142"/>
        <v>347.41156847586302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3.3992364478763198E-14</v>
      </c>
      <c r="AK176" s="14">
        <f t="shared" si="164"/>
        <v>5.790027782444094E-13</v>
      </c>
      <c r="AL176" s="22">
        <f t="shared" si="165"/>
        <v>1.0676332069095257E-12</v>
      </c>
      <c r="AM176" s="60">
        <f t="shared" si="113"/>
        <v>293.33333333333439</v>
      </c>
      <c r="AN176" s="60">
        <f ca="1">AVERAGE(OFFSET($AM$3,0,0,'Données projet'!$E$10+1,1))-AVERAGE(OFFSET($H$3,0,0,'Données projet'!$E$10+1,1))</f>
        <v>206.5885410269899</v>
      </c>
      <c r="AO176" s="60">
        <f t="shared" si="144"/>
        <v>347.41156847586302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6.4425032942114786</v>
      </c>
      <c r="AV176" s="23">
        <f>EXP(-LN(2)/25)*AV175+(1-EXP(-LN(2)/25))/(LN(2)/25)*Calculateur!AQ176*Calculateur!AS176*VLOOKUP('Données projet'!$B$10,Paramètres!$A$1:$I$89,3,0)*0.475*44/12</f>
        <v>6.3424182365855244E-2</v>
      </c>
      <c r="AW176" s="23">
        <f>EXP(-LN(2)/2)*AW175+(1-EXP(-LN(2)/2))/(LN(2)/2)*AQ176*AT176*VLOOKUP('Données projet'!$B$10,Paramètres!$A$1:$I$89,3,0)*0.475*44/12</f>
        <v>3.298732962999876E-19</v>
      </c>
      <c r="AX176" s="23">
        <f t="shared" si="166"/>
        <v>6.5059274765773338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1.0818439477588981E-13</v>
      </c>
      <c r="BF176" s="14">
        <f t="shared" si="167"/>
        <v>1.6104228458716316E-12</v>
      </c>
      <c r="BG176" s="22">
        <f t="shared" si="168"/>
        <v>2.9932409441277661E-12</v>
      </c>
      <c r="BH176" s="60">
        <f t="shared" si="116"/>
        <v>293.33333333333633</v>
      </c>
      <c r="BI176" s="60">
        <f ca="1">AVERAGE(OFFSET($BH$3,0,0,'Données projet'!$E$11+1,1))-AVERAGE(OFFSET($H$3,0,0,'Données projet'!$E$11+1,1))</f>
        <v>389.12604446638119</v>
      </c>
      <c r="BJ176" s="60">
        <f t="shared" si="146"/>
        <v>243.23852967152732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1.0286385077051818E-13</v>
      </c>
      <c r="CA176" s="14">
        <f t="shared" si="170"/>
        <v>1.5402366592183556E-12</v>
      </c>
      <c r="CB176" s="22">
        <f t="shared" si="171"/>
        <v>2.8617333882306215E-12</v>
      </c>
      <c r="CC176" s="60">
        <f t="shared" si="119"/>
        <v>293.33333333333616</v>
      </c>
      <c r="CD176" s="60">
        <f ca="1">AVERAGE(OFFSET($CC$3,0,0,'Données projet'!$E$12+1,1))-AVERAGE(OFFSET($H$3,0,0,'Données projet'!$E$12+1,1))</f>
        <v>371.95849973474657</v>
      </c>
      <c r="CE176" s="60">
        <f t="shared" si="148"/>
        <v>233.32640143610547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5.7304100612609767E-21</v>
      </c>
      <c r="CN176" s="24">
        <f t="shared" si="172"/>
        <v>5.7304100612609767E-21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1.0995790944434703E-13</v>
      </c>
      <c r="CV176" s="14">
        <f t="shared" si="173"/>
        <v>1.6337280948049956E-12</v>
      </c>
      <c r="CW176" s="22">
        <f t="shared" si="174"/>
        <v>3.036919790734272E-12</v>
      </c>
      <c r="CX176" s="60">
        <f t="shared" si="122"/>
        <v>293.33333333333633</v>
      </c>
      <c r="CY176" s="60">
        <f ca="1">AVERAGE(OFFSET($CX$3,0,0,'Données projet'!$E$13+1,1))-AVERAGE(OFFSET($H$3,0,0,'Données projet'!$E$13+1,1))</f>
        <v>394.8445842828649</v>
      </c>
      <c r="CZ176" s="60">
        <f t="shared" si="150"/>
        <v>246.54010105494143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6.1256107551410478E-21</v>
      </c>
      <c r="DI176" s="24">
        <f t="shared" si="175"/>
        <v>6.1256107551410478E-21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5.6843418860808015E-14</v>
      </c>
      <c r="DP176" s="18">
        <f>DO176*VLOOKUP('Données projet'!$B$14,Paramètres!$A$1:$I$89,3,0)*VLOOKUP('Données projet'!$B$14,Paramètres!$A$1:$I$89,5,0)</f>
        <v>4.9658410716801891E-14</v>
      </c>
      <c r="DQ176" s="14">
        <f t="shared" si="176"/>
        <v>8.0934058173791862E-13</v>
      </c>
      <c r="DR176" s="22">
        <f t="shared" si="177"/>
        <v>1.4960899118586383E-12</v>
      </c>
      <c r="DS176" s="60">
        <f t="shared" si="125"/>
        <v>293.33333333333479</v>
      </c>
      <c r="DT176" s="60">
        <f ca="1">AVERAGE(OFFSET($DS$3,0,0,'Données projet'!$E$14+1,1))-AVERAGE(OFFSET($H$3,0,0,'Données projet'!$E$14+1,1))</f>
        <v>266.98113257513319</v>
      </c>
      <c r="DU176" s="60">
        <f t="shared" si="152"/>
        <v>275.73257102713393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0.21122846879529475</v>
      </c>
      <c r="EC176" s="23">
        <f>EXP(-LN(2)/2)*EC175+(1-EXP(-LN(2)/2))/(LN(2)/2)*DW176*DZ176*VLOOKUP('Données projet'!$B$14,Paramètres!$A$1:$I$89,3,0)*0.475*44/12</f>
        <v>3.134446562422054E-21</v>
      </c>
      <c r="ED176" s="24">
        <f t="shared" si="178"/>
        <v>0.21122846879529475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1.1368683772161603E-13</v>
      </c>
      <c r="EK176" s="18">
        <f>EJ176*VLOOKUP('Données projet'!$B$15,Paramètres!$A$1:$I$89,3,0)*VLOOKUP('Données projet'!$B$15,Paramètres!$A$1:$I$89,5,0)</f>
        <v>1.2946657079737634E-13</v>
      </c>
      <c r="EL176" s="14">
        <f t="shared" si="179"/>
        <v>1.8873591890224769E-12</v>
      </c>
      <c r="EM176" s="22">
        <f t="shared" si="180"/>
        <v>3.5126381983529106E-12</v>
      </c>
      <c r="EN176" s="60">
        <f t="shared" si="128"/>
        <v>293.33333333333684</v>
      </c>
      <c r="EO176" s="60">
        <f ca="1">AVERAGE(OFFSET($EN$3,0,0,'Données projet'!$E$15+1,1))-AVERAGE(OFFSET($H$3,0,0,'Données projet'!$E$15+1,1))</f>
        <v>457.62828850677369</v>
      </c>
      <c r="EP176" s="60">
        <f t="shared" si="154"/>
        <v>282.78263556175563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1.1368683772161603E-13</v>
      </c>
      <c r="FF176" s="18">
        <f>FE176*VLOOKUP('Données projet'!$B$16,Paramètres!$A$1:$I$89,3,0)*VLOOKUP('Données projet'!$B$16,Paramètres!$A$1:$I$89,5,0)</f>
        <v>1.2414602679200469E-13</v>
      </c>
      <c r="FG176" s="14">
        <f t="shared" si="182"/>
        <v>1.8186582995804361E-12</v>
      </c>
      <c r="FH176" s="22">
        <f t="shared" si="183"/>
        <v>3.3837175350986671E-12</v>
      </c>
      <c r="FI176" s="60">
        <f t="shared" si="131"/>
        <v>293.33333333333672</v>
      </c>
      <c r="FJ176" s="60">
        <f ca="1">AVERAGE(OFFSET($FI$3,0,0,'Données projet'!$E$16+1,1))-AVERAGE(OFFSET($H$3,0,0,'Données projet'!$E$16+1,1))</f>
        <v>440.52623925652182</v>
      </c>
      <c r="FK176" s="60">
        <f t="shared" si="156"/>
        <v>272.91122662088918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3.4106051316484809E-13</v>
      </c>
      <c r="GA176" s="18">
        <f>FZ176*VLOOKUP('Données projet'!$B$17,Paramètres!$A$1:$I$89,3,0)*VLOOKUP('Données projet'!$B$17,Paramètres!$A$1:$I$89,5,0)</f>
        <v>1.5961632016114892E-13</v>
      </c>
      <c r="GB176" s="14">
        <f t="shared" si="185"/>
        <v>2.2708641912150958E-12</v>
      </c>
      <c r="GC176" s="22">
        <f t="shared" si="186"/>
        <v>4.2330868906469593E-12</v>
      </c>
      <c r="GD176" s="60">
        <f t="shared" si="134"/>
        <v>293.33333333333752</v>
      </c>
      <c r="GE176" s="60">
        <f ca="1">AVERAGE(OFFSET($GD$3,0,0,'Données projet'!$E$17+1,1))-AVERAGE(OFFSET($H$3,0,0,'Données projet'!$E$17+1,1))</f>
        <v>317.54276561627643</v>
      </c>
      <c r="GF176" s="60">
        <f t="shared" si="158"/>
        <v>238.92443174298893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>
        <f>GU176*VLOOKUP('Données projet'!$B$18,Paramètres!$A$1:$I$89,3,0)*VLOOKUP('Données projet'!$B$18,Paramètres!$A$1:$I$89,5,0)</f>
        <v>0</v>
      </c>
      <c r="GW176" s="14" t="e">
        <f t="shared" si="188"/>
        <v>#NUM!</v>
      </c>
      <c r="GX176" s="22" t="e">
        <f t="shared" si="189"/>
        <v>#NUM!</v>
      </c>
      <c r="GY176" s="60" t="e">
        <f t="shared" si="137"/>
        <v>#NUM!</v>
      </c>
      <c r="GZ176" s="60">
        <f ca="1">AVERAGE(OFFSET($GY$3,0,0,'Données projet'!$E$18+1,1))-AVERAGE(OFFSET($H$3,0,0,'Données projet'!$E$18+1,1))</f>
        <v>79.868679770907136</v>
      </c>
      <c r="HA176" s="60">
        <f t="shared" si="160"/>
        <v>370.47471103028312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3.6592704373581455</v>
      </c>
      <c r="HH176" s="23">
        <f>EXP(-LN(2)/25)*HH175+(1-EXP(-LN(2)/25))/(LN(2)/25)*Calculateur!HC176*Calculateur!HE176*VLOOKUP('Données projet'!$B$18,Paramètres!$A$1:$I$89,3,0)*0.475*44/12</f>
        <v>0.2865998097114959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3.9458702470696414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0">
        <f t="shared" si="109"/>
        <v>293.33333333333439</v>
      </c>
      <c r="S177" s="60">
        <f ca="1">AVERAGE(OFFSET($R$3,0,0,'Données projet'!$E$9+1,1))-AVERAGE(OFFSET($H$3,0,0,'Données projet'!$E$9+1,1))</f>
        <v>206.5885410269899</v>
      </c>
      <c r="T177" s="60">
        <f t="shared" si="142"/>
        <v>347.41156847586302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3.3992364478763198E-14</v>
      </c>
      <c r="AK177" s="14">
        <f t="shared" si="164"/>
        <v>5.790027782444094E-13</v>
      </c>
      <c r="AL177" s="22">
        <f t="shared" si="165"/>
        <v>1.0676332069095257E-12</v>
      </c>
      <c r="AM177" s="60">
        <f t="shared" si="113"/>
        <v>293.33333333333439</v>
      </c>
      <c r="AN177" s="60">
        <f ca="1">AVERAGE(OFFSET($AM$3,0,0,'Données projet'!$E$10+1,1))-AVERAGE(OFFSET($H$3,0,0,'Données projet'!$E$10+1,1))</f>
        <v>206.5885410269899</v>
      </c>
      <c r="AO177" s="60">
        <f t="shared" si="144"/>
        <v>347.41156847586302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6.316169734150991</v>
      </c>
      <c r="AV177" s="23">
        <f>EXP(-LN(2)/25)*AV176+(1-EXP(-LN(2)/25))/(LN(2)/25)*Calculateur!AQ177*Calculateur!AS177*VLOOKUP('Données projet'!$B$10,Paramètres!$A$1:$I$89,3,0)*0.475*44/12</f>
        <v>6.1689844763728137E-2</v>
      </c>
      <c r="AW177" s="23">
        <f>EXP(-LN(2)/2)*AW176+(1-EXP(-LN(2)/2))/(LN(2)/2)*AQ177*AT177*VLOOKUP('Données projet'!$B$10,Paramètres!$A$1:$I$89,3,0)*0.475*44/12</f>
        <v>2.3325564474608049E-19</v>
      </c>
      <c r="AX177" s="23">
        <f t="shared" si="166"/>
        <v>6.3778595789147188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1.0818439477588981E-13</v>
      </c>
      <c r="BF177" s="14">
        <f t="shared" si="167"/>
        <v>1.6104228458716316E-12</v>
      </c>
      <c r="BG177" s="22">
        <f t="shared" si="168"/>
        <v>2.9932409441277661E-12</v>
      </c>
      <c r="BH177" s="60">
        <f t="shared" si="116"/>
        <v>293.33333333333633</v>
      </c>
      <c r="BI177" s="60">
        <f ca="1">AVERAGE(OFFSET($BH$3,0,0,'Données projet'!$E$11+1,1))-AVERAGE(OFFSET($H$3,0,0,'Données projet'!$E$11+1,1))</f>
        <v>389.12604446638119</v>
      </c>
      <c r="BJ177" s="60">
        <f t="shared" si="146"/>
        <v>243.23852967152732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1.0286385077051818E-13</v>
      </c>
      <c r="CA177" s="14">
        <f t="shared" si="170"/>
        <v>1.5402366592183556E-12</v>
      </c>
      <c r="CB177" s="22">
        <f t="shared" si="171"/>
        <v>2.8617333882306215E-12</v>
      </c>
      <c r="CC177" s="60">
        <f t="shared" si="119"/>
        <v>293.33333333333616</v>
      </c>
      <c r="CD177" s="60">
        <f ca="1">AVERAGE(OFFSET($CC$3,0,0,'Données projet'!$E$12+1,1))-AVERAGE(OFFSET($H$3,0,0,'Données projet'!$E$12+1,1))</f>
        <v>371.95849973474657</v>
      </c>
      <c r="CE177" s="60">
        <f t="shared" si="148"/>
        <v>233.32640143610547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4.0520118132972558E-21</v>
      </c>
      <c r="CN177" s="24">
        <f t="shared" si="172"/>
        <v>4.0520118132972558E-21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1.0995790944434703E-13</v>
      </c>
      <c r="CV177" s="14">
        <f t="shared" si="173"/>
        <v>1.6337280948049956E-12</v>
      </c>
      <c r="CW177" s="22">
        <f t="shared" si="174"/>
        <v>3.036919790734272E-12</v>
      </c>
      <c r="CX177" s="60">
        <f t="shared" si="122"/>
        <v>293.33333333333633</v>
      </c>
      <c r="CY177" s="60">
        <f ca="1">AVERAGE(OFFSET($CX$3,0,0,'Données projet'!$E$13+1,1))-AVERAGE(OFFSET($H$3,0,0,'Données projet'!$E$13+1,1))</f>
        <v>394.8445842828649</v>
      </c>
      <c r="CZ177" s="60">
        <f t="shared" si="150"/>
        <v>246.54010105494143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4.331460903869483E-21</v>
      </c>
      <c r="DI177" s="24">
        <f t="shared" si="175"/>
        <v>4.331460903869483E-21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5.6843418860808015E-14</v>
      </c>
      <c r="DP177" s="18">
        <f>DO177*VLOOKUP('Données projet'!$B$14,Paramètres!$A$1:$I$89,3,0)*VLOOKUP('Données projet'!$B$14,Paramètres!$A$1:$I$89,5,0)</f>
        <v>4.9658410716801891E-14</v>
      </c>
      <c r="DQ177" s="14">
        <f t="shared" si="176"/>
        <v>8.0934058173791862E-13</v>
      </c>
      <c r="DR177" s="22">
        <f t="shared" si="177"/>
        <v>1.4960899118586383E-12</v>
      </c>
      <c r="DS177" s="60">
        <f t="shared" si="125"/>
        <v>293.33333333333479</v>
      </c>
      <c r="DT177" s="60">
        <f ca="1">AVERAGE(OFFSET($DS$3,0,0,'Données projet'!$E$14+1,1))-AVERAGE(OFFSET($H$3,0,0,'Données projet'!$E$14+1,1))</f>
        <v>266.98113257513319</v>
      </c>
      <c r="DU177" s="60">
        <f t="shared" si="152"/>
        <v>275.73257102713393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0.20545241520806501</v>
      </c>
      <c r="EC177" s="23">
        <f>EXP(-LN(2)/2)*EC176+(1-EXP(-LN(2)/2))/(LN(2)/2)*DW177*DZ177*VLOOKUP('Données projet'!$B$14,Paramètres!$A$1:$I$89,3,0)*0.475*44/12</f>
        <v>2.2163884195554974E-21</v>
      </c>
      <c r="ED177" s="24">
        <f t="shared" si="178"/>
        <v>0.20545241520806501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1.1368683772161603E-13</v>
      </c>
      <c r="EK177" s="18">
        <f>EJ177*VLOOKUP('Données projet'!$B$15,Paramètres!$A$1:$I$89,3,0)*VLOOKUP('Données projet'!$B$15,Paramètres!$A$1:$I$89,5,0)</f>
        <v>1.2946657079737634E-13</v>
      </c>
      <c r="EL177" s="14">
        <f t="shared" si="179"/>
        <v>1.8873591890224769E-12</v>
      </c>
      <c r="EM177" s="22">
        <f t="shared" si="180"/>
        <v>3.5126381983529106E-12</v>
      </c>
      <c r="EN177" s="60">
        <f t="shared" si="128"/>
        <v>293.33333333333684</v>
      </c>
      <c r="EO177" s="60">
        <f ca="1">AVERAGE(OFFSET($EN$3,0,0,'Données projet'!$E$15+1,1))-AVERAGE(OFFSET($H$3,0,0,'Données projet'!$E$15+1,1))</f>
        <v>457.62828850677369</v>
      </c>
      <c r="EP177" s="60">
        <f t="shared" si="154"/>
        <v>282.78263556175563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1.1368683772161603E-13</v>
      </c>
      <c r="FF177" s="18">
        <f>FE177*VLOOKUP('Données projet'!$B$16,Paramètres!$A$1:$I$89,3,0)*VLOOKUP('Données projet'!$B$16,Paramètres!$A$1:$I$89,5,0)</f>
        <v>1.2414602679200469E-13</v>
      </c>
      <c r="FG177" s="14">
        <f t="shared" si="182"/>
        <v>1.8186582995804361E-12</v>
      </c>
      <c r="FH177" s="22">
        <f t="shared" si="183"/>
        <v>3.3837175350986671E-12</v>
      </c>
      <c r="FI177" s="60">
        <f t="shared" si="131"/>
        <v>293.33333333333672</v>
      </c>
      <c r="FJ177" s="60">
        <f ca="1">AVERAGE(OFFSET($FI$3,0,0,'Données projet'!$E$16+1,1))-AVERAGE(OFFSET($H$3,0,0,'Données projet'!$E$16+1,1))</f>
        <v>440.52623925652182</v>
      </c>
      <c r="FK177" s="60">
        <f t="shared" si="156"/>
        <v>272.91122662088918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3.4106051316484809E-13</v>
      </c>
      <c r="GA177" s="18">
        <f>FZ177*VLOOKUP('Données projet'!$B$17,Paramètres!$A$1:$I$89,3,0)*VLOOKUP('Données projet'!$B$17,Paramètres!$A$1:$I$89,5,0)</f>
        <v>1.5961632016114892E-13</v>
      </c>
      <c r="GB177" s="14">
        <f t="shared" si="185"/>
        <v>2.2708641912150958E-12</v>
      </c>
      <c r="GC177" s="22">
        <f t="shared" si="186"/>
        <v>4.2330868906469593E-12</v>
      </c>
      <c r="GD177" s="60">
        <f t="shared" si="134"/>
        <v>293.33333333333752</v>
      </c>
      <c r="GE177" s="60">
        <f ca="1">AVERAGE(OFFSET($GD$3,0,0,'Données projet'!$E$17+1,1))-AVERAGE(OFFSET($H$3,0,0,'Données projet'!$E$17+1,1))</f>
        <v>317.54276561627643</v>
      </c>
      <c r="GF177" s="60">
        <f t="shared" si="158"/>
        <v>238.92443174298893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>
        <f>GU177*VLOOKUP('Données projet'!$B$18,Paramètres!$A$1:$I$89,3,0)*VLOOKUP('Données projet'!$B$18,Paramètres!$A$1:$I$89,5,0)</f>
        <v>0</v>
      </c>
      <c r="GW177" s="14" t="e">
        <f t="shared" si="188"/>
        <v>#NUM!</v>
      </c>
      <c r="GX177" s="22" t="e">
        <f t="shared" si="189"/>
        <v>#NUM!</v>
      </c>
      <c r="GY177" s="60" t="e">
        <f t="shared" si="137"/>
        <v>#NUM!</v>
      </c>
      <c r="GZ177" s="60">
        <f ca="1">AVERAGE(OFFSET($GY$3,0,0,'Données projet'!$E$18+1,1))-AVERAGE(OFFSET($H$3,0,0,'Données projet'!$E$18+1,1))</f>
        <v>79.868679770907136</v>
      </c>
      <c r="HA177" s="60">
        <f t="shared" si="160"/>
        <v>370.47471103028312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3.5875143760161339</v>
      </c>
      <c r="HH177" s="23">
        <f>EXP(-LN(2)/25)*HH176+(1-EXP(-LN(2)/25))/(LN(2)/25)*Calculateur!HC177*Calculateur!HE177*VLOOKUP('Données projet'!$B$18,Paramètres!$A$1:$I$89,3,0)*0.475*44/12</f>
        <v>0.27876272284330611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3.8662770988594399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0">
        <f t="shared" si="109"/>
        <v>293.33333333333439</v>
      </c>
      <c r="S178" s="60">
        <f ca="1">AVERAGE(OFFSET($R$3,0,0,'Données projet'!$E$9+1,1))-AVERAGE(OFFSET($H$3,0,0,'Données projet'!$E$9+1,1))</f>
        <v>206.5885410269899</v>
      </c>
      <c r="T178" s="60">
        <f t="shared" si="142"/>
        <v>347.41156847586302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3.3992364478763198E-14</v>
      </c>
      <c r="AK178" s="14">
        <f t="shared" si="164"/>
        <v>5.790027782444094E-13</v>
      </c>
      <c r="AL178" s="22">
        <f t="shared" si="165"/>
        <v>1.0676332069095257E-12</v>
      </c>
      <c r="AM178" s="60">
        <f t="shared" si="113"/>
        <v>293.33333333333439</v>
      </c>
      <c r="AN178" s="60">
        <f ca="1">AVERAGE(OFFSET($AM$3,0,0,'Données projet'!$E$10+1,1))-AVERAGE(OFFSET($H$3,0,0,'Données projet'!$E$10+1,1))</f>
        <v>206.5885410269899</v>
      </c>
      <c r="AO178" s="60">
        <f t="shared" si="144"/>
        <v>347.41156847586302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6.1923134981474268</v>
      </c>
      <c r="AV178" s="23">
        <f>EXP(-LN(2)/25)*AV177+(1-EXP(-LN(2)/25))/(LN(2)/25)*Calculateur!AQ178*Calculateur!AS178*VLOOKUP('Données projet'!$B$10,Paramètres!$A$1:$I$89,3,0)*0.475*44/12</f>
        <v>6.000293271453605E-2</v>
      </c>
      <c r="AW178" s="23">
        <f>EXP(-LN(2)/2)*AW177+(1-EXP(-LN(2)/2))/(LN(2)/2)*AQ178*AT178*VLOOKUP('Données projet'!$B$10,Paramètres!$A$1:$I$89,3,0)*0.475*44/12</f>
        <v>1.649366481499938E-19</v>
      </c>
      <c r="AX178" s="23">
        <f t="shared" si="166"/>
        <v>6.2523164308619625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1.0818439477588981E-13</v>
      </c>
      <c r="BF178" s="14">
        <f t="shared" si="167"/>
        <v>1.6104228458716316E-12</v>
      </c>
      <c r="BG178" s="22">
        <f t="shared" si="168"/>
        <v>2.9932409441277661E-12</v>
      </c>
      <c r="BH178" s="60">
        <f t="shared" si="116"/>
        <v>293.33333333333633</v>
      </c>
      <c r="BI178" s="60">
        <f ca="1">AVERAGE(OFFSET($BH$3,0,0,'Données projet'!$E$11+1,1))-AVERAGE(OFFSET($H$3,0,0,'Données projet'!$E$11+1,1))</f>
        <v>389.12604446638119</v>
      </c>
      <c r="BJ178" s="60">
        <f t="shared" si="146"/>
        <v>243.23852967152732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1.0286385077051818E-13</v>
      </c>
      <c r="CA178" s="14">
        <f t="shared" si="170"/>
        <v>1.5402366592183556E-12</v>
      </c>
      <c r="CB178" s="22">
        <f t="shared" si="171"/>
        <v>2.8617333882306215E-12</v>
      </c>
      <c r="CC178" s="60">
        <f t="shared" si="119"/>
        <v>293.33333333333616</v>
      </c>
      <c r="CD178" s="60">
        <f ca="1">AVERAGE(OFFSET($CC$3,0,0,'Données projet'!$E$12+1,1))-AVERAGE(OFFSET($H$3,0,0,'Données projet'!$E$12+1,1))</f>
        <v>371.95849973474657</v>
      </c>
      <c r="CE178" s="60">
        <f t="shared" si="148"/>
        <v>233.32640143610547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2.8652050306304883E-21</v>
      </c>
      <c r="CN178" s="24">
        <f t="shared" si="172"/>
        <v>2.8652050306304883E-21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1.0995790944434703E-13</v>
      </c>
      <c r="CV178" s="14">
        <f t="shared" si="173"/>
        <v>1.6337280948049956E-12</v>
      </c>
      <c r="CW178" s="22">
        <f t="shared" si="174"/>
        <v>3.036919790734272E-12</v>
      </c>
      <c r="CX178" s="60">
        <f t="shared" si="122"/>
        <v>293.33333333333633</v>
      </c>
      <c r="CY178" s="60">
        <f ca="1">AVERAGE(OFFSET($CX$3,0,0,'Données projet'!$E$13+1,1))-AVERAGE(OFFSET($H$3,0,0,'Données projet'!$E$13+1,1))</f>
        <v>394.8445842828649</v>
      </c>
      <c r="CZ178" s="60">
        <f t="shared" si="150"/>
        <v>246.54010105494143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3.0628053775705239E-21</v>
      </c>
      <c r="DI178" s="24">
        <f t="shared" si="175"/>
        <v>3.0628053775705239E-21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5.6843418860808015E-14</v>
      </c>
      <c r="DP178" s="18">
        <f>DO178*VLOOKUP('Données projet'!$B$14,Paramètres!$A$1:$I$89,3,0)*VLOOKUP('Données projet'!$B$14,Paramètres!$A$1:$I$89,5,0)</f>
        <v>4.9658410716801891E-14</v>
      </c>
      <c r="DQ178" s="14">
        <f t="shared" si="176"/>
        <v>8.0934058173791862E-13</v>
      </c>
      <c r="DR178" s="22">
        <f t="shared" si="177"/>
        <v>1.4960899118586383E-12</v>
      </c>
      <c r="DS178" s="60">
        <f t="shared" si="125"/>
        <v>293.33333333333479</v>
      </c>
      <c r="DT178" s="60">
        <f ca="1">AVERAGE(OFFSET($DS$3,0,0,'Données projet'!$E$14+1,1))-AVERAGE(OFFSET($H$3,0,0,'Données projet'!$E$14+1,1))</f>
        <v>266.98113257513319</v>
      </c>
      <c r="DU178" s="60">
        <f t="shared" si="152"/>
        <v>275.73257102713393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0.19983430810992753</v>
      </c>
      <c r="EC178" s="23">
        <f>EXP(-LN(2)/2)*EC177+(1-EXP(-LN(2)/2))/(LN(2)/2)*DW178*DZ178*VLOOKUP('Données projet'!$B$14,Paramètres!$A$1:$I$89,3,0)*0.475*44/12</f>
        <v>1.567223281211027E-21</v>
      </c>
      <c r="ED178" s="24">
        <f t="shared" si="178"/>
        <v>0.19983430810992753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1.1368683772161603E-13</v>
      </c>
      <c r="EK178" s="18">
        <f>EJ178*VLOOKUP('Données projet'!$B$15,Paramètres!$A$1:$I$89,3,0)*VLOOKUP('Données projet'!$B$15,Paramètres!$A$1:$I$89,5,0)</f>
        <v>1.2946657079737634E-13</v>
      </c>
      <c r="EL178" s="14">
        <f t="shared" si="179"/>
        <v>1.8873591890224769E-12</v>
      </c>
      <c r="EM178" s="22">
        <f t="shared" si="180"/>
        <v>3.5126381983529106E-12</v>
      </c>
      <c r="EN178" s="60">
        <f t="shared" si="128"/>
        <v>293.33333333333684</v>
      </c>
      <c r="EO178" s="60">
        <f ca="1">AVERAGE(OFFSET($EN$3,0,0,'Données projet'!$E$15+1,1))-AVERAGE(OFFSET($H$3,0,0,'Données projet'!$E$15+1,1))</f>
        <v>457.62828850677369</v>
      </c>
      <c r="EP178" s="60">
        <f t="shared" si="154"/>
        <v>282.78263556175563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1.1368683772161603E-13</v>
      </c>
      <c r="FF178" s="18">
        <f>FE178*VLOOKUP('Données projet'!$B$16,Paramètres!$A$1:$I$89,3,0)*VLOOKUP('Données projet'!$B$16,Paramètres!$A$1:$I$89,5,0)</f>
        <v>1.2414602679200469E-13</v>
      </c>
      <c r="FG178" s="14">
        <f t="shared" si="182"/>
        <v>1.8186582995804361E-12</v>
      </c>
      <c r="FH178" s="22">
        <f t="shared" si="183"/>
        <v>3.3837175350986671E-12</v>
      </c>
      <c r="FI178" s="60">
        <f t="shared" si="131"/>
        <v>293.33333333333672</v>
      </c>
      <c r="FJ178" s="60">
        <f ca="1">AVERAGE(OFFSET($FI$3,0,0,'Données projet'!$E$16+1,1))-AVERAGE(OFFSET($H$3,0,0,'Données projet'!$E$16+1,1))</f>
        <v>440.52623925652182</v>
      </c>
      <c r="FK178" s="60">
        <f t="shared" si="156"/>
        <v>272.91122662088918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3.4106051316484809E-13</v>
      </c>
      <c r="GA178" s="18">
        <f>FZ178*VLOOKUP('Données projet'!$B$17,Paramètres!$A$1:$I$89,3,0)*VLOOKUP('Données projet'!$B$17,Paramètres!$A$1:$I$89,5,0)</f>
        <v>1.5961632016114892E-13</v>
      </c>
      <c r="GB178" s="14">
        <f t="shared" si="185"/>
        <v>2.2708641912150958E-12</v>
      </c>
      <c r="GC178" s="22">
        <f t="shared" si="186"/>
        <v>4.2330868906469593E-12</v>
      </c>
      <c r="GD178" s="60">
        <f t="shared" si="134"/>
        <v>293.33333333333752</v>
      </c>
      <c r="GE178" s="60">
        <f ca="1">AVERAGE(OFFSET($GD$3,0,0,'Données projet'!$E$17+1,1))-AVERAGE(OFFSET($H$3,0,0,'Données projet'!$E$17+1,1))</f>
        <v>317.54276561627643</v>
      </c>
      <c r="GF178" s="60">
        <f t="shared" si="158"/>
        <v>238.92443174298893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>
        <f>GU178*VLOOKUP('Données projet'!$B$18,Paramètres!$A$1:$I$89,3,0)*VLOOKUP('Données projet'!$B$18,Paramètres!$A$1:$I$89,5,0)</f>
        <v>0</v>
      </c>
      <c r="GW178" s="14" t="e">
        <f t="shared" si="188"/>
        <v>#NUM!</v>
      </c>
      <c r="GX178" s="22" t="e">
        <f t="shared" si="189"/>
        <v>#NUM!</v>
      </c>
      <c r="GY178" s="60" t="e">
        <f t="shared" si="137"/>
        <v>#NUM!</v>
      </c>
      <c r="GZ178" s="60">
        <f ca="1">AVERAGE(OFFSET($GY$3,0,0,'Données projet'!$E$18+1,1))-AVERAGE(OFFSET($H$3,0,0,'Données projet'!$E$18+1,1))</f>
        <v>79.868679770907136</v>
      </c>
      <c r="HA178" s="60">
        <f t="shared" si="160"/>
        <v>370.47471103028312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3.5171654072701632</v>
      </c>
      <c r="HH178" s="23">
        <f>EXP(-LN(2)/25)*HH177+(1-EXP(-LN(2)/25))/(LN(2)/25)*Calculateur!HC178*Calculateur!HE178*VLOOKUP('Données projet'!$B$18,Paramètres!$A$1:$I$89,3,0)*0.475*44/12</f>
        <v>0.27113994152766141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3.7883053487978247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0">
        <f t="shared" si="109"/>
        <v>293.33333333333439</v>
      </c>
      <c r="S179" s="60">
        <f ca="1">AVERAGE(OFFSET($R$3,0,0,'Données projet'!$E$9+1,1))-AVERAGE(OFFSET($H$3,0,0,'Données projet'!$E$9+1,1))</f>
        <v>206.5885410269899</v>
      </c>
      <c r="T179" s="60">
        <f t="shared" si="142"/>
        <v>347.41156847586302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3.3992364478763198E-14</v>
      </c>
      <c r="AK179" s="14">
        <f t="shared" si="164"/>
        <v>5.790027782444094E-13</v>
      </c>
      <c r="AL179" s="22">
        <f t="shared" si="165"/>
        <v>1.0676332069095257E-12</v>
      </c>
      <c r="AM179" s="60">
        <f t="shared" si="113"/>
        <v>293.33333333333439</v>
      </c>
      <c r="AN179" s="60">
        <f ca="1">AVERAGE(OFFSET($AM$3,0,0,'Données projet'!$E$10+1,1))-AVERAGE(OFFSET($H$3,0,0,'Données projet'!$E$10+1,1))</f>
        <v>206.5885410269899</v>
      </c>
      <c r="AO179" s="60">
        <f t="shared" si="144"/>
        <v>347.41156847586302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6.0708860073870481</v>
      </c>
      <c r="AV179" s="23">
        <f>EXP(-LN(2)/25)*AV178+(1-EXP(-LN(2)/25))/(LN(2)/25)*Calculateur!AQ179*Calculateur!AS179*VLOOKUP('Données projet'!$B$10,Paramètres!$A$1:$I$89,3,0)*0.475*44/12</f>
        <v>5.8362149364039967E-2</v>
      </c>
      <c r="AW179" s="23">
        <f>EXP(-LN(2)/2)*AW178+(1-EXP(-LN(2)/2))/(LN(2)/2)*AQ179*AT179*VLOOKUP('Données projet'!$B$10,Paramètres!$A$1:$I$89,3,0)*0.475*44/12</f>
        <v>1.1662782237304025E-19</v>
      </c>
      <c r="AX179" s="23">
        <f t="shared" si="166"/>
        <v>6.1292481567510881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1.0818439477588981E-13</v>
      </c>
      <c r="BF179" s="14">
        <f t="shared" si="167"/>
        <v>1.6104228458716316E-12</v>
      </c>
      <c r="BG179" s="22">
        <f t="shared" si="168"/>
        <v>2.9932409441277661E-12</v>
      </c>
      <c r="BH179" s="60">
        <f t="shared" si="116"/>
        <v>293.33333333333633</v>
      </c>
      <c r="BI179" s="60">
        <f ca="1">AVERAGE(OFFSET($BH$3,0,0,'Données projet'!$E$11+1,1))-AVERAGE(OFFSET($H$3,0,0,'Données projet'!$E$11+1,1))</f>
        <v>389.12604446638119</v>
      </c>
      <c r="BJ179" s="60">
        <f t="shared" si="146"/>
        <v>243.23852967152732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1.0286385077051818E-13</v>
      </c>
      <c r="CA179" s="14">
        <f t="shared" si="170"/>
        <v>1.5402366592183556E-12</v>
      </c>
      <c r="CB179" s="22">
        <f t="shared" si="171"/>
        <v>2.8617333882306215E-12</v>
      </c>
      <c r="CC179" s="60">
        <f t="shared" si="119"/>
        <v>293.33333333333616</v>
      </c>
      <c r="CD179" s="60">
        <f ca="1">AVERAGE(OFFSET($CC$3,0,0,'Données projet'!$E$12+1,1))-AVERAGE(OFFSET($H$3,0,0,'Données projet'!$E$12+1,1))</f>
        <v>371.95849973474657</v>
      </c>
      <c r="CE179" s="60">
        <f t="shared" si="148"/>
        <v>233.32640143610547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2.0260059066486279E-21</v>
      </c>
      <c r="CN179" s="24">
        <f t="shared" si="172"/>
        <v>2.0260059066486279E-21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1.0995790944434703E-13</v>
      </c>
      <c r="CV179" s="14">
        <f t="shared" si="173"/>
        <v>1.6337280948049956E-12</v>
      </c>
      <c r="CW179" s="22">
        <f t="shared" si="174"/>
        <v>3.036919790734272E-12</v>
      </c>
      <c r="CX179" s="60">
        <f t="shared" si="122"/>
        <v>293.33333333333633</v>
      </c>
      <c r="CY179" s="60">
        <f ca="1">AVERAGE(OFFSET($CX$3,0,0,'Données projet'!$E$13+1,1))-AVERAGE(OFFSET($H$3,0,0,'Données projet'!$E$13+1,1))</f>
        <v>394.8445842828649</v>
      </c>
      <c r="CZ179" s="60">
        <f t="shared" si="150"/>
        <v>246.54010105494143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2.1657304519347415E-21</v>
      </c>
      <c r="DI179" s="24">
        <f t="shared" si="175"/>
        <v>2.1657304519347415E-21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5.6843418860808015E-14</v>
      </c>
      <c r="DP179" s="18">
        <f>DO179*VLOOKUP('Données projet'!$B$14,Paramètres!$A$1:$I$89,3,0)*VLOOKUP('Données projet'!$B$14,Paramètres!$A$1:$I$89,5,0)</f>
        <v>4.9658410716801891E-14</v>
      </c>
      <c r="DQ179" s="14">
        <f t="shared" si="176"/>
        <v>8.0934058173791862E-13</v>
      </c>
      <c r="DR179" s="22">
        <f t="shared" si="177"/>
        <v>1.4960899118586383E-12</v>
      </c>
      <c r="DS179" s="60">
        <f t="shared" si="125"/>
        <v>293.33333333333479</v>
      </c>
      <c r="DT179" s="60">
        <f ca="1">AVERAGE(OFFSET($DS$3,0,0,'Données projet'!$E$14+1,1))-AVERAGE(OFFSET($H$3,0,0,'Données projet'!$E$14+1,1))</f>
        <v>266.98113257513319</v>
      </c>
      <c r="DU179" s="60">
        <f t="shared" si="152"/>
        <v>275.73257102713393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0.19436982844583203</v>
      </c>
      <c r="EC179" s="23">
        <f>EXP(-LN(2)/2)*EC178+(1-EXP(-LN(2)/2))/(LN(2)/2)*DW179*DZ179*VLOOKUP('Données projet'!$B$14,Paramètres!$A$1:$I$89,3,0)*0.475*44/12</f>
        <v>1.1081942097777487E-21</v>
      </c>
      <c r="ED179" s="24">
        <f t="shared" si="178"/>
        <v>0.19436982844583203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1.1368683772161603E-13</v>
      </c>
      <c r="EK179" s="18">
        <f>EJ179*VLOOKUP('Données projet'!$B$15,Paramètres!$A$1:$I$89,3,0)*VLOOKUP('Données projet'!$B$15,Paramètres!$A$1:$I$89,5,0)</f>
        <v>1.2946657079737634E-13</v>
      </c>
      <c r="EL179" s="14">
        <f t="shared" si="179"/>
        <v>1.8873591890224769E-12</v>
      </c>
      <c r="EM179" s="22">
        <f t="shared" si="180"/>
        <v>3.5126381983529106E-12</v>
      </c>
      <c r="EN179" s="60">
        <f t="shared" si="128"/>
        <v>293.33333333333684</v>
      </c>
      <c r="EO179" s="60">
        <f ca="1">AVERAGE(OFFSET($EN$3,0,0,'Données projet'!$E$15+1,1))-AVERAGE(OFFSET($H$3,0,0,'Données projet'!$E$15+1,1))</f>
        <v>457.62828850677369</v>
      </c>
      <c r="EP179" s="60">
        <f t="shared" si="154"/>
        <v>282.78263556175563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1.1368683772161603E-13</v>
      </c>
      <c r="FF179" s="18">
        <f>FE179*VLOOKUP('Données projet'!$B$16,Paramètres!$A$1:$I$89,3,0)*VLOOKUP('Données projet'!$B$16,Paramètres!$A$1:$I$89,5,0)</f>
        <v>1.2414602679200469E-13</v>
      </c>
      <c r="FG179" s="14">
        <f t="shared" si="182"/>
        <v>1.8186582995804361E-12</v>
      </c>
      <c r="FH179" s="22">
        <f t="shared" si="183"/>
        <v>3.3837175350986671E-12</v>
      </c>
      <c r="FI179" s="60">
        <f t="shared" si="131"/>
        <v>293.33333333333672</v>
      </c>
      <c r="FJ179" s="60">
        <f ca="1">AVERAGE(OFFSET($FI$3,0,0,'Données projet'!$E$16+1,1))-AVERAGE(OFFSET($H$3,0,0,'Données projet'!$E$16+1,1))</f>
        <v>440.52623925652182</v>
      </c>
      <c r="FK179" s="60">
        <f t="shared" si="156"/>
        <v>272.91122662088918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3.4106051316484809E-13</v>
      </c>
      <c r="GA179" s="18">
        <f>FZ179*VLOOKUP('Données projet'!$B$17,Paramètres!$A$1:$I$89,3,0)*VLOOKUP('Données projet'!$B$17,Paramètres!$A$1:$I$89,5,0)</f>
        <v>1.5961632016114892E-13</v>
      </c>
      <c r="GB179" s="14">
        <f t="shared" si="185"/>
        <v>2.2708641912150958E-12</v>
      </c>
      <c r="GC179" s="22">
        <f t="shared" si="186"/>
        <v>4.2330868906469593E-12</v>
      </c>
      <c r="GD179" s="60">
        <f t="shared" si="134"/>
        <v>293.33333333333752</v>
      </c>
      <c r="GE179" s="60">
        <f ca="1">AVERAGE(OFFSET($GD$3,0,0,'Données projet'!$E$17+1,1))-AVERAGE(OFFSET($H$3,0,0,'Données projet'!$E$17+1,1))</f>
        <v>317.54276561627643</v>
      </c>
      <c r="GF179" s="60">
        <f t="shared" si="158"/>
        <v>238.92443174298893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>
        <f>GU179*VLOOKUP('Données projet'!$B$18,Paramètres!$A$1:$I$89,3,0)*VLOOKUP('Données projet'!$B$18,Paramètres!$A$1:$I$89,5,0)</f>
        <v>0</v>
      </c>
      <c r="GW179" s="14" t="e">
        <f t="shared" si="188"/>
        <v>#NUM!</v>
      </c>
      <c r="GX179" s="22" t="e">
        <f t="shared" si="189"/>
        <v>#NUM!</v>
      </c>
      <c r="GY179" s="60" t="e">
        <f t="shared" si="137"/>
        <v>#NUM!</v>
      </c>
      <c r="GZ179" s="60">
        <f ca="1">AVERAGE(OFFSET($GY$3,0,0,'Données projet'!$E$18+1,1))-AVERAGE(OFFSET($H$3,0,0,'Données projet'!$E$18+1,1))</f>
        <v>79.868679770907136</v>
      </c>
      <c r="HA179" s="60">
        <f t="shared" si="160"/>
        <v>370.47471103028312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3.4481959388926668</v>
      </c>
      <c r="HH179" s="23">
        <f>EXP(-LN(2)/25)*HH178+(1-EXP(-LN(2)/25))/(LN(2)/25)*Calculateur!HC179*Calculateur!HE179*VLOOKUP('Données projet'!$B$18,Paramètres!$A$1:$I$89,3,0)*0.475*44/12</f>
        <v>0.26372560556795765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3.7119215444606244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0">
        <f t="shared" si="109"/>
        <v>293.33333333333439</v>
      </c>
      <c r="S180" s="60">
        <f ca="1">AVERAGE(OFFSET($R$3,0,0,'Données projet'!$E$9+1,1))-AVERAGE(OFFSET($H$3,0,0,'Données projet'!$E$9+1,1))</f>
        <v>206.5885410269899</v>
      </c>
      <c r="T180" s="60">
        <f t="shared" si="142"/>
        <v>347.41156847586302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3.3992364478763198E-14</v>
      </c>
      <c r="AK180" s="14">
        <f t="shared" si="164"/>
        <v>5.790027782444094E-13</v>
      </c>
      <c r="AL180" s="22">
        <f t="shared" si="165"/>
        <v>1.0676332069095257E-12</v>
      </c>
      <c r="AM180" s="60">
        <f t="shared" si="113"/>
        <v>293.33333333333439</v>
      </c>
      <c r="AN180" s="60">
        <f ca="1">AVERAGE(OFFSET($AM$3,0,0,'Données projet'!$E$10+1,1))-AVERAGE(OFFSET($H$3,0,0,'Données projet'!$E$10+1,1))</f>
        <v>206.5885410269899</v>
      </c>
      <c r="AO180" s="60">
        <f t="shared" si="144"/>
        <v>347.41156847586302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5.9518396356570245</v>
      </c>
      <c r="AV180" s="23">
        <f>EXP(-LN(2)/25)*AV179+(1-EXP(-LN(2)/25))/(LN(2)/25)*Calculateur!AQ180*Calculateur!AS180*VLOOKUP('Données projet'!$B$10,Paramètres!$A$1:$I$89,3,0)*0.475*44/12</f>
        <v>5.6766233320548247E-2</v>
      </c>
      <c r="AW180" s="23">
        <f>EXP(-LN(2)/2)*AW179+(1-EXP(-LN(2)/2))/(LN(2)/2)*AQ180*AT180*VLOOKUP('Données projet'!$B$10,Paramètres!$A$1:$I$89,3,0)*0.475*44/12</f>
        <v>8.24683240749969E-20</v>
      </c>
      <c r="AX180" s="23">
        <f t="shared" si="166"/>
        <v>6.0086058689775728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1.0818439477588981E-13</v>
      </c>
      <c r="BF180" s="14">
        <f t="shared" si="167"/>
        <v>1.6104228458716316E-12</v>
      </c>
      <c r="BG180" s="22">
        <f t="shared" si="168"/>
        <v>2.9932409441277661E-12</v>
      </c>
      <c r="BH180" s="60">
        <f t="shared" si="116"/>
        <v>293.33333333333633</v>
      </c>
      <c r="BI180" s="60">
        <f ca="1">AVERAGE(OFFSET($BH$3,0,0,'Données projet'!$E$11+1,1))-AVERAGE(OFFSET($H$3,0,0,'Données projet'!$E$11+1,1))</f>
        <v>389.12604446638119</v>
      </c>
      <c r="BJ180" s="60">
        <f t="shared" si="146"/>
        <v>243.23852967152732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1.0286385077051818E-13</v>
      </c>
      <c r="CA180" s="14">
        <f t="shared" si="170"/>
        <v>1.5402366592183556E-12</v>
      </c>
      <c r="CB180" s="22">
        <f t="shared" si="171"/>
        <v>2.8617333882306215E-12</v>
      </c>
      <c r="CC180" s="60">
        <f t="shared" si="119"/>
        <v>293.33333333333616</v>
      </c>
      <c r="CD180" s="60">
        <f ca="1">AVERAGE(OFFSET($CC$3,0,0,'Données projet'!$E$12+1,1))-AVERAGE(OFFSET($H$3,0,0,'Données projet'!$E$12+1,1))</f>
        <v>371.95849973474657</v>
      </c>
      <c r="CE180" s="60">
        <f t="shared" si="148"/>
        <v>233.32640143610547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1.4326025153152442E-21</v>
      </c>
      <c r="CN180" s="24">
        <f t="shared" si="172"/>
        <v>1.4326025153152442E-21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1.0995790944434703E-13</v>
      </c>
      <c r="CV180" s="14">
        <f t="shared" si="173"/>
        <v>1.6337280948049956E-12</v>
      </c>
      <c r="CW180" s="22">
        <f t="shared" si="174"/>
        <v>3.036919790734272E-12</v>
      </c>
      <c r="CX180" s="60">
        <f t="shared" si="122"/>
        <v>293.33333333333633</v>
      </c>
      <c r="CY180" s="60">
        <f ca="1">AVERAGE(OFFSET($CX$3,0,0,'Données projet'!$E$13+1,1))-AVERAGE(OFFSET($H$3,0,0,'Données projet'!$E$13+1,1))</f>
        <v>394.8445842828649</v>
      </c>
      <c r="CZ180" s="60">
        <f t="shared" si="150"/>
        <v>246.54010105494143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1.5314026887852619E-21</v>
      </c>
      <c r="DI180" s="24">
        <f t="shared" si="175"/>
        <v>1.5314026887852619E-21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5.6843418860808015E-14</v>
      </c>
      <c r="DP180" s="18">
        <f>DO180*VLOOKUP('Données projet'!$B$14,Paramètres!$A$1:$I$89,3,0)*VLOOKUP('Données projet'!$B$14,Paramètres!$A$1:$I$89,5,0)</f>
        <v>4.9658410716801891E-14</v>
      </c>
      <c r="DQ180" s="14">
        <f t="shared" si="176"/>
        <v>8.0934058173791862E-13</v>
      </c>
      <c r="DR180" s="22">
        <f t="shared" si="177"/>
        <v>1.4960899118586383E-12</v>
      </c>
      <c r="DS180" s="60">
        <f t="shared" si="125"/>
        <v>293.33333333333479</v>
      </c>
      <c r="DT180" s="60">
        <f ca="1">AVERAGE(OFFSET($DS$3,0,0,'Données projet'!$E$14+1,1))-AVERAGE(OFFSET($H$3,0,0,'Données projet'!$E$14+1,1))</f>
        <v>266.98113257513319</v>
      </c>
      <c r="DU180" s="60">
        <f t="shared" si="152"/>
        <v>275.73257102713393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0.18905477526551573</v>
      </c>
      <c r="EC180" s="23">
        <f>EXP(-LN(2)/2)*EC179+(1-EXP(-LN(2)/2))/(LN(2)/2)*DW180*DZ180*VLOOKUP('Données projet'!$B$14,Paramètres!$A$1:$I$89,3,0)*0.475*44/12</f>
        <v>7.8361164060551349E-22</v>
      </c>
      <c r="ED180" s="24">
        <f t="shared" si="178"/>
        <v>0.18905477526551573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1.1368683772161603E-13</v>
      </c>
      <c r="EK180" s="18">
        <f>EJ180*VLOOKUP('Données projet'!$B$15,Paramètres!$A$1:$I$89,3,0)*VLOOKUP('Données projet'!$B$15,Paramètres!$A$1:$I$89,5,0)</f>
        <v>1.2946657079737634E-13</v>
      </c>
      <c r="EL180" s="14">
        <f t="shared" si="179"/>
        <v>1.8873591890224769E-12</v>
      </c>
      <c r="EM180" s="22">
        <f t="shared" si="180"/>
        <v>3.5126381983529106E-12</v>
      </c>
      <c r="EN180" s="60">
        <f t="shared" si="128"/>
        <v>293.33333333333684</v>
      </c>
      <c r="EO180" s="60">
        <f ca="1">AVERAGE(OFFSET($EN$3,0,0,'Données projet'!$E$15+1,1))-AVERAGE(OFFSET($H$3,0,0,'Données projet'!$E$15+1,1))</f>
        <v>457.62828850677369</v>
      </c>
      <c r="EP180" s="60">
        <f t="shared" si="154"/>
        <v>282.78263556175563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1.1368683772161603E-13</v>
      </c>
      <c r="FF180" s="18">
        <f>FE180*VLOOKUP('Données projet'!$B$16,Paramètres!$A$1:$I$89,3,0)*VLOOKUP('Données projet'!$B$16,Paramètres!$A$1:$I$89,5,0)</f>
        <v>1.2414602679200469E-13</v>
      </c>
      <c r="FG180" s="14">
        <f t="shared" si="182"/>
        <v>1.8186582995804361E-12</v>
      </c>
      <c r="FH180" s="22">
        <f t="shared" si="183"/>
        <v>3.3837175350986671E-12</v>
      </c>
      <c r="FI180" s="60">
        <f t="shared" si="131"/>
        <v>293.33333333333672</v>
      </c>
      <c r="FJ180" s="60">
        <f ca="1">AVERAGE(OFFSET($FI$3,0,0,'Données projet'!$E$16+1,1))-AVERAGE(OFFSET($H$3,0,0,'Données projet'!$E$16+1,1))</f>
        <v>440.52623925652182</v>
      </c>
      <c r="FK180" s="60">
        <f t="shared" si="156"/>
        <v>272.91122662088918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3.4106051316484809E-13</v>
      </c>
      <c r="GA180" s="18">
        <f>FZ180*VLOOKUP('Données projet'!$B$17,Paramètres!$A$1:$I$89,3,0)*VLOOKUP('Données projet'!$B$17,Paramètres!$A$1:$I$89,5,0)</f>
        <v>1.5961632016114892E-13</v>
      </c>
      <c r="GB180" s="14">
        <f t="shared" si="185"/>
        <v>2.2708641912150958E-12</v>
      </c>
      <c r="GC180" s="22">
        <f t="shared" si="186"/>
        <v>4.2330868906469593E-12</v>
      </c>
      <c r="GD180" s="60">
        <f t="shared" si="134"/>
        <v>293.33333333333752</v>
      </c>
      <c r="GE180" s="60">
        <f ca="1">AVERAGE(OFFSET($GD$3,0,0,'Données projet'!$E$17+1,1))-AVERAGE(OFFSET($H$3,0,0,'Données projet'!$E$17+1,1))</f>
        <v>317.54276561627643</v>
      </c>
      <c r="GF180" s="60">
        <f t="shared" si="158"/>
        <v>238.92443174298893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>
        <f>GU180*VLOOKUP('Données projet'!$B$18,Paramètres!$A$1:$I$89,3,0)*VLOOKUP('Données projet'!$B$18,Paramètres!$A$1:$I$89,5,0)</f>
        <v>0</v>
      </c>
      <c r="GW180" s="14" t="e">
        <f t="shared" si="188"/>
        <v>#NUM!</v>
      </c>
      <c r="GX180" s="22" t="e">
        <f t="shared" si="189"/>
        <v>#NUM!</v>
      </c>
      <c r="GY180" s="60" t="e">
        <f t="shared" si="137"/>
        <v>#NUM!</v>
      </c>
      <c r="GZ180" s="60">
        <f ca="1">AVERAGE(OFFSET($GY$3,0,0,'Données projet'!$E$18+1,1))-AVERAGE(OFFSET($H$3,0,0,'Données projet'!$E$18+1,1))</f>
        <v>79.868679770907136</v>
      </c>
      <c r="HA180" s="60">
        <f t="shared" si="160"/>
        <v>370.47471103028312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3.3805789197228315</v>
      </c>
      <c r="HH180" s="23">
        <f>EXP(-LN(2)/25)*HH179+(1-EXP(-LN(2)/25))/(LN(2)/25)*Calculateur!HC180*Calculateur!HE180*VLOOKUP('Données projet'!$B$18,Paramètres!$A$1:$I$89,3,0)*0.475*44/12</f>
        <v>0.25651401501497501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3.6370929347378067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0">
        <f t="shared" si="109"/>
        <v>293.33333333333439</v>
      </c>
      <c r="S181" s="60">
        <f ca="1">AVERAGE(OFFSET($R$3,0,0,'Données projet'!$E$9+1,1))-AVERAGE(OFFSET($H$3,0,0,'Données projet'!$E$9+1,1))</f>
        <v>206.5885410269899</v>
      </c>
      <c r="T181" s="60">
        <f t="shared" si="142"/>
        <v>347.41156847586302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3.3992364478763198E-14</v>
      </c>
      <c r="AK181" s="14">
        <f t="shared" si="164"/>
        <v>5.790027782444094E-13</v>
      </c>
      <c r="AL181" s="22">
        <f t="shared" si="165"/>
        <v>1.0676332069095257E-12</v>
      </c>
      <c r="AM181" s="60">
        <f t="shared" si="113"/>
        <v>293.33333333333439</v>
      </c>
      <c r="AN181" s="60">
        <f ca="1">AVERAGE(OFFSET($AM$3,0,0,'Données projet'!$E$10+1,1))-AVERAGE(OFFSET($H$3,0,0,'Données projet'!$E$10+1,1))</f>
        <v>206.5885410269899</v>
      </c>
      <c r="AO181" s="60">
        <f t="shared" si="144"/>
        <v>347.41156847586302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5.8351276906655096</v>
      </c>
      <c r="AV181" s="23">
        <f>EXP(-LN(2)/25)*AV180+(1-EXP(-LN(2)/25))/(LN(2)/25)*Calculateur!AQ181*Calculateur!AS181*VLOOKUP('Données projet'!$B$10,Paramètres!$A$1:$I$89,3,0)*0.475*44/12</f>
        <v>5.5213957685191384E-2</v>
      </c>
      <c r="AW181" s="23">
        <f>EXP(-LN(2)/2)*AW180+(1-EXP(-LN(2)/2))/(LN(2)/2)*AQ181*AT181*VLOOKUP('Données projet'!$B$10,Paramètres!$A$1:$I$89,3,0)*0.475*44/12</f>
        <v>5.8313911186520123E-20</v>
      </c>
      <c r="AX181" s="23">
        <f t="shared" si="166"/>
        <v>5.8903416483507014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1.0818439477588981E-13</v>
      </c>
      <c r="BF181" s="14">
        <f t="shared" si="167"/>
        <v>1.6104228458716316E-12</v>
      </c>
      <c r="BG181" s="22">
        <f t="shared" si="168"/>
        <v>2.9932409441277661E-12</v>
      </c>
      <c r="BH181" s="60">
        <f t="shared" si="116"/>
        <v>293.33333333333633</v>
      </c>
      <c r="BI181" s="60">
        <f ca="1">AVERAGE(OFFSET($BH$3,0,0,'Données projet'!$E$11+1,1))-AVERAGE(OFFSET($H$3,0,0,'Données projet'!$E$11+1,1))</f>
        <v>389.12604446638119</v>
      </c>
      <c r="BJ181" s="60">
        <f t="shared" si="146"/>
        <v>243.23852967152732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1.0286385077051818E-13</v>
      </c>
      <c r="CA181" s="14">
        <f t="shared" si="170"/>
        <v>1.5402366592183556E-12</v>
      </c>
      <c r="CB181" s="22">
        <f t="shared" si="171"/>
        <v>2.8617333882306215E-12</v>
      </c>
      <c r="CC181" s="60">
        <f t="shared" si="119"/>
        <v>293.33333333333616</v>
      </c>
      <c r="CD181" s="60">
        <f ca="1">AVERAGE(OFFSET($CC$3,0,0,'Données projet'!$E$12+1,1))-AVERAGE(OFFSET($H$3,0,0,'Données projet'!$E$12+1,1))</f>
        <v>371.95849973474657</v>
      </c>
      <c r="CE181" s="60">
        <f t="shared" si="148"/>
        <v>233.32640143610547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1.0130029533243139E-21</v>
      </c>
      <c r="CN181" s="24">
        <f t="shared" si="172"/>
        <v>1.0130029533243139E-21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1.0995790944434703E-13</v>
      </c>
      <c r="CV181" s="14">
        <f t="shared" si="173"/>
        <v>1.6337280948049956E-12</v>
      </c>
      <c r="CW181" s="22">
        <f t="shared" si="174"/>
        <v>3.036919790734272E-12</v>
      </c>
      <c r="CX181" s="60">
        <f t="shared" si="122"/>
        <v>293.33333333333633</v>
      </c>
      <c r="CY181" s="60">
        <f ca="1">AVERAGE(OFFSET($CX$3,0,0,'Données projet'!$E$13+1,1))-AVERAGE(OFFSET($H$3,0,0,'Données projet'!$E$13+1,1))</f>
        <v>394.8445842828649</v>
      </c>
      <c r="CZ181" s="60">
        <f t="shared" si="150"/>
        <v>246.54010105494143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1.0828652259673707E-21</v>
      </c>
      <c r="DI181" s="24">
        <f t="shared" si="175"/>
        <v>1.0828652259673707E-21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5.6843418860808015E-14</v>
      </c>
      <c r="DP181" s="18">
        <f>DO181*VLOOKUP('Données projet'!$B$14,Paramètres!$A$1:$I$89,3,0)*VLOOKUP('Données projet'!$B$14,Paramètres!$A$1:$I$89,5,0)</f>
        <v>4.9658410716801891E-14</v>
      </c>
      <c r="DQ181" s="14">
        <f t="shared" si="176"/>
        <v>8.0934058173791862E-13</v>
      </c>
      <c r="DR181" s="22">
        <f t="shared" si="177"/>
        <v>1.4960899118586383E-12</v>
      </c>
      <c r="DS181" s="60">
        <f t="shared" si="125"/>
        <v>293.33333333333479</v>
      </c>
      <c r="DT181" s="60">
        <f ca="1">AVERAGE(OFFSET($DS$3,0,0,'Données projet'!$E$14+1,1))-AVERAGE(OFFSET($H$3,0,0,'Données projet'!$E$14+1,1))</f>
        <v>266.98113257513319</v>
      </c>
      <c r="DU181" s="60">
        <f t="shared" si="152"/>
        <v>275.73257102713393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0.18388506249392167</v>
      </c>
      <c r="EC181" s="23">
        <f>EXP(-LN(2)/2)*EC180+(1-EXP(-LN(2)/2))/(LN(2)/2)*DW181*DZ181*VLOOKUP('Données projet'!$B$14,Paramètres!$A$1:$I$89,3,0)*0.475*44/12</f>
        <v>5.5409710488887434E-22</v>
      </c>
      <c r="ED181" s="24">
        <f t="shared" si="178"/>
        <v>0.18388506249392167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1.1368683772161603E-13</v>
      </c>
      <c r="EK181" s="18">
        <f>EJ181*VLOOKUP('Données projet'!$B$15,Paramètres!$A$1:$I$89,3,0)*VLOOKUP('Données projet'!$B$15,Paramètres!$A$1:$I$89,5,0)</f>
        <v>1.2946657079737634E-13</v>
      </c>
      <c r="EL181" s="14">
        <f t="shared" si="179"/>
        <v>1.8873591890224769E-12</v>
      </c>
      <c r="EM181" s="22">
        <f t="shared" si="180"/>
        <v>3.5126381983529106E-12</v>
      </c>
      <c r="EN181" s="60">
        <f t="shared" si="128"/>
        <v>293.33333333333684</v>
      </c>
      <c r="EO181" s="60">
        <f ca="1">AVERAGE(OFFSET($EN$3,0,0,'Données projet'!$E$15+1,1))-AVERAGE(OFFSET($H$3,0,0,'Données projet'!$E$15+1,1))</f>
        <v>457.62828850677369</v>
      </c>
      <c r="EP181" s="60">
        <f t="shared" si="154"/>
        <v>282.78263556175563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1.1368683772161603E-13</v>
      </c>
      <c r="FF181" s="18">
        <f>FE181*VLOOKUP('Données projet'!$B$16,Paramètres!$A$1:$I$89,3,0)*VLOOKUP('Données projet'!$B$16,Paramètres!$A$1:$I$89,5,0)</f>
        <v>1.2414602679200469E-13</v>
      </c>
      <c r="FG181" s="14">
        <f t="shared" si="182"/>
        <v>1.8186582995804361E-12</v>
      </c>
      <c r="FH181" s="22">
        <f t="shared" si="183"/>
        <v>3.3837175350986671E-12</v>
      </c>
      <c r="FI181" s="60">
        <f t="shared" si="131"/>
        <v>293.33333333333672</v>
      </c>
      <c r="FJ181" s="60">
        <f ca="1">AVERAGE(OFFSET($FI$3,0,0,'Données projet'!$E$16+1,1))-AVERAGE(OFFSET($H$3,0,0,'Données projet'!$E$16+1,1))</f>
        <v>440.52623925652182</v>
      </c>
      <c r="FK181" s="60">
        <f t="shared" si="156"/>
        <v>272.91122662088918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3.4106051316484809E-13</v>
      </c>
      <c r="GA181" s="18">
        <f>FZ181*VLOOKUP('Données projet'!$B$17,Paramètres!$A$1:$I$89,3,0)*VLOOKUP('Données projet'!$B$17,Paramètres!$A$1:$I$89,5,0)</f>
        <v>1.5961632016114892E-13</v>
      </c>
      <c r="GB181" s="14">
        <f t="shared" si="185"/>
        <v>2.2708641912150958E-12</v>
      </c>
      <c r="GC181" s="22">
        <f t="shared" si="186"/>
        <v>4.2330868906469593E-12</v>
      </c>
      <c r="GD181" s="60">
        <f t="shared" si="134"/>
        <v>293.33333333333752</v>
      </c>
      <c r="GE181" s="60">
        <f ca="1">AVERAGE(OFFSET($GD$3,0,0,'Données projet'!$E$17+1,1))-AVERAGE(OFFSET($H$3,0,0,'Données projet'!$E$17+1,1))</f>
        <v>317.54276561627643</v>
      </c>
      <c r="GF181" s="60">
        <f t="shared" si="158"/>
        <v>238.92443174298893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>
        <f>GU181*VLOOKUP('Données projet'!$B$18,Paramètres!$A$1:$I$89,3,0)*VLOOKUP('Données projet'!$B$18,Paramètres!$A$1:$I$89,5,0)</f>
        <v>0</v>
      </c>
      <c r="GW181" s="14" t="e">
        <f t="shared" si="188"/>
        <v>#NUM!</v>
      </c>
      <c r="GX181" s="22" t="e">
        <f t="shared" si="189"/>
        <v>#NUM!</v>
      </c>
      <c r="GY181" s="60" t="e">
        <f t="shared" si="137"/>
        <v>#NUM!</v>
      </c>
      <c r="GZ181" s="60">
        <f ca="1">AVERAGE(OFFSET($GY$3,0,0,'Données projet'!$E$18+1,1))-AVERAGE(OFFSET($H$3,0,0,'Données projet'!$E$18+1,1))</f>
        <v>79.868679770907136</v>
      </c>
      <c r="HA181" s="60">
        <f t="shared" si="160"/>
        <v>370.47471103028312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3.3142878290566071</v>
      </c>
      <c r="HH181" s="23">
        <f>EXP(-LN(2)/25)*HH180+(1-EXP(-LN(2)/25))/(LN(2)/25)*Calculateur!HC181*Calculateur!HE181*VLOOKUP('Données projet'!$B$18,Paramètres!$A$1:$I$89,3,0)*0.475*44/12</f>
        <v>0.24949962578490473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3.563787454841512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0">
        <f t="shared" si="109"/>
        <v>293.33333333333439</v>
      </c>
      <c r="S182" s="60">
        <f ca="1">AVERAGE(OFFSET($R$3,0,0,'Données projet'!$E$9+1,1))-AVERAGE(OFFSET($H$3,0,0,'Données projet'!$E$9+1,1))</f>
        <v>206.5885410269899</v>
      </c>
      <c r="T182" s="60">
        <f t="shared" si="142"/>
        <v>347.41156847586302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3.3992364478763198E-14</v>
      </c>
      <c r="AK182" s="14">
        <f t="shared" si="164"/>
        <v>5.790027782444094E-13</v>
      </c>
      <c r="AL182" s="22">
        <f t="shared" si="165"/>
        <v>1.0676332069095257E-12</v>
      </c>
      <c r="AM182" s="60">
        <f t="shared" si="113"/>
        <v>293.33333333333439</v>
      </c>
      <c r="AN182" s="60">
        <f ca="1">AVERAGE(OFFSET($AM$3,0,0,'Données projet'!$E$10+1,1))-AVERAGE(OFFSET($H$3,0,0,'Données projet'!$E$10+1,1))</f>
        <v>206.5885410269899</v>
      </c>
      <c r="AO182" s="60">
        <f t="shared" si="144"/>
        <v>347.41156847586302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5.7207043957280206</v>
      </c>
      <c r="AV182" s="23">
        <f>EXP(-LN(2)/25)*AV181+(1-EXP(-LN(2)/25))/(LN(2)/25)*Calculateur!AQ182*Calculateur!AS182*VLOOKUP('Données projet'!$B$10,Paramètres!$A$1:$I$89,3,0)*0.475*44/12</f>
        <v>5.3704129108713985E-2</v>
      </c>
      <c r="AW182" s="23">
        <f>EXP(-LN(2)/2)*AW181+(1-EXP(-LN(2)/2))/(LN(2)/2)*AQ182*AT182*VLOOKUP('Données projet'!$B$10,Paramètres!$A$1:$I$89,3,0)*0.475*44/12</f>
        <v>4.123416203749845E-20</v>
      </c>
      <c r="AX182" s="23">
        <f t="shared" si="166"/>
        <v>5.7744085248367343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1.0818439477588981E-13</v>
      </c>
      <c r="BF182" s="14">
        <f t="shared" si="167"/>
        <v>1.6104228458716316E-12</v>
      </c>
      <c r="BG182" s="22">
        <f t="shared" si="168"/>
        <v>2.9932409441277661E-12</v>
      </c>
      <c r="BH182" s="60">
        <f t="shared" si="116"/>
        <v>293.33333333333633</v>
      </c>
      <c r="BI182" s="60">
        <f ca="1">AVERAGE(OFFSET($BH$3,0,0,'Données projet'!$E$11+1,1))-AVERAGE(OFFSET($H$3,0,0,'Données projet'!$E$11+1,1))</f>
        <v>389.12604446638119</v>
      </c>
      <c r="BJ182" s="60">
        <f t="shared" si="146"/>
        <v>243.23852967152732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1.0286385077051818E-13</v>
      </c>
      <c r="CA182" s="14">
        <f t="shared" si="170"/>
        <v>1.5402366592183556E-12</v>
      </c>
      <c r="CB182" s="22">
        <f t="shared" si="171"/>
        <v>2.8617333882306215E-12</v>
      </c>
      <c r="CC182" s="60">
        <f t="shared" si="119"/>
        <v>293.33333333333616</v>
      </c>
      <c r="CD182" s="60">
        <f ca="1">AVERAGE(OFFSET($CC$3,0,0,'Données projet'!$E$12+1,1))-AVERAGE(OFFSET($H$3,0,0,'Données projet'!$E$12+1,1))</f>
        <v>371.95849973474657</v>
      </c>
      <c r="CE182" s="60">
        <f t="shared" si="148"/>
        <v>233.32640143610547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7.1630125765762208E-22</v>
      </c>
      <c r="CN182" s="24">
        <f t="shared" si="172"/>
        <v>7.1630125765762208E-22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1.0995790944434703E-13</v>
      </c>
      <c r="CV182" s="14">
        <f t="shared" si="173"/>
        <v>1.6337280948049956E-12</v>
      </c>
      <c r="CW182" s="22">
        <f t="shared" si="174"/>
        <v>3.036919790734272E-12</v>
      </c>
      <c r="CX182" s="60">
        <f t="shared" si="122"/>
        <v>293.33333333333633</v>
      </c>
      <c r="CY182" s="60">
        <f ca="1">AVERAGE(OFFSET($CX$3,0,0,'Données projet'!$E$13+1,1))-AVERAGE(OFFSET($H$3,0,0,'Données projet'!$E$13+1,1))</f>
        <v>394.8445842828649</v>
      </c>
      <c r="CZ182" s="60">
        <f t="shared" si="150"/>
        <v>246.54010105494143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7.6570134439263097E-22</v>
      </c>
      <c r="DI182" s="24">
        <f t="shared" si="175"/>
        <v>7.6570134439263097E-22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5.6843418860808015E-14</v>
      </c>
      <c r="DP182" s="18">
        <f>DO182*VLOOKUP('Données projet'!$B$14,Paramètres!$A$1:$I$89,3,0)*VLOOKUP('Données projet'!$B$14,Paramètres!$A$1:$I$89,5,0)</f>
        <v>4.9658410716801891E-14</v>
      </c>
      <c r="DQ182" s="14">
        <f t="shared" si="176"/>
        <v>8.0934058173791862E-13</v>
      </c>
      <c r="DR182" s="22">
        <f t="shared" si="177"/>
        <v>1.4960899118586383E-12</v>
      </c>
      <c r="DS182" s="60">
        <f t="shared" si="125"/>
        <v>293.33333333333479</v>
      </c>
      <c r="DT182" s="60">
        <f ca="1">AVERAGE(OFFSET($DS$3,0,0,'Données projet'!$E$14+1,1))-AVERAGE(OFFSET($H$3,0,0,'Données projet'!$E$14+1,1))</f>
        <v>266.98113257513319</v>
      </c>
      <c r="DU182" s="60">
        <f t="shared" si="152"/>
        <v>275.73257102713393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0.17885671578993023</v>
      </c>
      <c r="EC182" s="23">
        <f>EXP(-LN(2)/2)*EC181+(1-EXP(-LN(2)/2))/(LN(2)/2)*DW182*DZ182*VLOOKUP('Données projet'!$B$14,Paramètres!$A$1:$I$89,3,0)*0.475*44/12</f>
        <v>3.9180582030275675E-22</v>
      </c>
      <c r="ED182" s="24">
        <f t="shared" si="178"/>
        <v>0.17885671578993023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1.1368683772161603E-13</v>
      </c>
      <c r="EK182" s="18">
        <f>EJ182*VLOOKUP('Données projet'!$B$15,Paramètres!$A$1:$I$89,3,0)*VLOOKUP('Données projet'!$B$15,Paramètres!$A$1:$I$89,5,0)</f>
        <v>1.2946657079737634E-13</v>
      </c>
      <c r="EL182" s="14">
        <f t="shared" si="179"/>
        <v>1.8873591890224769E-12</v>
      </c>
      <c r="EM182" s="22">
        <f t="shared" si="180"/>
        <v>3.5126381983529106E-12</v>
      </c>
      <c r="EN182" s="60">
        <f t="shared" si="128"/>
        <v>293.33333333333684</v>
      </c>
      <c r="EO182" s="60">
        <f ca="1">AVERAGE(OFFSET($EN$3,0,0,'Données projet'!$E$15+1,1))-AVERAGE(OFFSET($H$3,0,0,'Données projet'!$E$15+1,1))</f>
        <v>457.62828850677369</v>
      </c>
      <c r="EP182" s="60">
        <f t="shared" si="154"/>
        <v>282.78263556175563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1.1368683772161603E-13</v>
      </c>
      <c r="FF182" s="18">
        <f>FE182*VLOOKUP('Données projet'!$B$16,Paramètres!$A$1:$I$89,3,0)*VLOOKUP('Données projet'!$B$16,Paramètres!$A$1:$I$89,5,0)</f>
        <v>1.2414602679200469E-13</v>
      </c>
      <c r="FG182" s="14">
        <f t="shared" si="182"/>
        <v>1.8186582995804361E-12</v>
      </c>
      <c r="FH182" s="22">
        <f t="shared" si="183"/>
        <v>3.3837175350986671E-12</v>
      </c>
      <c r="FI182" s="60">
        <f t="shared" si="131"/>
        <v>293.33333333333672</v>
      </c>
      <c r="FJ182" s="60">
        <f ca="1">AVERAGE(OFFSET($FI$3,0,0,'Données projet'!$E$16+1,1))-AVERAGE(OFFSET($H$3,0,0,'Données projet'!$E$16+1,1))</f>
        <v>440.52623925652182</v>
      </c>
      <c r="FK182" s="60">
        <f t="shared" si="156"/>
        <v>272.91122662088918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3.4106051316484809E-13</v>
      </c>
      <c r="GA182" s="18">
        <f>FZ182*VLOOKUP('Données projet'!$B$17,Paramètres!$A$1:$I$89,3,0)*VLOOKUP('Données projet'!$B$17,Paramètres!$A$1:$I$89,5,0)</f>
        <v>1.5961632016114892E-13</v>
      </c>
      <c r="GB182" s="14">
        <f t="shared" si="185"/>
        <v>2.2708641912150958E-12</v>
      </c>
      <c r="GC182" s="22">
        <f t="shared" si="186"/>
        <v>4.2330868906469593E-12</v>
      </c>
      <c r="GD182" s="60">
        <f t="shared" si="134"/>
        <v>293.33333333333752</v>
      </c>
      <c r="GE182" s="60">
        <f ca="1">AVERAGE(OFFSET($GD$3,0,0,'Données projet'!$E$17+1,1))-AVERAGE(OFFSET($H$3,0,0,'Données projet'!$E$17+1,1))</f>
        <v>317.54276561627643</v>
      </c>
      <c r="GF182" s="60">
        <f t="shared" si="158"/>
        <v>238.92443174298893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>
        <f>GU182*VLOOKUP('Données projet'!$B$18,Paramètres!$A$1:$I$89,3,0)*VLOOKUP('Données projet'!$B$18,Paramètres!$A$1:$I$89,5,0)</f>
        <v>0</v>
      </c>
      <c r="GW182" s="14" t="e">
        <f t="shared" si="188"/>
        <v>#NUM!</v>
      </c>
      <c r="GX182" s="22" t="e">
        <f t="shared" si="189"/>
        <v>#NUM!</v>
      </c>
      <c r="GY182" s="60" t="e">
        <f t="shared" si="137"/>
        <v>#NUM!</v>
      </c>
      <c r="GZ182" s="60">
        <f ca="1">AVERAGE(OFFSET($GY$3,0,0,'Données projet'!$E$18+1,1))-AVERAGE(OFFSET($H$3,0,0,'Données projet'!$E$18+1,1))</f>
        <v>79.868679770907136</v>
      </c>
      <c r="HA182" s="60">
        <f t="shared" si="160"/>
        <v>370.47471103028312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3.2492966662447746</v>
      </c>
      <c r="HH182" s="23">
        <f>EXP(-LN(2)/25)*HH181+(1-EXP(-LN(2)/25))/(LN(2)/25)*Calculateur!HC182*Calculateur!HE182*VLOOKUP('Données projet'!$B$18,Paramètres!$A$1:$I$89,3,0)*0.475*44/12</f>
        <v>0.24267704539720142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3.4919737116419762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0">
        <f t="shared" si="109"/>
        <v>293.33333333333439</v>
      </c>
      <c r="S183" s="60">
        <f ca="1">AVERAGE(OFFSET($R$3,0,0,'Données projet'!$E$9+1,1))-AVERAGE(OFFSET($H$3,0,0,'Données projet'!$E$9+1,1))</f>
        <v>206.5885410269899</v>
      </c>
      <c r="T183" s="60">
        <f t="shared" si="142"/>
        <v>347.41156847586302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3.3992364478763198E-14</v>
      </c>
      <c r="AK183" s="14">
        <f t="shared" si="164"/>
        <v>5.790027782444094E-13</v>
      </c>
      <c r="AL183" s="22">
        <f t="shared" si="165"/>
        <v>1.0676332069095257E-12</v>
      </c>
      <c r="AM183" s="60">
        <f t="shared" si="113"/>
        <v>293.33333333333439</v>
      </c>
      <c r="AN183" s="60">
        <f ca="1">AVERAGE(OFFSET($AM$3,0,0,'Données projet'!$E$10+1,1))-AVERAGE(OFFSET($H$3,0,0,'Données projet'!$E$10+1,1))</f>
        <v>206.5885410269899</v>
      </c>
      <c r="AO183" s="60">
        <f t="shared" si="144"/>
        <v>347.41156847586302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5.6085248718129375</v>
      </c>
      <c r="AV183" s="23">
        <f>EXP(-LN(2)/25)*AV182+(1-EXP(-LN(2)/25))/(LN(2)/25)*Calculateur!AQ183*Calculateur!AS183*VLOOKUP('Données projet'!$B$10,Paramètres!$A$1:$I$89,3,0)*0.475*44/12</f>
        <v>5.2235586874058791E-2</v>
      </c>
      <c r="AW183" s="23">
        <f>EXP(-LN(2)/2)*AW182+(1-EXP(-LN(2)/2))/(LN(2)/2)*AQ183*AT183*VLOOKUP('Données projet'!$B$10,Paramètres!$A$1:$I$89,3,0)*0.475*44/12</f>
        <v>2.9156955593260061E-20</v>
      </c>
      <c r="AX183" s="23">
        <f t="shared" si="166"/>
        <v>5.6607604586869966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1.0818439477588981E-13</v>
      </c>
      <c r="BF183" s="14">
        <f t="shared" si="167"/>
        <v>1.6104228458716316E-12</v>
      </c>
      <c r="BG183" s="22">
        <f t="shared" si="168"/>
        <v>2.9932409441277661E-12</v>
      </c>
      <c r="BH183" s="60">
        <f t="shared" si="116"/>
        <v>293.33333333333633</v>
      </c>
      <c r="BI183" s="60">
        <f ca="1">AVERAGE(OFFSET($BH$3,0,0,'Données projet'!$E$11+1,1))-AVERAGE(OFFSET($H$3,0,0,'Données projet'!$E$11+1,1))</f>
        <v>389.12604446638119</v>
      </c>
      <c r="BJ183" s="60">
        <f t="shared" si="146"/>
        <v>243.23852967152732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1.0286385077051818E-13</v>
      </c>
      <c r="CA183" s="14">
        <f t="shared" si="170"/>
        <v>1.5402366592183556E-12</v>
      </c>
      <c r="CB183" s="22">
        <f t="shared" si="171"/>
        <v>2.8617333882306215E-12</v>
      </c>
      <c r="CC183" s="60">
        <f t="shared" si="119"/>
        <v>293.33333333333616</v>
      </c>
      <c r="CD183" s="60">
        <f ca="1">AVERAGE(OFFSET($CC$3,0,0,'Données projet'!$E$12+1,1))-AVERAGE(OFFSET($H$3,0,0,'Données projet'!$E$12+1,1))</f>
        <v>371.95849973474657</v>
      </c>
      <c r="CE183" s="60">
        <f t="shared" si="148"/>
        <v>233.32640143610547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5.0650147666215697E-22</v>
      </c>
      <c r="CN183" s="24">
        <f t="shared" si="172"/>
        <v>5.0650147666215697E-22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1.0995790944434703E-13</v>
      </c>
      <c r="CV183" s="14">
        <f t="shared" si="173"/>
        <v>1.6337280948049956E-12</v>
      </c>
      <c r="CW183" s="22">
        <f t="shared" si="174"/>
        <v>3.036919790734272E-12</v>
      </c>
      <c r="CX183" s="60">
        <f t="shared" si="122"/>
        <v>293.33333333333633</v>
      </c>
      <c r="CY183" s="60">
        <f ca="1">AVERAGE(OFFSET($CX$3,0,0,'Données projet'!$E$13+1,1))-AVERAGE(OFFSET($H$3,0,0,'Données projet'!$E$13+1,1))</f>
        <v>394.8445842828649</v>
      </c>
      <c r="CZ183" s="60">
        <f t="shared" si="150"/>
        <v>246.54010105494143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5.4143261298368537E-22</v>
      </c>
      <c r="DI183" s="24">
        <f t="shared" si="175"/>
        <v>5.4143261298368537E-22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5.6843418860808015E-14</v>
      </c>
      <c r="DP183" s="18">
        <f>DO183*VLOOKUP('Données projet'!$B$14,Paramètres!$A$1:$I$89,3,0)*VLOOKUP('Données projet'!$B$14,Paramètres!$A$1:$I$89,5,0)</f>
        <v>4.9658410716801891E-14</v>
      </c>
      <c r="DQ183" s="14">
        <f t="shared" si="176"/>
        <v>8.0934058173791862E-13</v>
      </c>
      <c r="DR183" s="22">
        <f t="shared" si="177"/>
        <v>1.4960899118586383E-12</v>
      </c>
      <c r="DS183" s="60">
        <f t="shared" si="125"/>
        <v>293.33333333333479</v>
      </c>
      <c r="DT183" s="60">
        <f ca="1">AVERAGE(OFFSET($DS$3,0,0,'Données projet'!$E$14+1,1))-AVERAGE(OFFSET($H$3,0,0,'Données projet'!$E$14+1,1))</f>
        <v>266.98113257513319</v>
      </c>
      <c r="DU183" s="60">
        <f t="shared" si="152"/>
        <v>275.73257102713393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0.17396586949098869</v>
      </c>
      <c r="EC183" s="23">
        <f>EXP(-LN(2)/2)*EC182+(1-EXP(-LN(2)/2))/(LN(2)/2)*DW183*DZ183*VLOOKUP('Données projet'!$B$14,Paramètres!$A$1:$I$89,3,0)*0.475*44/12</f>
        <v>2.7704855244443717E-22</v>
      </c>
      <c r="ED183" s="24">
        <f t="shared" si="178"/>
        <v>0.17396586949098869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1.1368683772161603E-13</v>
      </c>
      <c r="EK183" s="18">
        <f>EJ183*VLOOKUP('Données projet'!$B$15,Paramètres!$A$1:$I$89,3,0)*VLOOKUP('Données projet'!$B$15,Paramètres!$A$1:$I$89,5,0)</f>
        <v>1.2946657079737634E-13</v>
      </c>
      <c r="EL183" s="14">
        <f t="shared" si="179"/>
        <v>1.8873591890224769E-12</v>
      </c>
      <c r="EM183" s="22">
        <f t="shared" si="180"/>
        <v>3.5126381983529106E-12</v>
      </c>
      <c r="EN183" s="60">
        <f t="shared" si="128"/>
        <v>293.33333333333684</v>
      </c>
      <c r="EO183" s="60">
        <f ca="1">AVERAGE(OFFSET($EN$3,0,0,'Données projet'!$E$15+1,1))-AVERAGE(OFFSET($H$3,0,0,'Données projet'!$E$15+1,1))</f>
        <v>457.62828850677369</v>
      </c>
      <c r="EP183" s="60">
        <f t="shared" si="154"/>
        <v>282.78263556175563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1.1368683772161603E-13</v>
      </c>
      <c r="FF183" s="18">
        <f>FE183*VLOOKUP('Données projet'!$B$16,Paramètres!$A$1:$I$89,3,0)*VLOOKUP('Données projet'!$B$16,Paramètres!$A$1:$I$89,5,0)</f>
        <v>1.2414602679200469E-13</v>
      </c>
      <c r="FG183" s="14">
        <f t="shared" si="182"/>
        <v>1.8186582995804361E-12</v>
      </c>
      <c r="FH183" s="22">
        <f t="shared" si="183"/>
        <v>3.3837175350986671E-12</v>
      </c>
      <c r="FI183" s="60">
        <f t="shared" si="131"/>
        <v>293.33333333333672</v>
      </c>
      <c r="FJ183" s="60">
        <f ca="1">AVERAGE(OFFSET($FI$3,0,0,'Données projet'!$E$16+1,1))-AVERAGE(OFFSET($H$3,0,0,'Données projet'!$E$16+1,1))</f>
        <v>440.52623925652182</v>
      </c>
      <c r="FK183" s="60">
        <f t="shared" si="156"/>
        <v>272.91122662088918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3.4106051316484809E-13</v>
      </c>
      <c r="GA183" s="18">
        <f>FZ183*VLOOKUP('Données projet'!$B$17,Paramètres!$A$1:$I$89,3,0)*VLOOKUP('Données projet'!$B$17,Paramètres!$A$1:$I$89,5,0)</f>
        <v>1.5961632016114892E-13</v>
      </c>
      <c r="GB183" s="14">
        <f t="shared" si="185"/>
        <v>2.2708641912150958E-12</v>
      </c>
      <c r="GC183" s="22">
        <f t="shared" si="186"/>
        <v>4.2330868906469593E-12</v>
      </c>
      <c r="GD183" s="60">
        <f t="shared" si="134"/>
        <v>293.33333333333752</v>
      </c>
      <c r="GE183" s="60">
        <f ca="1">AVERAGE(OFFSET($GD$3,0,0,'Données projet'!$E$17+1,1))-AVERAGE(OFFSET($H$3,0,0,'Données projet'!$E$17+1,1))</f>
        <v>317.54276561627643</v>
      </c>
      <c r="GF183" s="60">
        <f t="shared" si="158"/>
        <v>238.92443174298893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>
        <f>GU183*VLOOKUP('Données projet'!$B$18,Paramètres!$A$1:$I$89,3,0)*VLOOKUP('Données projet'!$B$18,Paramètres!$A$1:$I$89,5,0)</f>
        <v>0</v>
      </c>
      <c r="GW183" s="14" t="e">
        <f t="shared" si="188"/>
        <v>#NUM!</v>
      </c>
      <c r="GX183" s="22" t="e">
        <f t="shared" si="189"/>
        <v>#NUM!</v>
      </c>
      <c r="GY183" s="60" t="e">
        <f t="shared" si="137"/>
        <v>#NUM!</v>
      </c>
      <c r="GZ183" s="60">
        <f ca="1">AVERAGE(OFFSET($GY$3,0,0,'Données projet'!$E$18+1,1))-AVERAGE(OFFSET($H$3,0,0,'Données projet'!$E$18+1,1))</f>
        <v>79.868679770907136</v>
      </c>
      <c r="HA183" s="60">
        <f t="shared" si="160"/>
        <v>370.47471103028312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3.1855799404949869</v>
      </c>
      <c r="HH183" s="23">
        <f>EXP(-LN(2)/25)*HH182+(1-EXP(-LN(2)/25))/(LN(2)/25)*Calculateur!HC183*Calculateur!HE183*VLOOKUP('Données projet'!$B$18,Paramètres!$A$1:$I$89,3,0)*0.475*44/12</f>
        <v>0.23604102882898378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3.4216209693239708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0">
        <f t="shared" si="109"/>
        <v>293.33333333333439</v>
      </c>
      <c r="S184" s="60">
        <f ca="1">AVERAGE(OFFSET($R$3,0,0,'Données projet'!$E$9+1,1))-AVERAGE(OFFSET($H$3,0,0,'Données projet'!$E$9+1,1))</f>
        <v>206.5885410269899</v>
      </c>
      <c r="T184" s="60">
        <f t="shared" si="142"/>
        <v>347.41156847586302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3.3992364478763198E-14</v>
      </c>
      <c r="AK184" s="14">
        <f t="shared" si="164"/>
        <v>5.790027782444094E-13</v>
      </c>
      <c r="AL184" s="22">
        <f t="shared" si="165"/>
        <v>1.0676332069095257E-12</v>
      </c>
      <c r="AM184" s="60">
        <f t="shared" si="113"/>
        <v>293.33333333333439</v>
      </c>
      <c r="AN184" s="60">
        <f ca="1">AVERAGE(OFFSET($AM$3,0,0,'Données projet'!$E$10+1,1))-AVERAGE(OFFSET($H$3,0,0,'Données projet'!$E$10+1,1))</f>
        <v>206.5885410269899</v>
      </c>
      <c r="AO184" s="60">
        <f t="shared" si="144"/>
        <v>347.41156847586302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5.4985451199390756</v>
      </c>
      <c r="AV184" s="23">
        <f>EXP(-LN(2)/25)*AV183+(1-EXP(-LN(2)/25))/(LN(2)/25)*Calculateur!AQ184*Calculateur!AS184*VLOOKUP('Données projet'!$B$10,Paramètres!$A$1:$I$89,3,0)*0.475*44/12</f>
        <v>5.0807202004037523E-2</v>
      </c>
      <c r="AW184" s="23">
        <f>EXP(-LN(2)/2)*AW183+(1-EXP(-LN(2)/2))/(LN(2)/2)*AQ184*AT184*VLOOKUP('Données projet'!$B$10,Paramètres!$A$1:$I$89,3,0)*0.475*44/12</f>
        <v>2.0617081018749225E-20</v>
      </c>
      <c r="AX184" s="23">
        <f t="shared" si="166"/>
        <v>5.5493523219431129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1.0818439477588981E-13</v>
      </c>
      <c r="BF184" s="14">
        <f t="shared" si="167"/>
        <v>1.6104228458716316E-12</v>
      </c>
      <c r="BG184" s="22">
        <f t="shared" si="168"/>
        <v>2.9932409441277661E-12</v>
      </c>
      <c r="BH184" s="60">
        <f t="shared" si="116"/>
        <v>293.33333333333633</v>
      </c>
      <c r="BI184" s="60">
        <f ca="1">AVERAGE(OFFSET($BH$3,0,0,'Données projet'!$E$11+1,1))-AVERAGE(OFFSET($H$3,0,0,'Données projet'!$E$11+1,1))</f>
        <v>389.12604446638119</v>
      </c>
      <c r="BJ184" s="60">
        <f t="shared" si="146"/>
        <v>243.23852967152732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1.0286385077051818E-13</v>
      </c>
      <c r="CA184" s="14">
        <f t="shared" si="170"/>
        <v>1.5402366592183556E-12</v>
      </c>
      <c r="CB184" s="22">
        <f t="shared" si="171"/>
        <v>2.8617333882306215E-12</v>
      </c>
      <c r="CC184" s="60">
        <f t="shared" si="119"/>
        <v>293.33333333333616</v>
      </c>
      <c r="CD184" s="60">
        <f ca="1">AVERAGE(OFFSET($CC$3,0,0,'Données projet'!$E$12+1,1))-AVERAGE(OFFSET($H$3,0,0,'Données projet'!$E$12+1,1))</f>
        <v>371.95849973474657</v>
      </c>
      <c r="CE184" s="60">
        <f t="shared" si="148"/>
        <v>233.32640143610547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3.5815062882881104E-22</v>
      </c>
      <c r="CN184" s="24">
        <f t="shared" si="172"/>
        <v>3.5815062882881104E-22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1.0995790944434703E-13</v>
      </c>
      <c r="CV184" s="14">
        <f t="shared" si="173"/>
        <v>1.6337280948049956E-12</v>
      </c>
      <c r="CW184" s="22">
        <f t="shared" si="174"/>
        <v>3.036919790734272E-12</v>
      </c>
      <c r="CX184" s="60">
        <f t="shared" si="122"/>
        <v>293.33333333333633</v>
      </c>
      <c r="CY184" s="60">
        <f ca="1">AVERAGE(OFFSET($CX$3,0,0,'Données projet'!$E$13+1,1))-AVERAGE(OFFSET($H$3,0,0,'Données projet'!$E$13+1,1))</f>
        <v>394.8445842828649</v>
      </c>
      <c r="CZ184" s="60">
        <f t="shared" si="150"/>
        <v>246.54010105494143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3.8285067219631549E-22</v>
      </c>
      <c r="DI184" s="24">
        <f t="shared" si="175"/>
        <v>3.8285067219631549E-22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5.6843418860808015E-14</v>
      </c>
      <c r="DP184" s="18">
        <f>DO184*VLOOKUP('Données projet'!$B$14,Paramètres!$A$1:$I$89,3,0)*VLOOKUP('Données projet'!$B$14,Paramètres!$A$1:$I$89,5,0)</f>
        <v>4.9658410716801891E-14</v>
      </c>
      <c r="DQ184" s="14">
        <f t="shared" si="176"/>
        <v>8.0934058173791862E-13</v>
      </c>
      <c r="DR184" s="22">
        <f t="shared" si="177"/>
        <v>1.4960899118586383E-12</v>
      </c>
      <c r="DS184" s="60">
        <f t="shared" si="125"/>
        <v>293.33333333333479</v>
      </c>
      <c r="DT184" s="60">
        <f ca="1">AVERAGE(OFFSET($DS$3,0,0,'Données projet'!$E$14+1,1))-AVERAGE(OFFSET($H$3,0,0,'Données projet'!$E$14+1,1))</f>
        <v>266.98113257513319</v>
      </c>
      <c r="DU184" s="60">
        <f t="shared" si="152"/>
        <v>275.73257102713393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0.16920876364129014</v>
      </c>
      <c r="EC184" s="23">
        <f>EXP(-LN(2)/2)*EC183+(1-EXP(-LN(2)/2))/(LN(2)/2)*DW184*DZ184*VLOOKUP('Données projet'!$B$14,Paramètres!$A$1:$I$89,3,0)*0.475*44/12</f>
        <v>1.9590291015137837E-22</v>
      </c>
      <c r="ED184" s="24">
        <f t="shared" si="178"/>
        <v>0.16920876364129014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1.1368683772161603E-13</v>
      </c>
      <c r="EK184" s="18">
        <f>EJ184*VLOOKUP('Données projet'!$B$15,Paramètres!$A$1:$I$89,3,0)*VLOOKUP('Données projet'!$B$15,Paramètres!$A$1:$I$89,5,0)</f>
        <v>1.2946657079737634E-13</v>
      </c>
      <c r="EL184" s="14">
        <f t="shared" si="179"/>
        <v>1.8873591890224769E-12</v>
      </c>
      <c r="EM184" s="22">
        <f t="shared" si="180"/>
        <v>3.5126381983529106E-12</v>
      </c>
      <c r="EN184" s="60">
        <f t="shared" si="128"/>
        <v>293.33333333333684</v>
      </c>
      <c r="EO184" s="60">
        <f ca="1">AVERAGE(OFFSET($EN$3,0,0,'Données projet'!$E$15+1,1))-AVERAGE(OFFSET($H$3,0,0,'Données projet'!$E$15+1,1))</f>
        <v>457.62828850677369</v>
      </c>
      <c r="EP184" s="60">
        <f t="shared" si="154"/>
        <v>282.78263556175563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1.1368683772161603E-13</v>
      </c>
      <c r="FF184" s="18">
        <f>FE184*VLOOKUP('Données projet'!$B$16,Paramètres!$A$1:$I$89,3,0)*VLOOKUP('Données projet'!$B$16,Paramètres!$A$1:$I$89,5,0)</f>
        <v>1.2414602679200469E-13</v>
      </c>
      <c r="FG184" s="14">
        <f t="shared" si="182"/>
        <v>1.8186582995804361E-12</v>
      </c>
      <c r="FH184" s="22">
        <f t="shared" si="183"/>
        <v>3.3837175350986671E-12</v>
      </c>
      <c r="FI184" s="60">
        <f t="shared" si="131"/>
        <v>293.33333333333672</v>
      </c>
      <c r="FJ184" s="60">
        <f ca="1">AVERAGE(OFFSET($FI$3,0,0,'Données projet'!$E$16+1,1))-AVERAGE(OFFSET($H$3,0,0,'Données projet'!$E$16+1,1))</f>
        <v>440.52623925652182</v>
      </c>
      <c r="FK184" s="60">
        <f t="shared" si="156"/>
        <v>272.91122662088918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3.4106051316484809E-13</v>
      </c>
      <c r="GA184" s="18">
        <f>FZ184*VLOOKUP('Données projet'!$B$17,Paramètres!$A$1:$I$89,3,0)*VLOOKUP('Données projet'!$B$17,Paramètres!$A$1:$I$89,5,0)</f>
        <v>1.5961632016114892E-13</v>
      </c>
      <c r="GB184" s="14">
        <f t="shared" si="185"/>
        <v>2.2708641912150958E-12</v>
      </c>
      <c r="GC184" s="22">
        <f t="shared" si="186"/>
        <v>4.2330868906469593E-12</v>
      </c>
      <c r="GD184" s="60">
        <f t="shared" si="134"/>
        <v>293.33333333333752</v>
      </c>
      <c r="GE184" s="60">
        <f ca="1">AVERAGE(OFFSET($GD$3,0,0,'Données projet'!$E$17+1,1))-AVERAGE(OFFSET($H$3,0,0,'Données projet'!$E$17+1,1))</f>
        <v>317.54276561627643</v>
      </c>
      <c r="GF184" s="60">
        <f t="shared" si="158"/>
        <v>238.92443174298893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>
        <f>GU184*VLOOKUP('Données projet'!$B$18,Paramètres!$A$1:$I$89,3,0)*VLOOKUP('Données projet'!$B$18,Paramètres!$A$1:$I$89,5,0)</f>
        <v>0</v>
      </c>
      <c r="GW184" s="14" t="e">
        <f t="shared" si="188"/>
        <v>#NUM!</v>
      </c>
      <c r="GX184" s="22" t="e">
        <f t="shared" si="189"/>
        <v>#NUM!</v>
      </c>
      <c r="GY184" s="60" t="e">
        <f t="shared" si="137"/>
        <v>#NUM!</v>
      </c>
      <c r="GZ184" s="60">
        <f ca="1">AVERAGE(OFFSET($GY$3,0,0,'Données projet'!$E$18+1,1))-AVERAGE(OFFSET($H$3,0,0,'Données projet'!$E$18+1,1))</f>
        <v>79.868679770907136</v>
      </c>
      <c r="HA184" s="60">
        <f t="shared" si="160"/>
        <v>370.47471103028312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3.1231126608737876</v>
      </c>
      <c r="HH184" s="23">
        <f>EXP(-LN(2)/25)*HH183+(1-EXP(-LN(2)/25))/(LN(2)/25)*Calculateur!HC184*Calculateur!HE184*VLOOKUP('Données projet'!$B$18,Paramètres!$A$1:$I$89,3,0)*0.475*44/12</f>
        <v>0.22958647448279701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3.3526991353565845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0">
        <f t="shared" si="109"/>
        <v>293.33333333333439</v>
      </c>
      <c r="S185" s="60">
        <f ca="1">AVERAGE(OFFSET($R$3,0,0,'Données projet'!$E$9+1,1))-AVERAGE(OFFSET($H$3,0,0,'Données projet'!$E$9+1,1))</f>
        <v>206.5885410269899</v>
      </c>
      <c r="T185" s="60">
        <f t="shared" si="142"/>
        <v>347.41156847586302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3.3992364478763198E-14</v>
      </c>
      <c r="AK185" s="14">
        <f t="shared" si="164"/>
        <v>5.790027782444094E-13</v>
      </c>
      <c r="AL185" s="22">
        <f t="shared" si="165"/>
        <v>1.0676332069095257E-12</v>
      </c>
      <c r="AM185" s="60">
        <f t="shared" si="113"/>
        <v>293.33333333333439</v>
      </c>
      <c r="AN185" s="60">
        <f ca="1">AVERAGE(OFFSET($AM$3,0,0,'Données projet'!$E$10+1,1))-AVERAGE(OFFSET($H$3,0,0,'Données projet'!$E$10+1,1))</f>
        <v>206.5885410269899</v>
      </c>
      <c r="AO185" s="60">
        <f t="shared" si="144"/>
        <v>347.41156847586302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5.3907220039184347</v>
      </c>
      <c r="AV185" s="23">
        <f>EXP(-LN(2)/25)*AV184+(1-EXP(-LN(2)/25))/(LN(2)/25)*Calculateur!AQ185*Calculateur!AS185*VLOOKUP('Données projet'!$B$10,Paramètres!$A$1:$I$89,3,0)*0.475*44/12</f>
        <v>4.9417876393402484E-2</v>
      </c>
      <c r="AW185" s="23">
        <f>EXP(-LN(2)/2)*AW184+(1-EXP(-LN(2)/2))/(LN(2)/2)*AQ185*AT185*VLOOKUP('Données projet'!$B$10,Paramètres!$A$1:$I$89,3,0)*0.475*44/12</f>
        <v>1.4578477796630031E-20</v>
      </c>
      <c r="AX185" s="23">
        <f t="shared" si="166"/>
        <v>5.440139880311837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1.0818439477588981E-13</v>
      </c>
      <c r="BF185" s="14">
        <f t="shared" si="167"/>
        <v>1.6104228458716316E-12</v>
      </c>
      <c r="BG185" s="22">
        <f t="shared" si="168"/>
        <v>2.9932409441277661E-12</v>
      </c>
      <c r="BH185" s="60">
        <f t="shared" si="116"/>
        <v>293.33333333333633</v>
      </c>
      <c r="BI185" s="60">
        <f ca="1">AVERAGE(OFFSET($BH$3,0,0,'Données projet'!$E$11+1,1))-AVERAGE(OFFSET($H$3,0,0,'Données projet'!$E$11+1,1))</f>
        <v>389.12604446638119</v>
      </c>
      <c r="BJ185" s="60">
        <f t="shared" si="146"/>
        <v>243.23852967152732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1.0286385077051818E-13</v>
      </c>
      <c r="CA185" s="14">
        <f t="shared" si="170"/>
        <v>1.5402366592183556E-12</v>
      </c>
      <c r="CB185" s="22">
        <f t="shared" si="171"/>
        <v>2.8617333882306215E-12</v>
      </c>
      <c r="CC185" s="60">
        <f t="shared" si="119"/>
        <v>293.33333333333616</v>
      </c>
      <c r="CD185" s="60">
        <f ca="1">AVERAGE(OFFSET($CC$3,0,0,'Données projet'!$E$12+1,1))-AVERAGE(OFFSET($H$3,0,0,'Données projet'!$E$12+1,1))</f>
        <v>371.95849973474657</v>
      </c>
      <c r="CE185" s="60">
        <f t="shared" si="148"/>
        <v>233.32640143610547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2.5325073833107848E-22</v>
      </c>
      <c r="CN185" s="24">
        <f t="shared" si="172"/>
        <v>2.5325073833107848E-22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1.0995790944434703E-13</v>
      </c>
      <c r="CV185" s="14">
        <f t="shared" si="173"/>
        <v>1.6337280948049956E-12</v>
      </c>
      <c r="CW185" s="22">
        <f t="shared" si="174"/>
        <v>3.036919790734272E-12</v>
      </c>
      <c r="CX185" s="60">
        <f t="shared" si="122"/>
        <v>293.33333333333633</v>
      </c>
      <c r="CY185" s="60">
        <f ca="1">AVERAGE(OFFSET($CX$3,0,0,'Données projet'!$E$13+1,1))-AVERAGE(OFFSET($H$3,0,0,'Données projet'!$E$13+1,1))</f>
        <v>394.8445842828649</v>
      </c>
      <c r="CZ185" s="60">
        <f t="shared" si="150"/>
        <v>246.54010105494143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2.7071630649184269E-22</v>
      </c>
      <c r="DI185" s="24">
        <f t="shared" si="175"/>
        <v>2.7071630649184269E-22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5.6843418860808015E-14</v>
      </c>
      <c r="DP185" s="18">
        <f>DO185*VLOOKUP('Données projet'!$B$14,Paramètres!$A$1:$I$89,3,0)*VLOOKUP('Données projet'!$B$14,Paramètres!$A$1:$I$89,5,0)</f>
        <v>4.9658410716801891E-14</v>
      </c>
      <c r="DQ185" s="14">
        <f t="shared" si="176"/>
        <v>8.0934058173791862E-13</v>
      </c>
      <c r="DR185" s="22">
        <f t="shared" si="177"/>
        <v>1.4960899118586383E-12</v>
      </c>
      <c r="DS185" s="60">
        <f t="shared" si="125"/>
        <v>293.33333333333479</v>
      </c>
      <c r="DT185" s="60">
        <f ca="1">AVERAGE(OFFSET($DS$3,0,0,'Données projet'!$E$14+1,1))-AVERAGE(OFFSET($H$3,0,0,'Données projet'!$E$14+1,1))</f>
        <v>266.98113257513319</v>
      </c>
      <c r="DU185" s="60">
        <f t="shared" si="152"/>
        <v>275.73257102713393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0.16458174110121693</v>
      </c>
      <c r="EC185" s="23">
        <f>EXP(-LN(2)/2)*EC184+(1-EXP(-LN(2)/2))/(LN(2)/2)*DW185*DZ185*VLOOKUP('Données projet'!$B$14,Paramètres!$A$1:$I$89,3,0)*0.475*44/12</f>
        <v>1.3852427622221859E-22</v>
      </c>
      <c r="ED185" s="24">
        <f t="shared" si="178"/>
        <v>0.16458174110121693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1.1368683772161603E-13</v>
      </c>
      <c r="EK185" s="18">
        <f>EJ185*VLOOKUP('Données projet'!$B$15,Paramètres!$A$1:$I$89,3,0)*VLOOKUP('Données projet'!$B$15,Paramètres!$A$1:$I$89,5,0)</f>
        <v>1.2946657079737634E-13</v>
      </c>
      <c r="EL185" s="14">
        <f t="shared" si="179"/>
        <v>1.8873591890224769E-12</v>
      </c>
      <c r="EM185" s="22">
        <f t="shared" si="180"/>
        <v>3.5126381983529106E-12</v>
      </c>
      <c r="EN185" s="60">
        <f t="shared" si="128"/>
        <v>293.33333333333684</v>
      </c>
      <c r="EO185" s="60">
        <f ca="1">AVERAGE(OFFSET($EN$3,0,0,'Données projet'!$E$15+1,1))-AVERAGE(OFFSET($H$3,0,0,'Données projet'!$E$15+1,1))</f>
        <v>457.62828850677369</v>
      </c>
      <c r="EP185" s="60">
        <f t="shared" si="154"/>
        <v>282.78263556175563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1.1368683772161603E-13</v>
      </c>
      <c r="FF185" s="18">
        <f>FE185*VLOOKUP('Données projet'!$B$16,Paramètres!$A$1:$I$89,3,0)*VLOOKUP('Données projet'!$B$16,Paramètres!$A$1:$I$89,5,0)</f>
        <v>1.2414602679200469E-13</v>
      </c>
      <c r="FG185" s="14">
        <f t="shared" si="182"/>
        <v>1.8186582995804361E-12</v>
      </c>
      <c r="FH185" s="22">
        <f t="shared" si="183"/>
        <v>3.3837175350986671E-12</v>
      </c>
      <c r="FI185" s="60">
        <f t="shared" si="131"/>
        <v>293.33333333333672</v>
      </c>
      <c r="FJ185" s="60">
        <f ca="1">AVERAGE(OFFSET($FI$3,0,0,'Données projet'!$E$16+1,1))-AVERAGE(OFFSET($H$3,0,0,'Données projet'!$E$16+1,1))</f>
        <v>440.52623925652182</v>
      </c>
      <c r="FK185" s="60">
        <f t="shared" si="156"/>
        <v>272.91122662088918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3.4106051316484809E-13</v>
      </c>
      <c r="GA185" s="18">
        <f>FZ185*VLOOKUP('Données projet'!$B$17,Paramètres!$A$1:$I$89,3,0)*VLOOKUP('Données projet'!$B$17,Paramètres!$A$1:$I$89,5,0)</f>
        <v>1.5961632016114892E-13</v>
      </c>
      <c r="GB185" s="14">
        <f t="shared" si="185"/>
        <v>2.2708641912150958E-12</v>
      </c>
      <c r="GC185" s="22">
        <f t="shared" si="186"/>
        <v>4.2330868906469593E-12</v>
      </c>
      <c r="GD185" s="60">
        <f t="shared" si="134"/>
        <v>293.33333333333752</v>
      </c>
      <c r="GE185" s="60">
        <f ca="1">AVERAGE(OFFSET($GD$3,0,0,'Données projet'!$E$17+1,1))-AVERAGE(OFFSET($H$3,0,0,'Données projet'!$E$17+1,1))</f>
        <v>317.54276561627643</v>
      </c>
      <c r="GF185" s="60">
        <f t="shared" si="158"/>
        <v>238.92443174298893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>
        <f>GU185*VLOOKUP('Données projet'!$B$18,Paramètres!$A$1:$I$89,3,0)*VLOOKUP('Données projet'!$B$18,Paramètres!$A$1:$I$89,5,0)</f>
        <v>0</v>
      </c>
      <c r="GW185" s="14" t="e">
        <f t="shared" si="188"/>
        <v>#NUM!</v>
      </c>
      <c r="GX185" s="22" t="e">
        <f t="shared" si="189"/>
        <v>#NUM!</v>
      </c>
      <c r="GY185" s="60" t="e">
        <f t="shared" si="137"/>
        <v>#NUM!</v>
      </c>
      <c r="GZ185" s="60">
        <f ca="1">AVERAGE(OFFSET($GY$3,0,0,'Données projet'!$E$18+1,1))-AVERAGE(OFFSET($H$3,0,0,'Données projet'!$E$18+1,1))</f>
        <v>79.868679770907136</v>
      </c>
      <c r="HA185" s="60">
        <f t="shared" si="160"/>
        <v>370.47471103028312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3.0618703265046814</v>
      </c>
      <c r="HH185" s="23">
        <f>EXP(-LN(2)/25)*HH184+(1-EXP(-LN(2)/25))/(LN(2)/25)*Calculateur!HC185*Calculateur!HE185*VLOOKUP('Données projet'!$B$18,Paramètres!$A$1:$I$89,3,0)*0.475*44/12</f>
        <v>0.22330842026463696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3.2851787467693185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0">
        <f t="shared" si="109"/>
        <v>293.33333333333439</v>
      </c>
      <c r="S186" s="60">
        <f ca="1">AVERAGE(OFFSET($R$3,0,0,'Données projet'!$E$9+1,1))-AVERAGE(OFFSET($H$3,0,0,'Données projet'!$E$9+1,1))</f>
        <v>206.5885410269899</v>
      </c>
      <c r="T186" s="60">
        <f t="shared" si="142"/>
        <v>347.41156847586302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3.3992364478763198E-14</v>
      </c>
      <c r="AK186" s="14">
        <f t="shared" si="164"/>
        <v>5.790027782444094E-13</v>
      </c>
      <c r="AL186" s="22">
        <f t="shared" si="165"/>
        <v>1.0676332069095257E-12</v>
      </c>
      <c r="AM186" s="60">
        <f t="shared" si="113"/>
        <v>293.33333333333439</v>
      </c>
      <c r="AN186" s="60">
        <f ca="1">AVERAGE(OFFSET($AM$3,0,0,'Données projet'!$E$10+1,1))-AVERAGE(OFFSET($H$3,0,0,'Données projet'!$E$10+1,1))</f>
        <v>206.5885410269899</v>
      </c>
      <c r="AO186" s="60">
        <f t="shared" si="144"/>
        <v>347.41156847586302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5.2850132334373523</v>
      </c>
      <c r="AV186" s="23">
        <f>EXP(-LN(2)/25)*AV185+(1-EXP(-LN(2)/25))/(LN(2)/25)*Calculateur!AQ186*Calculateur!AS186*VLOOKUP('Données projet'!$B$10,Paramètres!$A$1:$I$89,3,0)*0.475*44/12</f>
        <v>4.8066541964651717E-2</v>
      </c>
      <c r="AW186" s="23">
        <f>EXP(-LN(2)/2)*AW185+(1-EXP(-LN(2)/2))/(LN(2)/2)*AQ186*AT186*VLOOKUP('Données projet'!$B$10,Paramètres!$A$1:$I$89,3,0)*0.475*44/12</f>
        <v>1.0308540509374613E-20</v>
      </c>
      <c r="AX186" s="23">
        <f t="shared" si="166"/>
        <v>5.3330797754020036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1.0818439477588981E-13</v>
      </c>
      <c r="BF186" s="14">
        <f t="shared" si="167"/>
        <v>1.6104228458716316E-12</v>
      </c>
      <c r="BG186" s="22">
        <f t="shared" si="168"/>
        <v>2.9932409441277661E-12</v>
      </c>
      <c r="BH186" s="60">
        <f t="shared" si="116"/>
        <v>293.33333333333633</v>
      </c>
      <c r="BI186" s="60">
        <f ca="1">AVERAGE(OFFSET($BH$3,0,0,'Données projet'!$E$11+1,1))-AVERAGE(OFFSET($H$3,0,0,'Données projet'!$E$11+1,1))</f>
        <v>389.12604446638119</v>
      </c>
      <c r="BJ186" s="60">
        <f t="shared" si="146"/>
        <v>243.23852967152732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1.0286385077051818E-13</v>
      </c>
      <c r="CA186" s="14">
        <f t="shared" si="170"/>
        <v>1.5402366592183556E-12</v>
      </c>
      <c r="CB186" s="22">
        <f t="shared" si="171"/>
        <v>2.8617333882306215E-12</v>
      </c>
      <c r="CC186" s="60">
        <f t="shared" si="119"/>
        <v>293.33333333333616</v>
      </c>
      <c r="CD186" s="60">
        <f ca="1">AVERAGE(OFFSET($CC$3,0,0,'Données projet'!$E$12+1,1))-AVERAGE(OFFSET($H$3,0,0,'Données projet'!$E$12+1,1))</f>
        <v>371.95849973474657</v>
      </c>
      <c r="CE186" s="60">
        <f t="shared" si="148"/>
        <v>233.32640143610547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1.7907531441440552E-22</v>
      </c>
      <c r="CN186" s="24">
        <f t="shared" si="172"/>
        <v>1.7907531441440552E-22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1.0995790944434703E-13</v>
      </c>
      <c r="CV186" s="14">
        <f t="shared" si="173"/>
        <v>1.6337280948049956E-12</v>
      </c>
      <c r="CW186" s="22">
        <f t="shared" si="174"/>
        <v>3.036919790734272E-12</v>
      </c>
      <c r="CX186" s="60">
        <f t="shared" si="122"/>
        <v>293.33333333333633</v>
      </c>
      <c r="CY186" s="60">
        <f ca="1">AVERAGE(OFFSET($CX$3,0,0,'Données projet'!$E$13+1,1))-AVERAGE(OFFSET($H$3,0,0,'Données projet'!$E$13+1,1))</f>
        <v>394.8445842828649</v>
      </c>
      <c r="CZ186" s="60">
        <f t="shared" si="150"/>
        <v>246.54010105494143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1.9142533609815774E-22</v>
      </c>
      <c r="DI186" s="24">
        <f t="shared" si="175"/>
        <v>1.9142533609815774E-22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5.6843418860808015E-14</v>
      </c>
      <c r="DP186" s="18">
        <f>DO186*VLOOKUP('Données projet'!$B$14,Paramètres!$A$1:$I$89,3,0)*VLOOKUP('Données projet'!$B$14,Paramètres!$A$1:$I$89,5,0)</f>
        <v>4.9658410716801891E-14</v>
      </c>
      <c r="DQ186" s="14">
        <f t="shared" si="176"/>
        <v>8.0934058173791862E-13</v>
      </c>
      <c r="DR186" s="22">
        <f t="shared" si="177"/>
        <v>1.4960899118586383E-12</v>
      </c>
      <c r="DS186" s="60">
        <f t="shared" si="125"/>
        <v>293.33333333333479</v>
      </c>
      <c r="DT186" s="60">
        <f ca="1">AVERAGE(OFFSET($DS$3,0,0,'Données projet'!$E$14+1,1))-AVERAGE(OFFSET($H$3,0,0,'Données projet'!$E$14+1,1))</f>
        <v>266.98113257513319</v>
      </c>
      <c r="DU186" s="60">
        <f t="shared" si="152"/>
        <v>275.73257102713393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0.16008124473582655</v>
      </c>
      <c r="EC186" s="23">
        <f>EXP(-LN(2)/2)*EC185+(1-EXP(-LN(2)/2))/(LN(2)/2)*DW186*DZ186*VLOOKUP('Données projet'!$B$14,Paramètres!$A$1:$I$89,3,0)*0.475*44/12</f>
        <v>9.7951455075689187E-23</v>
      </c>
      <c r="ED186" s="24">
        <f t="shared" si="178"/>
        <v>0.16008124473582655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1.1368683772161603E-13</v>
      </c>
      <c r="EK186" s="18">
        <f>EJ186*VLOOKUP('Données projet'!$B$15,Paramètres!$A$1:$I$89,3,0)*VLOOKUP('Données projet'!$B$15,Paramètres!$A$1:$I$89,5,0)</f>
        <v>1.2946657079737634E-13</v>
      </c>
      <c r="EL186" s="14">
        <f t="shared" si="179"/>
        <v>1.8873591890224769E-12</v>
      </c>
      <c r="EM186" s="22">
        <f t="shared" si="180"/>
        <v>3.5126381983529106E-12</v>
      </c>
      <c r="EN186" s="60">
        <f t="shared" si="128"/>
        <v>293.33333333333684</v>
      </c>
      <c r="EO186" s="60">
        <f ca="1">AVERAGE(OFFSET($EN$3,0,0,'Données projet'!$E$15+1,1))-AVERAGE(OFFSET($H$3,0,0,'Données projet'!$E$15+1,1))</f>
        <v>457.62828850677369</v>
      </c>
      <c r="EP186" s="60">
        <f t="shared" si="154"/>
        <v>282.78263556175563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1.1368683772161603E-13</v>
      </c>
      <c r="FF186" s="18">
        <f>FE186*VLOOKUP('Données projet'!$B$16,Paramètres!$A$1:$I$89,3,0)*VLOOKUP('Données projet'!$B$16,Paramètres!$A$1:$I$89,5,0)</f>
        <v>1.2414602679200469E-13</v>
      </c>
      <c r="FG186" s="14">
        <f t="shared" si="182"/>
        <v>1.8186582995804361E-12</v>
      </c>
      <c r="FH186" s="22">
        <f t="shared" si="183"/>
        <v>3.3837175350986671E-12</v>
      </c>
      <c r="FI186" s="60">
        <f t="shared" si="131"/>
        <v>293.33333333333672</v>
      </c>
      <c r="FJ186" s="60">
        <f ca="1">AVERAGE(OFFSET($FI$3,0,0,'Données projet'!$E$16+1,1))-AVERAGE(OFFSET($H$3,0,0,'Données projet'!$E$16+1,1))</f>
        <v>440.52623925652182</v>
      </c>
      <c r="FK186" s="60">
        <f t="shared" si="156"/>
        <v>272.91122662088918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3.4106051316484809E-13</v>
      </c>
      <c r="GA186" s="18">
        <f>FZ186*VLOOKUP('Données projet'!$B$17,Paramètres!$A$1:$I$89,3,0)*VLOOKUP('Données projet'!$B$17,Paramètres!$A$1:$I$89,5,0)</f>
        <v>1.5961632016114892E-13</v>
      </c>
      <c r="GB186" s="14">
        <f t="shared" si="185"/>
        <v>2.2708641912150958E-12</v>
      </c>
      <c r="GC186" s="22">
        <f t="shared" si="186"/>
        <v>4.2330868906469593E-12</v>
      </c>
      <c r="GD186" s="60">
        <f t="shared" si="134"/>
        <v>293.33333333333752</v>
      </c>
      <c r="GE186" s="60">
        <f ca="1">AVERAGE(OFFSET($GD$3,0,0,'Données projet'!$E$17+1,1))-AVERAGE(OFFSET($H$3,0,0,'Données projet'!$E$17+1,1))</f>
        <v>317.54276561627643</v>
      </c>
      <c r="GF186" s="60">
        <f t="shared" si="158"/>
        <v>238.92443174298893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>
        <f>GU186*VLOOKUP('Données projet'!$B$18,Paramètres!$A$1:$I$89,3,0)*VLOOKUP('Données projet'!$B$18,Paramètres!$A$1:$I$89,5,0)</f>
        <v>0</v>
      </c>
      <c r="GW186" s="14" t="e">
        <f t="shared" si="188"/>
        <v>#NUM!</v>
      </c>
      <c r="GX186" s="22" t="e">
        <f t="shared" si="189"/>
        <v>#NUM!</v>
      </c>
      <c r="GY186" s="60" t="e">
        <f t="shared" si="137"/>
        <v>#NUM!</v>
      </c>
      <c r="GZ186" s="60">
        <f ca="1">AVERAGE(OFFSET($GY$3,0,0,'Données projet'!$E$18+1,1))-AVERAGE(OFFSET($H$3,0,0,'Données projet'!$E$18+1,1))</f>
        <v>79.868679770907136</v>
      </c>
      <c r="HA186" s="60">
        <f t="shared" si="160"/>
        <v>370.47471103028312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3.0018289169584178</v>
      </c>
      <c r="HH186" s="23">
        <f>EXP(-LN(2)/25)*HH185+(1-EXP(-LN(2)/25))/(LN(2)/25)*Calculateur!HC186*Calculateur!HE186*VLOOKUP('Données projet'!$B$18,Paramètres!$A$1:$I$89,3,0)*0.475*44/12</f>
        <v>0.21720203976922101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3.2190309567276389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0">
        <f t="shared" si="109"/>
        <v>293.33333333333439</v>
      </c>
      <c r="S187" s="60">
        <f ca="1">AVERAGE(OFFSET($R$3,0,0,'Données projet'!$E$9+1,1))-AVERAGE(OFFSET($H$3,0,0,'Données projet'!$E$9+1,1))</f>
        <v>206.5885410269899</v>
      </c>
      <c r="T187" s="60">
        <f t="shared" si="142"/>
        <v>347.41156847586302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3.3992364478763198E-14</v>
      </c>
      <c r="AK187" s="14">
        <f t="shared" si="164"/>
        <v>5.790027782444094E-13</v>
      </c>
      <c r="AL187" s="22">
        <f t="shared" si="165"/>
        <v>1.0676332069095257E-12</v>
      </c>
      <c r="AM187" s="60">
        <f t="shared" si="113"/>
        <v>293.33333333333439</v>
      </c>
      <c r="AN187" s="60">
        <f ca="1">AVERAGE(OFFSET($AM$3,0,0,'Données projet'!$E$10+1,1))-AVERAGE(OFFSET($H$3,0,0,'Données projet'!$E$10+1,1))</f>
        <v>206.5885410269899</v>
      </c>
      <c r="AO187" s="60">
        <f t="shared" si="144"/>
        <v>347.41156847586302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5.1813773474694198</v>
      </c>
      <c r="AV187" s="23">
        <f>EXP(-LN(2)/25)*AV186+(1-EXP(-LN(2)/25))/(LN(2)/25)*Calculateur!AQ187*Calculateur!AS187*VLOOKUP('Données projet'!$B$10,Paramètres!$A$1:$I$89,3,0)*0.475*44/12</f>
        <v>4.6752159846918731E-2</v>
      </c>
      <c r="AW187" s="23">
        <f>EXP(-LN(2)/2)*AW186+(1-EXP(-LN(2)/2))/(LN(2)/2)*AQ187*AT187*VLOOKUP('Données projet'!$B$10,Paramètres!$A$1:$I$89,3,0)*0.475*44/12</f>
        <v>7.2892388983150153E-21</v>
      </c>
      <c r="AX187" s="23">
        <f t="shared" si="166"/>
        <v>5.2281295073163383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1.0818439477588981E-13</v>
      </c>
      <c r="BF187" s="14">
        <f t="shared" si="167"/>
        <v>1.6104228458716316E-12</v>
      </c>
      <c r="BG187" s="22">
        <f t="shared" si="168"/>
        <v>2.9932409441277661E-12</v>
      </c>
      <c r="BH187" s="60">
        <f t="shared" si="116"/>
        <v>293.33333333333633</v>
      </c>
      <c r="BI187" s="60">
        <f ca="1">AVERAGE(OFFSET($BH$3,0,0,'Données projet'!$E$11+1,1))-AVERAGE(OFFSET($H$3,0,0,'Données projet'!$E$11+1,1))</f>
        <v>389.12604446638119</v>
      </c>
      <c r="BJ187" s="60">
        <f t="shared" si="146"/>
        <v>243.23852967152732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1.0286385077051818E-13</v>
      </c>
      <c r="CA187" s="14">
        <f t="shared" si="170"/>
        <v>1.5402366592183556E-12</v>
      </c>
      <c r="CB187" s="22">
        <f t="shared" si="171"/>
        <v>2.8617333882306215E-12</v>
      </c>
      <c r="CC187" s="60">
        <f t="shared" si="119"/>
        <v>293.33333333333616</v>
      </c>
      <c r="CD187" s="60">
        <f ca="1">AVERAGE(OFFSET($CC$3,0,0,'Données projet'!$E$12+1,1))-AVERAGE(OFFSET($H$3,0,0,'Données projet'!$E$12+1,1))</f>
        <v>371.95849973474657</v>
      </c>
      <c r="CE187" s="60">
        <f t="shared" si="148"/>
        <v>233.32640143610547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1.2662536916553924E-22</v>
      </c>
      <c r="CN187" s="24">
        <f t="shared" si="172"/>
        <v>1.2662536916553924E-22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1.0995790944434703E-13</v>
      </c>
      <c r="CV187" s="14">
        <f t="shared" si="173"/>
        <v>1.6337280948049956E-12</v>
      </c>
      <c r="CW187" s="22">
        <f t="shared" si="174"/>
        <v>3.036919790734272E-12</v>
      </c>
      <c r="CX187" s="60">
        <f t="shared" si="122"/>
        <v>293.33333333333633</v>
      </c>
      <c r="CY187" s="60">
        <f ca="1">AVERAGE(OFFSET($CX$3,0,0,'Données projet'!$E$13+1,1))-AVERAGE(OFFSET($H$3,0,0,'Données projet'!$E$13+1,1))</f>
        <v>394.8445842828649</v>
      </c>
      <c r="CZ187" s="60">
        <f t="shared" si="150"/>
        <v>246.54010105494143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1.3535815324592134E-22</v>
      </c>
      <c r="DI187" s="24">
        <f t="shared" si="175"/>
        <v>1.3535815324592134E-22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5.6843418860808015E-14</v>
      </c>
      <c r="DP187" s="18">
        <f>DO187*VLOOKUP('Données projet'!$B$14,Paramètres!$A$1:$I$89,3,0)*VLOOKUP('Données projet'!$B$14,Paramètres!$A$1:$I$89,5,0)</f>
        <v>4.9658410716801891E-14</v>
      </c>
      <c r="DQ187" s="14">
        <f t="shared" si="176"/>
        <v>8.0934058173791862E-13</v>
      </c>
      <c r="DR187" s="22">
        <f t="shared" si="177"/>
        <v>1.4960899118586383E-12</v>
      </c>
      <c r="DS187" s="60">
        <f t="shared" si="125"/>
        <v>293.33333333333479</v>
      </c>
      <c r="DT187" s="60">
        <f ca="1">AVERAGE(OFFSET($DS$3,0,0,'Données projet'!$E$14+1,1))-AVERAGE(OFFSET($H$3,0,0,'Données projet'!$E$14+1,1))</f>
        <v>266.98113257513319</v>
      </c>
      <c r="DU187" s="60">
        <f t="shared" si="152"/>
        <v>275.73257102713393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0.15570381468021857</v>
      </c>
      <c r="EC187" s="23">
        <f>EXP(-LN(2)/2)*EC186+(1-EXP(-LN(2)/2))/(LN(2)/2)*DW187*DZ187*VLOOKUP('Données projet'!$B$14,Paramètres!$A$1:$I$89,3,0)*0.475*44/12</f>
        <v>6.9262138111109293E-23</v>
      </c>
      <c r="ED187" s="24">
        <f t="shared" si="178"/>
        <v>0.15570381468021857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1.1368683772161603E-13</v>
      </c>
      <c r="EK187" s="18">
        <f>EJ187*VLOOKUP('Données projet'!$B$15,Paramètres!$A$1:$I$89,3,0)*VLOOKUP('Données projet'!$B$15,Paramètres!$A$1:$I$89,5,0)</f>
        <v>1.2946657079737634E-13</v>
      </c>
      <c r="EL187" s="14">
        <f t="shared" si="179"/>
        <v>1.8873591890224769E-12</v>
      </c>
      <c r="EM187" s="22">
        <f t="shared" si="180"/>
        <v>3.5126381983529106E-12</v>
      </c>
      <c r="EN187" s="60">
        <f t="shared" si="128"/>
        <v>293.33333333333684</v>
      </c>
      <c r="EO187" s="60">
        <f ca="1">AVERAGE(OFFSET($EN$3,0,0,'Données projet'!$E$15+1,1))-AVERAGE(OFFSET($H$3,0,0,'Données projet'!$E$15+1,1))</f>
        <v>457.62828850677369</v>
      </c>
      <c r="EP187" s="60">
        <f t="shared" si="154"/>
        <v>282.78263556175563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1.1368683772161603E-13</v>
      </c>
      <c r="FF187" s="18">
        <f>FE187*VLOOKUP('Données projet'!$B$16,Paramètres!$A$1:$I$89,3,0)*VLOOKUP('Données projet'!$B$16,Paramètres!$A$1:$I$89,5,0)</f>
        <v>1.2414602679200469E-13</v>
      </c>
      <c r="FG187" s="14">
        <f t="shared" si="182"/>
        <v>1.8186582995804361E-12</v>
      </c>
      <c r="FH187" s="22">
        <f t="shared" si="183"/>
        <v>3.3837175350986671E-12</v>
      </c>
      <c r="FI187" s="60">
        <f t="shared" si="131"/>
        <v>293.33333333333672</v>
      </c>
      <c r="FJ187" s="60">
        <f ca="1">AVERAGE(OFFSET($FI$3,0,0,'Données projet'!$E$16+1,1))-AVERAGE(OFFSET($H$3,0,0,'Données projet'!$E$16+1,1))</f>
        <v>440.52623925652182</v>
      </c>
      <c r="FK187" s="60">
        <f t="shared" si="156"/>
        <v>272.91122662088918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3.4106051316484809E-13</v>
      </c>
      <c r="GA187" s="18">
        <f>FZ187*VLOOKUP('Données projet'!$B$17,Paramètres!$A$1:$I$89,3,0)*VLOOKUP('Données projet'!$B$17,Paramètres!$A$1:$I$89,5,0)</f>
        <v>1.5961632016114892E-13</v>
      </c>
      <c r="GB187" s="14">
        <f t="shared" si="185"/>
        <v>2.2708641912150958E-12</v>
      </c>
      <c r="GC187" s="22">
        <f t="shared" si="186"/>
        <v>4.2330868906469593E-12</v>
      </c>
      <c r="GD187" s="60">
        <f t="shared" si="134"/>
        <v>293.33333333333752</v>
      </c>
      <c r="GE187" s="60">
        <f ca="1">AVERAGE(OFFSET($GD$3,0,0,'Données projet'!$E$17+1,1))-AVERAGE(OFFSET($H$3,0,0,'Données projet'!$E$17+1,1))</f>
        <v>317.54276561627643</v>
      </c>
      <c r="GF187" s="60">
        <f t="shared" si="158"/>
        <v>238.92443174298893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>
        <f>GU187*VLOOKUP('Données projet'!$B$18,Paramètres!$A$1:$I$89,3,0)*VLOOKUP('Données projet'!$B$18,Paramètres!$A$1:$I$89,5,0)</f>
        <v>0</v>
      </c>
      <c r="GW187" s="14" t="e">
        <f t="shared" si="188"/>
        <v>#NUM!</v>
      </c>
      <c r="GX187" s="22" t="e">
        <f t="shared" si="189"/>
        <v>#NUM!</v>
      </c>
      <c r="GY187" s="60" t="e">
        <f t="shared" si="137"/>
        <v>#NUM!</v>
      </c>
      <c r="GZ187" s="60">
        <f ca="1">AVERAGE(OFFSET($GY$3,0,0,'Données projet'!$E$18+1,1))-AVERAGE(OFFSET($H$3,0,0,'Données projet'!$E$18+1,1))</f>
        <v>79.868679770907136</v>
      </c>
      <c r="HA187" s="60">
        <f t="shared" si="160"/>
        <v>370.47471103028312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2.942964882831713</v>
      </c>
      <c r="HH187" s="23">
        <f>EXP(-LN(2)/25)*HH186+(1-EXP(-LN(2)/25))/(LN(2)/25)*Calculateur!HC187*Calculateur!HE187*VLOOKUP('Données projet'!$B$18,Paramètres!$A$1:$I$89,3,0)*0.475*44/12</f>
        <v>0.21126263856957281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3.1542275214012858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0">
        <f t="shared" si="109"/>
        <v>293.33333333333439</v>
      </c>
      <c r="S188" s="60">
        <f ca="1">AVERAGE(OFFSET($R$3,0,0,'Données projet'!$E$9+1,1))-AVERAGE(OFFSET($H$3,0,0,'Données projet'!$E$9+1,1))</f>
        <v>206.5885410269899</v>
      </c>
      <c r="T188" s="60">
        <f t="shared" si="142"/>
        <v>347.41156847586302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3.3992364478763198E-14</v>
      </c>
      <c r="AK188" s="14">
        <f t="shared" si="164"/>
        <v>5.790027782444094E-13</v>
      </c>
      <c r="AL188" s="22">
        <f t="shared" si="165"/>
        <v>1.0676332069095257E-12</v>
      </c>
      <c r="AM188" s="60">
        <f t="shared" si="113"/>
        <v>293.33333333333439</v>
      </c>
      <c r="AN188" s="60">
        <f ca="1">AVERAGE(OFFSET($AM$3,0,0,'Données projet'!$E$10+1,1))-AVERAGE(OFFSET($H$3,0,0,'Données projet'!$E$10+1,1))</f>
        <v>206.5885410269899</v>
      </c>
      <c r="AO188" s="60">
        <f t="shared" si="144"/>
        <v>347.41156847586302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5.0797736980136703</v>
      </c>
      <c r="AV188" s="23">
        <f>EXP(-LN(2)/25)*AV187+(1-EXP(-LN(2)/25))/(LN(2)/25)*Calculateur!AQ188*Calculateur!AS188*VLOOKUP('Données projet'!$B$10,Paramètres!$A$1:$I$89,3,0)*0.475*44/12</f>
        <v>4.5473719577315504E-2</v>
      </c>
      <c r="AW188" s="23">
        <f>EXP(-LN(2)/2)*AW187+(1-EXP(-LN(2)/2))/(LN(2)/2)*AQ188*AT188*VLOOKUP('Données projet'!$B$10,Paramètres!$A$1:$I$89,3,0)*0.475*44/12</f>
        <v>5.1542702546873063E-21</v>
      </c>
      <c r="AX188" s="23">
        <f t="shared" si="166"/>
        <v>5.1252474175909857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1.0818439477588981E-13</v>
      </c>
      <c r="BF188" s="14">
        <f t="shared" si="167"/>
        <v>1.6104228458716316E-12</v>
      </c>
      <c r="BG188" s="22">
        <f t="shared" si="168"/>
        <v>2.9932409441277661E-12</v>
      </c>
      <c r="BH188" s="60">
        <f t="shared" si="116"/>
        <v>293.33333333333633</v>
      </c>
      <c r="BI188" s="60">
        <f ca="1">AVERAGE(OFFSET($BH$3,0,0,'Données projet'!$E$11+1,1))-AVERAGE(OFFSET($H$3,0,0,'Données projet'!$E$11+1,1))</f>
        <v>389.12604446638119</v>
      </c>
      <c r="BJ188" s="60">
        <f t="shared" si="146"/>
        <v>243.23852967152732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1.0286385077051818E-13</v>
      </c>
      <c r="CA188" s="14">
        <f t="shared" si="170"/>
        <v>1.5402366592183556E-12</v>
      </c>
      <c r="CB188" s="22">
        <f t="shared" si="171"/>
        <v>2.8617333882306215E-12</v>
      </c>
      <c r="CC188" s="60">
        <f t="shared" si="119"/>
        <v>293.33333333333616</v>
      </c>
      <c r="CD188" s="60">
        <f ca="1">AVERAGE(OFFSET($CC$3,0,0,'Données projet'!$E$12+1,1))-AVERAGE(OFFSET($H$3,0,0,'Données projet'!$E$12+1,1))</f>
        <v>371.95849973474657</v>
      </c>
      <c r="CE188" s="60">
        <f t="shared" si="148"/>
        <v>233.32640143610547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8.953765720720276E-23</v>
      </c>
      <c r="CN188" s="24">
        <f t="shared" si="172"/>
        <v>8.953765720720276E-23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1.0995790944434703E-13</v>
      </c>
      <c r="CV188" s="14">
        <f t="shared" si="173"/>
        <v>1.6337280948049956E-12</v>
      </c>
      <c r="CW188" s="22">
        <f t="shared" si="174"/>
        <v>3.036919790734272E-12</v>
      </c>
      <c r="CX188" s="60">
        <f t="shared" si="122"/>
        <v>293.33333333333633</v>
      </c>
      <c r="CY188" s="60">
        <f ca="1">AVERAGE(OFFSET($CX$3,0,0,'Données projet'!$E$13+1,1))-AVERAGE(OFFSET($H$3,0,0,'Données projet'!$E$13+1,1))</f>
        <v>394.8445842828649</v>
      </c>
      <c r="CZ188" s="60">
        <f t="shared" si="150"/>
        <v>246.54010105494143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9.5712668049078872E-23</v>
      </c>
      <c r="DI188" s="24">
        <f t="shared" si="175"/>
        <v>9.5712668049078872E-23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5.6843418860808015E-14</v>
      </c>
      <c r="DP188" s="18">
        <f>DO188*VLOOKUP('Données projet'!$B$14,Paramètres!$A$1:$I$89,3,0)*VLOOKUP('Données projet'!$B$14,Paramètres!$A$1:$I$89,5,0)</f>
        <v>4.9658410716801891E-14</v>
      </c>
      <c r="DQ188" s="14">
        <f t="shared" si="176"/>
        <v>8.0934058173791862E-13</v>
      </c>
      <c r="DR188" s="22">
        <f t="shared" si="177"/>
        <v>1.4960899118586383E-12</v>
      </c>
      <c r="DS188" s="60">
        <f t="shared" si="125"/>
        <v>293.33333333333479</v>
      </c>
      <c r="DT188" s="60">
        <f ca="1">AVERAGE(OFFSET($DS$3,0,0,'Données projet'!$E$14+1,1))-AVERAGE(OFFSET($H$3,0,0,'Données projet'!$E$14+1,1))</f>
        <v>266.98113257513319</v>
      </c>
      <c r="DU188" s="60">
        <f t="shared" si="152"/>
        <v>275.73257102713393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0.15144608567968024</v>
      </c>
      <c r="EC188" s="23">
        <f>EXP(-LN(2)/2)*EC187+(1-EXP(-LN(2)/2))/(LN(2)/2)*DW188*DZ188*VLOOKUP('Données projet'!$B$14,Paramètres!$A$1:$I$89,3,0)*0.475*44/12</f>
        <v>4.8975727537844593E-23</v>
      </c>
      <c r="ED188" s="24">
        <f t="shared" si="178"/>
        <v>0.15144608567968024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1.1368683772161603E-13</v>
      </c>
      <c r="EK188" s="18">
        <f>EJ188*VLOOKUP('Données projet'!$B$15,Paramètres!$A$1:$I$89,3,0)*VLOOKUP('Données projet'!$B$15,Paramètres!$A$1:$I$89,5,0)</f>
        <v>1.2946657079737634E-13</v>
      </c>
      <c r="EL188" s="14">
        <f t="shared" si="179"/>
        <v>1.8873591890224769E-12</v>
      </c>
      <c r="EM188" s="22">
        <f t="shared" si="180"/>
        <v>3.5126381983529106E-12</v>
      </c>
      <c r="EN188" s="60">
        <f t="shared" si="128"/>
        <v>293.33333333333684</v>
      </c>
      <c r="EO188" s="60">
        <f ca="1">AVERAGE(OFFSET($EN$3,0,0,'Données projet'!$E$15+1,1))-AVERAGE(OFFSET($H$3,0,0,'Données projet'!$E$15+1,1))</f>
        <v>457.62828850677369</v>
      </c>
      <c r="EP188" s="60">
        <f t="shared" si="154"/>
        <v>282.78263556175563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1.1368683772161603E-13</v>
      </c>
      <c r="FF188" s="18">
        <f>FE188*VLOOKUP('Données projet'!$B$16,Paramètres!$A$1:$I$89,3,0)*VLOOKUP('Données projet'!$B$16,Paramètres!$A$1:$I$89,5,0)</f>
        <v>1.2414602679200469E-13</v>
      </c>
      <c r="FG188" s="14">
        <f t="shared" si="182"/>
        <v>1.8186582995804361E-12</v>
      </c>
      <c r="FH188" s="22">
        <f t="shared" si="183"/>
        <v>3.3837175350986671E-12</v>
      </c>
      <c r="FI188" s="60">
        <f t="shared" si="131"/>
        <v>293.33333333333672</v>
      </c>
      <c r="FJ188" s="60">
        <f ca="1">AVERAGE(OFFSET($FI$3,0,0,'Données projet'!$E$16+1,1))-AVERAGE(OFFSET($H$3,0,0,'Données projet'!$E$16+1,1))</f>
        <v>440.52623925652182</v>
      </c>
      <c r="FK188" s="60">
        <f t="shared" si="156"/>
        <v>272.91122662088918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3.4106051316484809E-13</v>
      </c>
      <c r="GA188" s="18">
        <f>FZ188*VLOOKUP('Données projet'!$B$17,Paramètres!$A$1:$I$89,3,0)*VLOOKUP('Données projet'!$B$17,Paramètres!$A$1:$I$89,5,0)</f>
        <v>1.5961632016114892E-13</v>
      </c>
      <c r="GB188" s="14">
        <f t="shared" si="185"/>
        <v>2.2708641912150958E-12</v>
      </c>
      <c r="GC188" s="22">
        <f t="shared" si="186"/>
        <v>4.2330868906469593E-12</v>
      </c>
      <c r="GD188" s="60">
        <f t="shared" si="134"/>
        <v>293.33333333333752</v>
      </c>
      <c r="GE188" s="60">
        <f ca="1">AVERAGE(OFFSET($GD$3,0,0,'Données projet'!$E$17+1,1))-AVERAGE(OFFSET($H$3,0,0,'Données projet'!$E$17+1,1))</f>
        <v>317.54276561627643</v>
      </c>
      <c r="GF188" s="60">
        <f t="shared" si="158"/>
        <v>238.92443174298893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>
        <f>GU188*VLOOKUP('Données projet'!$B$18,Paramètres!$A$1:$I$89,3,0)*VLOOKUP('Données projet'!$B$18,Paramètres!$A$1:$I$89,5,0)</f>
        <v>0</v>
      </c>
      <c r="GW188" s="14" t="e">
        <f t="shared" si="188"/>
        <v>#NUM!</v>
      </c>
      <c r="GX188" s="22" t="e">
        <f t="shared" si="189"/>
        <v>#NUM!</v>
      </c>
      <c r="GY188" s="60" t="e">
        <f t="shared" si="137"/>
        <v>#NUM!</v>
      </c>
      <c r="GZ188" s="60">
        <f ca="1">AVERAGE(OFFSET($GY$3,0,0,'Données projet'!$E$18+1,1))-AVERAGE(OFFSET($H$3,0,0,'Données projet'!$E$18+1,1))</f>
        <v>79.868679770907136</v>
      </c>
      <c r="HA188" s="60">
        <f t="shared" si="160"/>
        <v>370.47471103028312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2.8852551365107169</v>
      </c>
      <c r="HH188" s="23">
        <f>EXP(-LN(2)/25)*HH187+(1-EXP(-LN(2)/25))/(LN(2)/25)*Calculateur!HC188*Calculateur!HE188*VLOOKUP('Données projet'!$B$18,Paramètres!$A$1:$I$89,3,0)*0.475*44/12</f>
        <v>0.20548565060806853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3.0907407871187855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0">
        <f t="shared" si="109"/>
        <v>293.33333333333439</v>
      </c>
      <c r="S189" s="60">
        <f ca="1">AVERAGE(OFFSET($R$3,0,0,'Données projet'!$E$9+1,1))-AVERAGE(OFFSET($H$3,0,0,'Données projet'!$E$9+1,1))</f>
        <v>206.5885410269899</v>
      </c>
      <c r="T189" s="60">
        <f t="shared" si="142"/>
        <v>347.41156847586302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3.3992364478763198E-14</v>
      </c>
      <c r="AK189" s="14">
        <f t="shared" si="164"/>
        <v>5.790027782444094E-13</v>
      </c>
      <c r="AL189" s="22">
        <f t="shared" si="165"/>
        <v>1.0676332069095257E-12</v>
      </c>
      <c r="AM189" s="60">
        <f t="shared" si="113"/>
        <v>293.33333333333439</v>
      </c>
      <c r="AN189" s="60">
        <f ca="1">AVERAGE(OFFSET($AM$3,0,0,'Données projet'!$E$10+1,1))-AVERAGE(OFFSET($H$3,0,0,'Données projet'!$E$10+1,1))</f>
        <v>206.5885410269899</v>
      </c>
      <c r="AO189" s="60">
        <f t="shared" si="144"/>
        <v>347.41156847586302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4.9801624341516408</v>
      </c>
      <c r="AV189" s="23">
        <f>EXP(-LN(2)/25)*AV188+(1-EXP(-LN(2)/25))/(LN(2)/25)*Calculateur!AQ189*Calculateur!AS189*VLOOKUP('Données projet'!$B$10,Paramètres!$A$1:$I$89,3,0)*0.475*44/12</f>
        <v>4.423023832411483E-2</v>
      </c>
      <c r="AW189" s="23">
        <f>EXP(-LN(2)/2)*AW188+(1-EXP(-LN(2)/2))/(LN(2)/2)*AQ189*AT189*VLOOKUP('Données projet'!$B$10,Paramètres!$A$1:$I$89,3,0)*0.475*44/12</f>
        <v>3.6446194491575077E-21</v>
      </c>
      <c r="AX189" s="23">
        <f t="shared" si="166"/>
        <v>5.0243926724757557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1.0818439477588981E-13</v>
      </c>
      <c r="BF189" s="14">
        <f t="shared" si="167"/>
        <v>1.6104228458716316E-12</v>
      </c>
      <c r="BG189" s="22">
        <f t="shared" si="168"/>
        <v>2.9932409441277661E-12</v>
      </c>
      <c r="BH189" s="60">
        <f t="shared" si="116"/>
        <v>293.33333333333633</v>
      </c>
      <c r="BI189" s="60">
        <f ca="1">AVERAGE(OFFSET($BH$3,0,0,'Données projet'!$E$11+1,1))-AVERAGE(OFFSET($H$3,0,0,'Données projet'!$E$11+1,1))</f>
        <v>389.12604446638119</v>
      </c>
      <c r="BJ189" s="60">
        <f t="shared" si="146"/>
        <v>243.23852967152732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1.0286385077051818E-13</v>
      </c>
      <c r="CA189" s="14">
        <f t="shared" si="170"/>
        <v>1.5402366592183556E-12</v>
      </c>
      <c r="CB189" s="22">
        <f t="shared" si="171"/>
        <v>2.8617333882306215E-12</v>
      </c>
      <c r="CC189" s="60">
        <f t="shared" si="119"/>
        <v>293.33333333333616</v>
      </c>
      <c r="CD189" s="60">
        <f ca="1">AVERAGE(OFFSET($CC$3,0,0,'Données projet'!$E$12+1,1))-AVERAGE(OFFSET($H$3,0,0,'Données projet'!$E$12+1,1))</f>
        <v>371.95849973474657</v>
      </c>
      <c r="CE189" s="60">
        <f t="shared" si="148"/>
        <v>233.32640143610547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6.3312684582769621E-23</v>
      </c>
      <c r="CN189" s="24">
        <f t="shared" si="172"/>
        <v>6.3312684582769621E-23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1.0995790944434703E-13</v>
      </c>
      <c r="CV189" s="14">
        <f t="shared" si="173"/>
        <v>1.6337280948049956E-12</v>
      </c>
      <c r="CW189" s="22">
        <f t="shared" si="174"/>
        <v>3.036919790734272E-12</v>
      </c>
      <c r="CX189" s="60">
        <f t="shared" si="122"/>
        <v>293.33333333333633</v>
      </c>
      <c r="CY189" s="60">
        <f ca="1">AVERAGE(OFFSET($CX$3,0,0,'Données projet'!$E$13+1,1))-AVERAGE(OFFSET($H$3,0,0,'Données projet'!$E$13+1,1))</f>
        <v>394.8445842828649</v>
      </c>
      <c r="CZ189" s="60">
        <f t="shared" si="150"/>
        <v>246.54010105494143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6.7679076622960671E-23</v>
      </c>
      <c r="DI189" s="24">
        <f t="shared" si="175"/>
        <v>6.7679076622960671E-23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5.6843418860808015E-14</v>
      </c>
      <c r="DP189" s="18">
        <f>DO189*VLOOKUP('Données projet'!$B$14,Paramètres!$A$1:$I$89,3,0)*VLOOKUP('Données projet'!$B$14,Paramètres!$A$1:$I$89,5,0)</f>
        <v>4.9658410716801891E-14</v>
      </c>
      <c r="DQ189" s="14">
        <f t="shared" si="176"/>
        <v>8.0934058173791862E-13</v>
      </c>
      <c r="DR189" s="22">
        <f t="shared" si="177"/>
        <v>1.4960899118586383E-12</v>
      </c>
      <c r="DS189" s="60">
        <f t="shared" si="125"/>
        <v>293.33333333333479</v>
      </c>
      <c r="DT189" s="60">
        <f ca="1">AVERAGE(OFFSET($DS$3,0,0,'Données projet'!$E$14+1,1))-AVERAGE(OFFSET($H$3,0,0,'Données projet'!$E$14+1,1))</f>
        <v>266.98113257513319</v>
      </c>
      <c r="DU189" s="60">
        <f t="shared" si="152"/>
        <v>275.73257102713393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0.14730478450256587</v>
      </c>
      <c r="EC189" s="23">
        <f>EXP(-LN(2)/2)*EC188+(1-EXP(-LN(2)/2))/(LN(2)/2)*DW189*DZ189*VLOOKUP('Données projet'!$B$14,Paramètres!$A$1:$I$89,3,0)*0.475*44/12</f>
        <v>3.4631069055554646E-23</v>
      </c>
      <c r="ED189" s="24">
        <f t="shared" si="178"/>
        <v>0.14730478450256587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1.1368683772161603E-13</v>
      </c>
      <c r="EK189" s="18">
        <f>EJ189*VLOOKUP('Données projet'!$B$15,Paramètres!$A$1:$I$89,3,0)*VLOOKUP('Données projet'!$B$15,Paramètres!$A$1:$I$89,5,0)</f>
        <v>1.2946657079737634E-13</v>
      </c>
      <c r="EL189" s="14">
        <f t="shared" si="179"/>
        <v>1.8873591890224769E-12</v>
      </c>
      <c r="EM189" s="22">
        <f t="shared" si="180"/>
        <v>3.5126381983529106E-12</v>
      </c>
      <c r="EN189" s="60">
        <f t="shared" si="128"/>
        <v>293.33333333333684</v>
      </c>
      <c r="EO189" s="60">
        <f ca="1">AVERAGE(OFFSET($EN$3,0,0,'Données projet'!$E$15+1,1))-AVERAGE(OFFSET($H$3,0,0,'Données projet'!$E$15+1,1))</f>
        <v>457.62828850677369</v>
      </c>
      <c r="EP189" s="60">
        <f t="shared" si="154"/>
        <v>282.78263556175563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1.1368683772161603E-13</v>
      </c>
      <c r="FF189" s="18">
        <f>FE189*VLOOKUP('Données projet'!$B$16,Paramètres!$A$1:$I$89,3,0)*VLOOKUP('Données projet'!$B$16,Paramètres!$A$1:$I$89,5,0)</f>
        <v>1.2414602679200469E-13</v>
      </c>
      <c r="FG189" s="14">
        <f t="shared" si="182"/>
        <v>1.8186582995804361E-12</v>
      </c>
      <c r="FH189" s="22">
        <f t="shared" si="183"/>
        <v>3.3837175350986671E-12</v>
      </c>
      <c r="FI189" s="60">
        <f t="shared" si="131"/>
        <v>293.33333333333672</v>
      </c>
      <c r="FJ189" s="60">
        <f ca="1">AVERAGE(OFFSET($FI$3,0,0,'Données projet'!$E$16+1,1))-AVERAGE(OFFSET($H$3,0,0,'Données projet'!$E$16+1,1))</f>
        <v>440.52623925652182</v>
      </c>
      <c r="FK189" s="60">
        <f t="shared" si="156"/>
        <v>272.91122662088918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3.4106051316484809E-13</v>
      </c>
      <c r="GA189" s="18">
        <f>FZ189*VLOOKUP('Données projet'!$B$17,Paramètres!$A$1:$I$89,3,0)*VLOOKUP('Données projet'!$B$17,Paramètres!$A$1:$I$89,5,0)</f>
        <v>1.5961632016114892E-13</v>
      </c>
      <c r="GB189" s="14">
        <f t="shared" si="185"/>
        <v>2.2708641912150958E-12</v>
      </c>
      <c r="GC189" s="22">
        <f t="shared" si="186"/>
        <v>4.2330868906469593E-12</v>
      </c>
      <c r="GD189" s="60">
        <f t="shared" si="134"/>
        <v>293.33333333333752</v>
      </c>
      <c r="GE189" s="60">
        <f ca="1">AVERAGE(OFFSET($GD$3,0,0,'Données projet'!$E$17+1,1))-AVERAGE(OFFSET($H$3,0,0,'Données projet'!$E$17+1,1))</f>
        <v>317.54276561627643</v>
      </c>
      <c r="GF189" s="60">
        <f t="shared" si="158"/>
        <v>238.92443174298893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>
        <f>GU189*VLOOKUP('Données projet'!$B$18,Paramètres!$A$1:$I$89,3,0)*VLOOKUP('Données projet'!$B$18,Paramètres!$A$1:$I$89,5,0)</f>
        <v>0</v>
      </c>
      <c r="GW189" s="14" t="e">
        <f t="shared" si="188"/>
        <v>#NUM!</v>
      </c>
      <c r="GX189" s="22" t="e">
        <f t="shared" si="189"/>
        <v>#NUM!</v>
      </c>
      <c r="GY189" s="60" t="e">
        <f t="shared" si="137"/>
        <v>#NUM!</v>
      </c>
      <c r="GZ189" s="60">
        <f ca="1">AVERAGE(OFFSET($GY$3,0,0,'Données projet'!$E$18+1,1))-AVERAGE(OFFSET($H$3,0,0,'Données projet'!$E$18+1,1))</f>
        <v>79.868679770907136</v>
      </c>
      <c r="HA189" s="60">
        <f t="shared" si="160"/>
        <v>370.47471103028312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2.8286770431156061</v>
      </c>
      <c r="HH189" s="23">
        <f>EXP(-LN(2)/25)*HH188+(1-EXP(-LN(2)/25))/(LN(2)/25)*Calculateur!HC189*Calculateur!HE189*VLOOKUP('Données projet'!$B$18,Paramètres!$A$1:$I$89,3,0)*0.475*44/12</f>
        <v>0.19986663468617016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3.0285436778017765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0">
        <f t="shared" si="109"/>
        <v>293.33333333333439</v>
      </c>
      <c r="S190" s="60">
        <f ca="1">AVERAGE(OFFSET($R$3,0,0,'Données projet'!$E$9+1,1))-AVERAGE(OFFSET($H$3,0,0,'Données projet'!$E$9+1,1))</f>
        <v>206.5885410269899</v>
      </c>
      <c r="T190" s="60">
        <f t="shared" si="142"/>
        <v>347.41156847586302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3.3992364478763198E-14</v>
      </c>
      <c r="AK190" s="14">
        <f t="shared" si="164"/>
        <v>5.790027782444094E-13</v>
      </c>
      <c r="AL190" s="22">
        <f t="shared" si="165"/>
        <v>1.0676332069095257E-12</v>
      </c>
      <c r="AM190" s="60">
        <f t="shared" si="113"/>
        <v>293.33333333333439</v>
      </c>
      <c r="AN190" s="60">
        <f ca="1">AVERAGE(OFFSET($AM$3,0,0,'Données projet'!$E$10+1,1))-AVERAGE(OFFSET($H$3,0,0,'Données projet'!$E$10+1,1))</f>
        <v>206.5885410269899</v>
      </c>
      <c r="AO190" s="60">
        <f t="shared" si="144"/>
        <v>347.41156847586302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4.8825044864170737</v>
      </c>
      <c r="AV190" s="23">
        <f>EXP(-LN(2)/25)*AV189+(1-EXP(-LN(2)/25))/(LN(2)/25)*Calculateur!AQ190*Calculateur!AS190*VLOOKUP('Données projet'!$B$10,Paramètres!$A$1:$I$89,3,0)*0.475*44/12</f>
        <v>4.3020760131174764E-2</v>
      </c>
      <c r="AW190" s="23">
        <f>EXP(-LN(2)/2)*AW189+(1-EXP(-LN(2)/2))/(LN(2)/2)*AQ190*AT190*VLOOKUP('Données projet'!$B$10,Paramètres!$A$1:$I$89,3,0)*0.475*44/12</f>
        <v>2.5771351273436531E-21</v>
      </c>
      <c r="AX190" s="23">
        <f t="shared" si="166"/>
        <v>4.9255252465482489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1.0818439477588981E-13</v>
      </c>
      <c r="BF190" s="14">
        <f t="shared" si="167"/>
        <v>1.6104228458716316E-12</v>
      </c>
      <c r="BG190" s="22">
        <f t="shared" si="168"/>
        <v>2.9932409441277661E-12</v>
      </c>
      <c r="BH190" s="60">
        <f t="shared" si="116"/>
        <v>293.33333333333633</v>
      </c>
      <c r="BI190" s="60">
        <f ca="1">AVERAGE(OFFSET($BH$3,0,0,'Données projet'!$E$11+1,1))-AVERAGE(OFFSET($H$3,0,0,'Données projet'!$E$11+1,1))</f>
        <v>389.12604446638119</v>
      </c>
      <c r="BJ190" s="60">
        <f t="shared" si="146"/>
        <v>243.23852967152732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1.0286385077051818E-13</v>
      </c>
      <c r="CA190" s="14">
        <f t="shared" si="170"/>
        <v>1.5402366592183556E-12</v>
      </c>
      <c r="CB190" s="22">
        <f t="shared" si="171"/>
        <v>2.8617333882306215E-12</v>
      </c>
      <c r="CC190" s="60">
        <f t="shared" si="119"/>
        <v>293.33333333333616</v>
      </c>
      <c r="CD190" s="60">
        <f ca="1">AVERAGE(OFFSET($CC$3,0,0,'Données projet'!$E$12+1,1))-AVERAGE(OFFSET($H$3,0,0,'Données projet'!$E$12+1,1))</f>
        <v>371.95849973474657</v>
      </c>
      <c r="CE190" s="60">
        <f t="shared" si="148"/>
        <v>233.32640143610547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4.476882860360138E-23</v>
      </c>
      <c r="CN190" s="24">
        <f t="shared" si="172"/>
        <v>4.476882860360138E-23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1.0995790944434703E-13</v>
      </c>
      <c r="CV190" s="14">
        <f t="shared" si="173"/>
        <v>1.6337280948049956E-12</v>
      </c>
      <c r="CW190" s="22">
        <f t="shared" si="174"/>
        <v>3.036919790734272E-12</v>
      </c>
      <c r="CX190" s="60">
        <f t="shared" si="122"/>
        <v>293.33333333333633</v>
      </c>
      <c r="CY190" s="60">
        <f ca="1">AVERAGE(OFFSET($CX$3,0,0,'Données projet'!$E$13+1,1))-AVERAGE(OFFSET($H$3,0,0,'Données projet'!$E$13+1,1))</f>
        <v>394.8445842828649</v>
      </c>
      <c r="CZ190" s="60">
        <f t="shared" si="150"/>
        <v>246.54010105494143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4.7856334024539436E-23</v>
      </c>
      <c r="DI190" s="24">
        <f t="shared" si="175"/>
        <v>4.7856334024539436E-23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5.6843418860808015E-14</v>
      </c>
      <c r="DP190" s="18">
        <f>DO190*VLOOKUP('Données projet'!$B$14,Paramètres!$A$1:$I$89,3,0)*VLOOKUP('Données projet'!$B$14,Paramètres!$A$1:$I$89,5,0)</f>
        <v>4.9658410716801891E-14</v>
      </c>
      <c r="DQ190" s="14">
        <f t="shared" si="176"/>
        <v>8.0934058173791862E-13</v>
      </c>
      <c r="DR190" s="22">
        <f t="shared" si="177"/>
        <v>1.4960899118586383E-12</v>
      </c>
      <c r="DS190" s="60">
        <f t="shared" si="125"/>
        <v>293.33333333333479</v>
      </c>
      <c r="DT190" s="60">
        <f ca="1">AVERAGE(OFFSET($DS$3,0,0,'Données projet'!$E$14+1,1))-AVERAGE(OFFSET($H$3,0,0,'Données projet'!$E$14+1,1))</f>
        <v>266.98113257513319</v>
      </c>
      <c r="DU190" s="60">
        <f t="shared" si="152"/>
        <v>275.73257102713393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0.14327672742392125</v>
      </c>
      <c r="EC190" s="23">
        <f>EXP(-LN(2)/2)*EC189+(1-EXP(-LN(2)/2))/(LN(2)/2)*DW190*DZ190*VLOOKUP('Données projet'!$B$14,Paramètres!$A$1:$I$89,3,0)*0.475*44/12</f>
        <v>2.4487863768922297E-23</v>
      </c>
      <c r="ED190" s="24">
        <f t="shared" si="178"/>
        <v>0.14327672742392125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1.1368683772161603E-13</v>
      </c>
      <c r="EK190" s="18">
        <f>EJ190*VLOOKUP('Données projet'!$B$15,Paramètres!$A$1:$I$89,3,0)*VLOOKUP('Données projet'!$B$15,Paramètres!$A$1:$I$89,5,0)</f>
        <v>1.2946657079737634E-13</v>
      </c>
      <c r="EL190" s="14">
        <f t="shared" si="179"/>
        <v>1.8873591890224769E-12</v>
      </c>
      <c r="EM190" s="22">
        <f t="shared" si="180"/>
        <v>3.5126381983529106E-12</v>
      </c>
      <c r="EN190" s="60">
        <f t="shared" si="128"/>
        <v>293.33333333333684</v>
      </c>
      <c r="EO190" s="60">
        <f ca="1">AVERAGE(OFFSET($EN$3,0,0,'Données projet'!$E$15+1,1))-AVERAGE(OFFSET($H$3,0,0,'Données projet'!$E$15+1,1))</f>
        <v>457.62828850677369</v>
      </c>
      <c r="EP190" s="60">
        <f t="shared" si="154"/>
        <v>282.78263556175563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1.1368683772161603E-13</v>
      </c>
      <c r="FF190" s="18">
        <f>FE190*VLOOKUP('Données projet'!$B$16,Paramètres!$A$1:$I$89,3,0)*VLOOKUP('Données projet'!$B$16,Paramètres!$A$1:$I$89,5,0)</f>
        <v>1.2414602679200469E-13</v>
      </c>
      <c r="FG190" s="14">
        <f t="shared" si="182"/>
        <v>1.8186582995804361E-12</v>
      </c>
      <c r="FH190" s="22">
        <f t="shared" si="183"/>
        <v>3.3837175350986671E-12</v>
      </c>
      <c r="FI190" s="60">
        <f t="shared" si="131"/>
        <v>293.33333333333672</v>
      </c>
      <c r="FJ190" s="60">
        <f ca="1">AVERAGE(OFFSET($FI$3,0,0,'Données projet'!$E$16+1,1))-AVERAGE(OFFSET($H$3,0,0,'Données projet'!$E$16+1,1))</f>
        <v>440.52623925652182</v>
      </c>
      <c r="FK190" s="60">
        <f t="shared" si="156"/>
        <v>272.91122662088918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3.4106051316484809E-13</v>
      </c>
      <c r="GA190" s="18">
        <f>FZ190*VLOOKUP('Données projet'!$B$17,Paramètres!$A$1:$I$89,3,0)*VLOOKUP('Données projet'!$B$17,Paramètres!$A$1:$I$89,5,0)</f>
        <v>1.5961632016114892E-13</v>
      </c>
      <c r="GB190" s="14">
        <f t="shared" si="185"/>
        <v>2.2708641912150958E-12</v>
      </c>
      <c r="GC190" s="22">
        <f t="shared" si="186"/>
        <v>4.2330868906469593E-12</v>
      </c>
      <c r="GD190" s="60">
        <f t="shared" si="134"/>
        <v>293.33333333333752</v>
      </c>
      <c r="GE190" s="60">
        <f ca="1">AVERAGE(OFFSET($GD$3,0,0,'Données projet'!$E$17+1,1))-AVERAGE(OFFSET($H$3,0,0,'Données projet'!$E$17+1,1))</f>
        <v>317.54276561627643</v>
      </c>
      <c r="GF190" s="60">
        <f t="shared" si="158"/>
        <v>238.92443174298893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>
        <f>GU190*VLOOKUP('Données projet'!$B$18,Paramètres!$A$1:$I$89,3,0)*VLOOKUP('Données projet'!$B$18,Paramètres!$A$1:$I$89,5,0)</f>
        <v>0</v>
      </c>
      <c r="GW190" s="14" t="e">
        <f t="shared" si="188"/>
        <v>#NUM!</v>
      </c>
      <c r="GX190" s="22" t="e">
        <f t="shared" si="189"/>
        <v>#NUM!</v>
      </c>
      <c r="GY190" s="60" t="e">
        <f t="shared" si="137"/>
        <v>#NUM!</v>
      </c>
      <c r="GZ190" s="60">
        <f ca="1">AVERAGE(OFFSET($GY$3,0,0,'Données projet'!$E$18+1,1))-AVERAGE(OFFSET($H$3,0,0,'Données projet'!$E$18+1,1))</f>
        <v>79.868679770907136</v>
      </c>
      <c r="HA190" s="60">
        <f t="shared" si="160"/>
        <v>370.47471103028312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2.7732084116227438</v>
      </c>
      <c r="HH190" s="23">
        <f>EXP(-LN(2)/25)*HH189+(1-EXP(-LN(2)/25))/(LN(2)/25)*Calculateur!HC190*Calculateur!HE190*VLOOKUP('Données projet'!$B$18,Paramètres!$A$1:$I$89,3,0)*0.475*44/12</f>
        <v>0.19440127105014732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2.967609682672891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0">
        <f t="shared" si="109"/>
        <v>293.33333333333439</v>
      </c>
      <c r="S191" s="60">
        <f ca="1">AVERAGE(OFFSET($R$3,0,0,'Données projet'!$E$9+1,1))-AVERAGE(OFFSET($H$3,0,0,'Données projet'!$E$9+1,1))</f>
        <v>206.5885410269899</v>
      </c>
      <c r="T191" s="60">
        <f t="shared" si="142"/>
        <v>347.41156847586302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3.3992364478763198E-14</v>
      </c>
      <c r="AK191" s="14">
        <f t="shared" si="164"/>
        <v>5.790027782444094E-13</v>
      </c>
      <c r="AL191" s="22">
        <f t="shared" si="165"/>
        <v>1.0676332069095257E-12</v>
      </c>
      <c r="AM191" s="60">
        <f t="shared" si="113"/>
        <v>293.33333333333439</v>
      </c>
      <c r="AN191" s="60">
        <f ca="1">AVERAGE(OFFSET($AM$3,0,0,'Données projet'!$E$10+1,1))-AVERAGE(OFFSET($H$3,0,0,'Données projet'!$E$10+1,1))</f>
        <v>206.5885410269899</v>
      </c>
      <c r="AO191" s="60">
        <f t="shared" si="144"/>
        <v>347.41156847586302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4.7867615514721154</v>
      </c>
      <c r="AV191" s="23">
        <f>EXP(-LN(2)/25)*AV190+(1-EXP(-LN(2)/25))/(LN(2)/25)*Calculateur!AQ191*Calculateur!AS191*VLOOKUP('Données projet'!$B$10,Paramètres!$A$1:$I$89,3,0)*0.475*44/12</f>
        <v>4.1844355183024338E-2</v>
      </c>
      <c r="AW191" s="23">
        <f>EXP(-LN(2)/2)*AW190+(1-EXP(-LN(2)/2))/(LN(2)/2)*AQ191*AT191*VLOOKUP('Données projet'!$B$10,Paramètres!$A$1:$I$89,3,0)*0.475*44/12</f>
        <v>1.8223097245787538E-21</v>
      </c>
      <c r="AX191" s="23">
        <f t="shared" si="166"/>
        <v>4.8286059066551399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1.0818439477588981E-13</v>
      </c>
      <c r="BF191" s="14">
        <f t="shared" si="167"/>
        <v>1.6104228458716316E-12</v>
      </c>
      <c r="BG191" s="22">
        <f t="shared" si="168"/>
        <v>2.9932409441277661E-12</v>
      </c>
      <c r="BH191" s="60">
        <f t="shared" si="116"/>
        <v>293.33333333333633</v>
      </c>
      <c r="BI191" s="60">
        <f ca="1">AVERAGE(OFFSET($BH$3,0,0,'Données projet'!$E$11+1,1))-AVERAGE(OFFSET($H$3,0,0,'Données projet'!$E$11+1,1))</f>
        <v>389.12604446638119</v>
      </c>
      <c r="BJ191" s="60">
        <f t="shared" si="146"/>
        <v>243.23852967152732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1.0286385077051818E-13</v>
      </c>
      <c r="CA191" s="14">
        <f t="shared" si="170"/>
        <v>1.5402366592183556E-12</v>
      </c>
      <c r="CB191" s="22">
        <f t="shared" si="171"/>
        <v>2.8617333882306215E-12</v>
      </c>
      <c r="CC191" s="60">
        <f t="shared" si="119"/>
        <v>293.33333333333616</v>
      </c>
      <c r="CD191" s="60">
        <f ca="1">AVERAGE(OFFSET($CC$3,0,0,'Données projet'!$E$12+1,1))-AVERAGE(OFFSET($H$3,0,0,'Données projet'!$E$12+1,1))</f>
        <v>371.95849973474657</v>
      </c>
      <c r="CE191" s="60">
        <f t="shared" si="148"/>
        <v>233.32640143610547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3.1656342291384811E-23</v>
      </c>
      <c r="CN191" s="24">
        <f t="shared" si="172"/>
        <v>3.1656342291384811E-23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1.0995790944434703E-13</v>
      </c>
      <c r="CV191" s="14">
        <f t="shared" si="173"/>
        <v>1.6337280948049956E-12</v>
      </c>
      <c r="CW191" s="22">
        <f t="shared" si="174"/>
        <v>3.036919790734272E-12</v>
      </c>
      <c r="CX191" s="60">
        <f t="shared" si="122"/>
        <v>293.33333333333633</v>
      </c>
      <c r="CY191" s="60">
        <f ca="1">AVERAGE(OFFSET($CX$3,0,0,'Données projet'!$E$13+1,1))-AVERAGE(OFFSET($H$3,0,0,'Données projet'!$E$13+1,1))</f>
        <v>394.8445842828649</v>
      </c>
      <c r="CZ191" s="60">
        <f t="shared" si="150"/>
        <v>246.54010105494143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3.3839538311480336E-23</v>
      </c>
      <c r="DI191" s="24">
        <f t="shared" si="175"/>
        <v>3.3839538311480336E-23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5.6843418860808015E-14</v>
      </c>
      <c r="DP191" s="18">
        <f>DO191*VLOOKUP('Données projet'!$B$14,Paramètres!$A$1:$I$89,3,0)*VLOOKUP('Données projet'!$B$14,Paramètres!$A$1:$I$89,5,0)</f>
        <v>4.9658410716801891E-14</v>
      </c>
      <c r="DQ191" s="14">
        <f t="shared" si="176"/>
        <v>8.0934058173791862E-13</v>
      </c>
      <c r="DR191" s="22">
        <f t="shared" si="177"/>
        <v>1.4960899118586383E-12</v>
      </c>
      <c r="DS191" s="60">
        <f t="shared" si="125"/>
        <v>293.33333333333479</v>
      </c>
      <c r="DT191" s="60">
        <f ca="1">AVERAGE(OFFSET($DS$3,0,0,'Données projet'!$E$14+1,1))-AVERAGE(OFFSET($H$3,0,0,'Données projet'!$E$14+1,1))</f>
        <v>266.98113257513319</v>
      </c>
      <c r="DU191" s="60">
        <f t="shared" si="152"/>
        <v>275.73257102713393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0.1393588177779185</v>
      </c>
      <c r="EC191" s="23">
        <f>EXP(-LN(2)/2)*EC190+(1-EXP(-LN(2)/2))/(LN(2)/2)*DW191*DZ191*VLOOKUP('Données projet'!$B$14,Paramètres!$A$1:$I$89,3,0)*0.475*44/12</f>
        <v>1.7315534527777323E-23</v>
      </c>
      <c r="ED191" s="24">
        <f t="shared" si="178"/>
        <v>0.1393588177779185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1.1368683772161603E-13</v>
      </c>
      <c r="EK191" s="18">
        <f>EJ191*VLOOKUP('Données projet'!$B$15,Paramètres!$A$1:$I$89,3,0)*VLOOKUP('Données projet'!$B$15,Paramètres!$A$1:$I$89,5,0)</f>
        <v>1.2946657079737634E-13</v>
      </c>
      <c r="EL191" s="14">
        <f t="shared" si="179"/>
        <v>1.8873591890224769E-12</v>
      </c>
      <c r="EM191" s="22">
        <f t="shared" si="180"/>
        <v>3.5126381983529106E-12</v>
      </c>
      <c r="EN191" s="60">
        <f t="shared" si="128"/>
        <v>293.33333333333684</v>
      </c>
      <c r="EO191" s="60">
        <f ca="1">AVERAGE(OFFSET($EN$3,0,0,'Données projet'!$E$15+1,1))-AVERAGE(OFFSET($H$3,0,0,'Données projet'!$E$15+1,1))</f>
        <v>457.62828850677369</v>
      </c>
      <c r="EP191" s="60">
        <f t="shared" si="154"/>
        <v>282.78263556175563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1.1368683772161603E-13</v>
      </c>
      <c r="FF191" s="18">
        <f>FE191*VLOOKUP('Données projet'!$B$16,Paramètres!$A$1:$I$89,3,0)*VLOOKUP('Données projet'!$B$16,Paramètres!$A$1:$I$89,5,0)</f>
        <v>1.2414602679200469E-13</v>
      </c>
      <c r="FG191" s="14">
        <f t="shared" si="182"/>
        <v>1.8186582995804361E-12</v>
      </c>
      <c r="FH191" s="22">
        <f t="shared" si="183"/>
        <v>3.3837175350986671E-12</v>
      </c>
      <c r="FI191" s="60">
        <f t="shared" si="131"/>
        <v>293.33333333333672</v>
      </c>
      <c r="FJ191" s="60">
        <f ca="1">AVERAGE(OFFSET($FI$3,0,0,'Données projet'!$E$16+1,1))-AVERAGE(OFFSET($H$3,0,0,'Données projet'!$E$16+1,1))</f>
        <v>440.52623925652182</v>
      </c>
      <c r="FK191" s="60">
        <f t="shared" si="156"/>
        <v>272.91122662088918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3.4106051316484809E-13</v>
      </c>
      <c r="GA191" s="18">
        <f>FZ191*VLOOKUP('Données projet'!$B$17,Paramètres!$A$1:$I$89,3,0)*VLOOKUP('Données projet'!$B$17,Paramètres!$A$1:$I$89,5,0)</f>
        <v>1.5961632016114892E-13</v>
      </c>
      <c r="GB191" s="14">
        <f t="shared" si="185"/>
        <v>2.2708641912150958E-12</v>
      </c>
      <c r="GC191" s="22">
        <f t="shared" si="186"/>
        <v>4.2330868906469593E-12</v>
      </c>
      <c r="GD191" s="60">
        <f t="shared" si="134"/>
        <v>293.33333333333752</v>
      </c>
      <c r="GE191" s="60">
        <f ca="1">AVERAGE(OFFSET($GD$3,0,0,'Données projet'!$E$17+1,1))-AVERAGE(OFFSET($H$3,0,0,'Données projet'!$E$17+1,1))</f>
        <v>317.54276561627643</v>
      </c>
      <c r="GF191" s="60">
        <f t="shared" si="158"/>
        <v>238.92443174298893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>
        <f>GU191*VLOOKUP('Données projet'!$B$18,Paramètres!$A$1:$I$89,3,0)*VLOOKUP('Données projet'!$B$18,Paramètres!$A$1:$I$89,5,0)</f>
        <v>0</v>
      </c>
      <c r="GW191" s="14" t="e">
        <f t="shared" si="188"/>
        <v>#NUM!</v>
      </c>
      <c r="GX191" s="22" t="e">
        <f t="shared" si="189"/>
        <v>#NUM!</v>
      </c>
      <c r="GY191" s="60" t="e">
        <f t="shared" si="137"/>
        <v>#NUM!</v>
      </c>
      <c r="GZ191" s="60">
        <f ca="1">AVERAGE(OFFSET($GY$3,0,0,'Données projet'!$E$18+1,1))-AVERAGE(OFFSET($H$3,0,0,'Données projet'!$E$18+1,1))</f>
        <v>79.868679770907136</v>
      </c>
      <c r="HA191" s="60">
        <f t="shared" si="160"/>
        <v>370.47471103028312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2.7188274861609321</v>
      </c>
      <c r="HH191" s="23">
        <f>EXP(-LN(2)/25)*HH190+(1-EXP(-LN(2)/25))/(LN(2)/25)*Calculateur!HC191*Calculateur!HE191*VLOOKUP('Données projet'!$B$18,Paramètres!$A$1:$I$89,3,0)*0.475*44/12</f>
        <v>0.1890853580701625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2.9079128442310944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0">
        <f t="shared" si="109"/>
        <v>293.33333333333439</v>
      </c>
      <c r="S192" s="60">
        <f ca="1">AVERAGE(OFFSET($R$3,0,0,'Données projet'!$E$9+1,1))-AVERAGE(OFFSET($H$3,0,0,'Données projet'!$E$9+1,1))</f>
        <v>206.5885410269899</v>
      </c>
      <c r="T192" s="60">
        <f t="shared" si="142"/>
        <v>347.41156847586302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3.3992364478763198E-14</v>
      </c>
      <c r="AK192" s="14">
        <f t="shared" si="164"/>
        <v>5.790027782444094E-13</v>
      </c>
      <c r="AL192" s="22">
        <f t="shared" si="165"/>
        <v>1.0676332069095257E-12</v>
      </c>
      <c r="AM192" s="60">
        <f t="shared" si="113"/>
        <v>293.33333333333439</v>
      </c>
      <c r="AN192" s="60">
        <f ca="1">AVERAGE(OFFSET($AM$3,0,0,'Données projet'!$E$10+1,1))-AVERAGE(OFFSET($H$3,0,0,'Données projet'!$E$10+1,1))</f>
        <v>206.5885410269899</v>
      </c>
      <c r="AO192" s="60">
        <f t="shared" si="144"/>
        <v>347.41156847586302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4.6928960770840034</v>
      </c>
      <c r="AV192" s="23">
        <f>EXP(-LN(2)/25)*AV191+(1-EXP(-LN(2)/25))/(LN(2)/25)*Calculateur!AQ192*Calculateur!AS192*VLOOKUP('Données projet'!$B$10,Paramètres!$A$1:$I$89,3,0)*0.475*44/12</f>
        <v>4.0700119090045533E-2</v>
      </c>
      <c r="AW192" s="23">
        <f>EXP(-LN(2)/2)*AW191+(1-EXP(-LN(2)/2))/(LN(2)/2)*AQ192*AT192*VLOOKUP('Données projet'!$B$10,Paramètres!$A$1:$I$89,3,0)*0.475*44/12</f>
        <v>1.2885675636718266E-21</v>
      </c>
      <c r="AX192" s="23">
        <f t="shared" si="166"/>
        <v>4.7335961961740489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1.0818439477588981E-13</v>
      </c>
      <c r="BF192" s="14">
        <f t="shared" si="167"/>
        <v>1.6104228458716316E-12</v>
      </c>
      <c r="BG192" s="22">
        <f t="shared" si="168"/>
        <v>2.9932409441277661E-12</v>
      </c>
      <c r="BH192" s="60">
        <f t="shared" si="116"/>
        <v>293.33333333333633</v>
      </c>
      <c r="BI192" s="60">
        <f ca="1">AVERAGE(OFFSET($BH$3,0,0,'Données projet'!$E$11+1,1))-AVERAGE(OFFSET($H$3,0,0,'Données projet'!$E$11+1,1))</f>
        <v>389.12604446638119</v>
      </c>
      <c r="BJ192" s="60">
        <f t="shared" si="146"/>
        <v>243.23852967152732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1.0286385077051818E-13</v>
      </c>
      <c r="CA192" s="14">
        <f t="shared" si="170"/>
        <v>1.5402366592183556E-12</v>
      </c>
      <c r="CB192" s="22">
        <f t="shared" si="171"/>
        <v>2.8617333882306215E-12</v>
      </c>
      <c r="CC192" s="60">
        <f t="shared" si="119"/>
        <v>293.33333333333616</v>
      </c>
      <c r="CD192" s="60">
        <f ca="1">AVERAGE(OFFSET($CC$3,0,0,'Données projet'!$E$12+1,1))-AVERAGE(OFFSET($H$3,0,0,'Données projet'!$E$12+1,1))</f>
        <v>371.95849973474657</v>
      </c>
      <c r="CE192" s="60">
        <f t="shared" si="148"/>
        <v>233.32640143610547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2.238441430180069E-23</v>
      </c>
      <c r="CN192" s="24">
        <f t="shared" si="172"/>
        <v>2.238441430180069E-23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1.0995790944434703E-13</v>
      </c>
      <c r="CV192" s="14">
        <f t="shared" si="173"/>
        <v>1.6337280948049956E-12</v>
      </c>
      <c r="CW192" s="22">
        <f t="shared" si="174"/>
        <v>3.036919790734272E-12</v>
      </c>
      <c r="CX192" s="60">
        <f t="shared" si="122"/>
        <v>293.33333333333633</v>
      </c>
      <c r="CY192" s="60">
        <f ca="1">AVERAGE(OFFSET($CX$3,0,0,'Données projet'!$E$13+1,1))-AVERAGE(OFFSET($H$3,0,0,'Données projet'!$E$13+1,1))</f>
        <v>394.8445842828649</v>
      </c>
      <c r="CZ192" s="60">
        <f t="shared" si="150"/>
        <v>246.54010105494143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2.3928167012269718E-23</v>
      </c>
      <c r="DI192" s="24">
        <f t="shared" si="175"/>
        <v>2.3928167012269718E-23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5.6843418860808015E-14</v>
      </c>
      <c r="DP192" s="18">
        <f>DO192*VLOOKUP('Données projet'!$B$14,Paramètres!$A$1:$I$89,3,0)*VLOOKUP('Données projet'!$B$14,Paramètres!$A$1:$I$89,5,0)</f>
        <v>4.9658410716801891E-14</v>
      </c>
      <c r="DQ192" s="14">
        <f t="shared" si="176"/>
        <v>8.0934058173791862E-13</v>
      </c>
      <c r="DR192" s="22">
        <f t="shared" si="177"/>
        <v>1.4960899118586383E-12</v>
      </c>
      <c r="DS192" s="60">
        <f t="shared" si="125"/>
        <v>293.33333333333479</v>
      </c>
      <c r="DT192" s="60">
        <f ca="1">AVERAGE(OFFSET($DS$3,0,0,'Données projet'!$E$14+1,1))-AVERAGE(OFFSET($H$3,0,0,'Données projet'!$E$14+1,1))</f>
        <v>266.98113257513319</v>
      </c>
      <c r="DU192" s="60">
        <f t="shared" si="152"/>
        <v>275.73257102713393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0.13554804357721961</v>
      </c>
      <c r="EC192" s="23">
        <f>EXP(-LN(2)/2)*EC191+(1-EXP(-LN(2)/2))/(LN(2)/2)*DW192*DZ192*VLOOKUP('Données projet'!$B$14,Paramètres!$A$1:$I$89,3,0)*0.475*44/12</f>
        <v>1.2243931884461148E-23</v>
      </c>
      <c r="ED192" s="24">
        <f t="shared" si="178"/>
        <v>0.13554804357721961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1.1368683772161603E-13</v>
      </c>
      <c r="EK192" s="18">
        <f>EJ192*VLOOKUP('Données projet'!$B$15,Paramètres!$A$1:$I$89,3,0)*VLOOKUP('Données projet'!$B$15,Paramètres!$A$1:$I$89,5,0)</f>
        <v>1.2946657079737634E-13</v>
      </c>
      <c r="EL192" s="14">
        <f t="shared" si="179"/>
        <v>1.8873591890224769E-12</v>
      </c>
      <c r="EM192" s="22">
        <f t="shared" si="180"/>
        <v>3.5126381983529106E-12</v>
      </c>
      <c r="EN192" s="60">
        <f t="shared" si="128"/>
        <v>293.33333333333684</v>
      </c>
      <c r="EO192" s="60">
        <f ca="1">AVERAGE(OFFSET($EN$3,0,0,'Données projet'!$E$15+1,1))-AVERAGE(OFFSET($H$3,0,0,'Données projet'!$E$15+1,1))</f>
        <v>457.62828850677369</v>
      </c>
      <c r="EP192" s="60">
        <f t="shared" si="154"/>
        <v>282.78263556175563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1.1368683772161603E-13</v>
      </c>
      <c r="FF192" s="18">
        <f>FE192*VLOOKUP('Données projet'!$B$16,Paramètres!$A$1:$I$89,3,0)*VLOOKUP('Données projet'!$B$16,Paramètres!$A$1:$I$89,5,0)</f>
        <v>1.2414602679200469E-13</v>
      </c>
      <c r="FG192" s="14">
        <f t="shared" si="182"/>
        <v>1.8186582995804361E-12</v>
      </c>
      <c r="FH192" s="22">
        <f t="shared" si="183"/>
        <v>3.3837175350986671E-12</v>
      </c>
      <c r="FI192" s="60">
        <f t="shared" si="131"/>
        <v>293.33333333333672</v>
      </c>
      <c r="FJ192" s="60">
        <f ca="1">AVERAGE(OFFSET($FI$3,0,0,'Données projet'!$E$16+1,1))-AVERAGE(OFFSET($H$3,0,0,'Données projet'!$E$16+1,1))</f>
        <v>440.52623925652182</v>
      </c>
      <c r="FK192" s="60">
        <f t="shared" si="156"/>
        <v>272.91122662088918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3.4106051316484809E-13</v>
      </c>
      <c r="GA192" s="18">
        <f>FZ192*VLOOKUP('Données projet'!$B$17,Paramètres!$A$1:$I$89,3,0)*VLOOKUP('Données projet'!$B$17,Paramètres!$A$1:$I$89,5,0)</f>
        <v>1.5961632016114892E-13</v>
      </c>
      <c r="GB192" s="14">
        <f t="shared" si="185"/>
        <v>2.2708641912150958E-12</v>
      </c>
      <c r="GC192" s="22">
        <f t="shared" si="186"/>
        <v>4.2330868906469593E-12</v>
      </c>
      <c r="GD192" s="60">
        <f t="shared" si="134"/>
        <v>293.33333333333752</v>
      </c>
      <c r="GE192" s="60">
        <f ca="1">AVERAGE(OFFSET($GD$3,0,0,'Données projet'!$E$17+1,1))-AVERAGE(OFFSET($H$3,0,0,'Données projet'!$E$17+1,1))</f>
        <v>317.54276561627643</v>
      </c>
      <c r="GF192" s="60">
        <f t="shared" si="158"/>
        <v>238.92443174298893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>
        <f>GU192*VLOOKUP('Données projet'!$B$18,Paramètres!$A$1:$I$89,3,0)*VLOOKUP('Données projet'!$B$18,Paramètres!$A$1:$I$89,5,0)</f>
        <v>0</v>
      </c>
      <c r="GW192" s="14" t="e">
        <f t="shared" si="188"/>
        <v>#NUM!</v>
      </c>
      <c r="GX192" s="22" t="e">
        <f t="shared" si="189"/>
        <v>#NUM!</v>
      </c>
      <c r="GY192" s="60" t="e">
        <f t="shared" si="137"/>
        <v>#NUM!</v>
      </c>
      <c r="GZ192" s="60">
        <f ca="1">AVERAGE(OFFSET($GY$3,0,0,'Données projet'!$E$18+1,1))-AVERAGE(OFFSET($H$3,0,0,'Données projet'!$E$18+1,1))</f>
        <v>79.868679770907136</v>
      </c>
      <c r="HA192" s="60">
        <f t="shared" si="160"/>
        <v>370.47471103028312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2.6655129374783373</v>
      </c>
      <c r="HH192" s="23">
        <f>EXP(-LN(2)/25)*HH191+(1-EXP(-LN(2)/25))/(LN(2)/25)*Calculateur!HC192*Calculateur!HE192*VLOOKUP('Données projet'!$B$18,Paramètres!$A$1:$I$89,3,0)*0.475*44/12</f>
        <v>0.18391480901016707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2.8494277464885043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0">
        <f t="shared" si="109"/>
        <v>293.33333333333439</v>
      </c>
      <c r="S193" s="60">
        <f ca="1">AVERAGE(OFFSET($R$3,0,0,'Données projet'!$E$9+1,1))-AVERAGE(OFFSET($H$3,0,0,'Données projet'!$E$9+1,1))</f>
        <v>206.5885410269899</v>
      </c>
      <c r="T193" s="60">
        <f t="shared" si="142"/>
        <v>347.41156847586302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3.3992364478763198E-14</v>
      </c>
      <c r="AK193" s="14">
        <f t="shared" si="164"/>
        <v>5.790027782444094E-13</v>
      </c>
      <c r="AL193" s="22">
        <f t="shared" si="165"/>
        <v>1.0676332069095257E-12</v>
      </c>
      <c r="AM193" s="60">
        <f t="shared" si="113"/>
        <v>293.33333333333439</v>
      </c>
      <c r="AN193" s="60">
        <f ca="1">AVERAGE(OFFSET($AM$3,0,0,'Données projet'!$E$10+1,1))-AVERAGE(OFFSET($H$3,0,0,'Données projet'!$E$10+1,1))</f>
        <v>206.5885410269899</v>
      </c>
      <c r="AO193" s="60">
        <f t="shared" si="144"/>
        <v>347.41156847586302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4.6008712473963564</v>
      </c>
      <c r="AV193" s="23">
        <f>EXP(-LN(2)/25)*AV192+(1-EXP(-LN(2)/25))/(LN(2)/25)*Calculateur!AQ193*Calculateur!AS193*VLOOKUP('Données projet'!$B$10,Paramètres!$A$1:$I$89,3,0)*0.475*44/12</f>
        <v>3.9587172193202E-2</v>
      </c>
      <c r="AW193" s="23">
        <f>EXP(-LN(2)/2)*AW192+(1-EXP(-LN(2)/2))/(LN(2)/2)*AQ193*AT193*VLOOKUP('Données projet'!$B$10,Paramètres!$A$1:$I$89,3,0)*0.475*44/12</f>
        <v>9.1115486228937691E-22</v>
      </c>
      <c r="AX193" s="23">
        <f t="shared" si="166"/>
        <v>4.6404584195895584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1.0818439477588981E-13</v>
      </c>
      <c r="BF193" s="14">
        <f t="shared" si="167"/>
        <v>1.6104228458716316E-12</v>
      </c>
      <c r="BG193" s="22">
        <f t="shared" si="168"/>
        <v>2.9932409441277661E-12</v>
      </c>
      <c r="BH193" s="60">
        <f t="shared" si="116"/>
        <v>293.33333333333633</v>
      </c>
      <c r="BI193" s="60">
        <f ca="1">AVERAGE(OFFSET($BH$3,0,0,'Données projet'!$E$11+1,1))-AVERAGE(OFFSET($H$3,0,0,'Données projet'!$E$11+1,1))</f>
        <v>389.12604446638119</v>
      </c>
      <c r="BJ193" s="60">
        <f t="shared" si="146"/>
        <v>243.23852967152732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1.0286385077051818E-13</v>
      </c>
      <c r="CA193" s="14">
        <f t="shared" si="170"/>
        <v>1.5402366592183556E-12</v>
      </c>
      <c r="CB193" s="22">
        <f t="shared" si="171"/>
        <v>2.8617333882306215E-12</v>
      </c>
      <c r="CC193" s="60">
        <f t="shared" si="119"/>
        <v>293.33333333333616</v>
      </c>
      <c r="CD193" s="60">
        <f ca="1">AVERAGE(OFFSET($CC$3,0,0,'Données projet'!$E$12+1,1))-AVERAGE(OFFSET($H$3,0,0,'Données projet'!$E$12+1,1))</f>
        <v>371.95849973474657</v>
      </c>
      <c r="CE193" s="60">
        <f t="shared" si="148"/>
        <v>233.32640143610547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1.5828171145692405E-23</v>
      </c>
      <c r="CN193" s="24">
        <f t="shared" si="172"/>
        <v>1.5828171145692405E-23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1.0995790944434703E-13</v>
      </c>
      <c r="CV193" s="14">
        <f t="shared" si="173"/>
        <v>1.6337280948049956E-12</v>
      </c>
      <c r="CW193" s="22">
        <f t="shared" si="174"/>
        <v>3.036919790734272E-12</v>
      </c>
      <c r="CX193" s="60">
        <f t="shared" si="122"/>
        <v>293.33333333333633</v>
      </c>
      <c r="CY193" s="60">
        <f ca="1">AVERAGE(OFFSET($CX$3,0,0,'Données projet'!$E$13+1,1))-AVERAGE(OFFSET($H$3,0,0,'Données projet'!$E$13+1,1))</f>
        <v>394.8445842828649</v>
      </c>
      <c r="CZ193" s="60">
        <f t="shared" si="150"/>
        <v>246.54010105494143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1.6919769155740168E-23</v>
      </c>
      <c r="DI193" s="24">
        <f t="shared" si="175"/>
        <v>1.6919769155740168E-23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5.6843418860808015E-14</v>
      </c>
      <c r="DP193" s="18">
        <f>DO193*VLOOKUP('Données projet'!$B$14,Paramètres!$A$1:$I$89,3,0)*VLOOKUP('Données projet'!$B$14,Paramètres!$A$1:$I$89,5,0)</f>
        <v>4.9658410716801891E-14</v>
      </c>
      <c r="DQ193" s="14">
        <f t="shared" si="176"/>
        <v>8.0934058173791862E-13</v>
      </c>
      <c r="DR193" s="22">
        <f t="shared" si="177"/>
        <v>1.4960899118586383E-12</v>
      </c>
      <c r="DS193" s="60">
        <f t="shared" si="125"/>
        <v>293.33333333333479</v>
      </c>
      <c r="DT193" s="60">
        <f ca="1">AVERAGE(OFFSET($DS$3,0,0,'Données projet'!$E$14+1,1))-AVERAGE(OFFSET($H$3,0,0,'Données projet'!$E$14+1,1))</f>
        <v>266.98113257513319</v>
      </c>
      <c r="DU193" s="60">
        <f t="shared" si="152"/>
        <v>275.73257102713393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0.13184147519743872</v>
      </c>
      <c r="EC193" s="23">
        <f>EXP(-LN(2)/2)*EC192+(1-EXP(-LN(2)/2))/(LN(2)/2)*DW193*DZ193*VLOOKUP('Données projet'!$B$14,Paramètres!$A$1:$I$89,3,0)*0.475*44/12</f>
        <v>8.6577672638886616E-24</v>
      </c>
      <c r="ED193" s="24">
        <f t="shared" si="178"/>
        <v>0.13184147519743872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1.1368683772161603E-13</v>
      </c>
      <c r="EK193" s="18">
        <f>EJ193*VLOOKUP('Données projet'!$B$15,Paramètres!$A$1:$I$89,3,0)*VLOOKUP('Données projet'!$B$15,Paramètres!$A$1:$I$89,5,0)</f>
        <v>1.2946657079737634E-13</v>
      </c>
      <c r="EL193" s="14">
        <f t="shared" si="179"/>
        <v>1.8873591890224769E-12</v>
      </c>
      <c r="EM193" s="22">
        <f t="shared" si="180"/>
        <v>3.5126381983529106E-12</v>
      </c>
      <c r="EN193" s="60">
        <f t="shared" si="128"/>
        <v>293.33333333333684</v>
      </c>
      <c r="EO193" s="60">
        <f ca="1">AVERAGE(OFFSET($EN$3,0,0,'Données projet'!$E$15+1,1))-AVERAGE(OFFSET($H$3,0,0,'Données projet'!$E$15+1,1))</f>
        <v>457.62828850677369</v>
      </c>
      <c r="EP193" s="60">
        <f t="shared" si="154"/>
        <v>282.78263556175563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1.1368683772161603E-13</v>
      </c>
      <c r="FF193" s="18">
        <f>FE193*VLOOKUP('Données projet'!$B$16,Paramètres!$A$1:$I$89,3,0)*VLOOKUP('Données projet'!$B$16,Paramètres!$A$1:$I$89,5,0)</f>
        <v>1.2414602679200469E-13</v>
      </c>
      <c r="FG193" s="14">
        <f t="shared" si="182"/>
        <v>1.8186582995804361E-12</v>
      </c>
      <c r="FH193" s="22">
        <f t="shared" si="183"/>
        <v>3.3837175350986671E-12</v>
      </c>
      <c r="FI193" s="60">
        <f t="shared" si="131"/>
        <v>293.33333333333672</v>
      </c>
      <c r="FJ193" s="60">
        <f ca="1">AVERAGE(OFFSET($FI$3,0,0,'Données projet'!$E$16+1,1))-AVERAGE(OFFSET($H$3,0,0,'Données projet'!$E$16+1,1))</f>
        <v>440.52623925652182</v>
      </c>
      <c r="FK193" s="60">
        <f t="shared" si="156"/>
        <v>272.91122662088918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3.4106051316484809E-13</v>
      </c>
      <c r="GA193" s="18">
        <f>FZ193*VLOOKUP('Données projet'!$B$17,Paramètres!$A$1:$I$89,3,0)*VLOOKUP('Données projet'!$B$17,Paramètres!$A$1:$I$89,5,0)</f>
        <v>1.5961632016114892E-13</v>
      </c>
      <c r="GB193" s="14">
        <f t="shared" si="185"/>
        <v>2.2708641912150958E-12</v>
      </c>
      <c r="GC193" s="22">
        <f t="shared" si="186"/>
        <v>4.2330868906469593E-12</v>
      </c>
      <c r="GD193" s="60">
        <f t="shared" si="134"/>
        <v>293.33333333333752</v>
      </c>
      <c r="GE193" s="60">
        <f ca="1">AVERAGE(OFFSET($GD$3,0,0,'Données projet'!$E$17+1,1))-AVERAGE(OFFSET($H$3,0,0,'Données projet'!$E$17+1,1))</f>
        <v>317.54276561627643</v>
      </c>
      <c r="GF193" s="60">
        <f t="shared" si="158"/>
        <v>238.92443174298893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>
        <f>GU193*VLOOKUP('Données projet'!$B$18,Paramètres!$A$1:$I$89,3,0)*VLOOKUP('Données projet'!$B$18,Paramètres!$A$1:$I$89,5,0)</f>
        <v>0</v>
      </c>
      <c r="GW193" s="14" t="e">
        <f t="shared" si="188"/>
        <v>#NUM!</v>
      </c>
      <c r="GX193" s="22" t="e">
        <f t="shared" si="189"/>
        <v>#NUM!</v>
      </c>
      <c r="GY193" s="60" t="e">
        <f t="shared" si="137"/>
        <v>#NUM!</v>
      </c>
      <c r="GZ193" s="60">
        <f ca="1">AVERAGE(OFFSET($GY$3,0,0,'Données projet'!$E$18+1,1))-AVERAGE(OFFSET($H$3,0,0,'Données projet'!$E$18+1,1))</f>
        <v>79.868679770907136</v>
      </c>
      <c r="HA193" s="60">
        <f t="shared" si="160"/>
        <v>370.47471103028312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2.6132438545767442</v>
      </c>
      <c r="HH193" s="23">
        <f>EXP(-LN(2)/25)*HH192+(1-EXP(-LN(2)/25))/(LN(2)/25)*Calculateur!HC193*Calculateur!HE193*VLOOKUP('Données projet'!$B$18,Paramètres!$A$1:$I$89,3,0)*0.475*44/12</f>
        <v>0.1788856488861246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2.7921295034628688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0">
        <f t="shared" si="109"/>
        <v>293.33333333333439</v>
      </c>
      <c r="S194" s="60">
        <f ca="1">AVERAGE(OFFSET($R$3,0,0,'Données projet'!$E$9+1,1))-AVERAGE(OFFSET($H$3,0,0,'Données projet'!$E$9+1,1))</f>
        <v>206.5885410269899</v>
      </c>
      <c r="T194" s="60">
        <f t="shared" si="142"/>
        <v>347.41156847586302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3.3992364478763198E-14</v>
      </c>
      <c r="AK194" s="14">
        <f t="shared" si="164"/>
        <v>5.790027782444094E-13</v>
      </c>
      <c r="AL194" s="22">
        <f t="shared" si="165"/>
        <v>1.0676332069095257E-12</v>
      </c>
      <c r="AM194" s="60">
        <f t="shared" si="113"/>
        <v>293.33333333333439</v>
      </c>
      <c r="AN194" s="60">
        <f ca="1">AVERAGE(OFFSET($AM$3,0,0,'Données projet'!$E$10+1,1))-AVERAGE(OFFSET($H$3,0,0,'Données projet'!$E$10+1,1))</f>
        <v>206.5885410269899</v>
      </c>
      <c r="AO194" s="60">
        <f t="shared" si="144"/>
        <v>347.41156847586302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4.5106509684892799</v>
      </c>
      <c r="AV194" s="23">
        <f>EXP(-LN(2)/25)*AV193+(1-EXP(-LN(2)/25))/(LN(2)/25)*Calculateur!AQ194*Calculateur!AS194*VLOOKUP('Données projet'!$B$10,Paramètres!$A$1:$I$89,3,0)*0.475*44/12</f>
        <v>3.8504658887779986E-2</v>
      </c>
      <c r="AW194" s="23">
        <f>EXP(-LN(2)/2)*AW193+(1-EXP(-LN(2)/2))/(LN(2)/2)*AQ194*AT194*VLOOKUP('Données projet'!$B$10,Paramètres!$A$1:$I$89,3,0)*0.475*44/12</f>
        <v>6.4428378183591328E-22</v>
      </c>
      <c r="AX194" s="23">
        <f t="shared" si="166"/>
        <v>4.5491556273770595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1.0818439477588981E-13</v>
      </c>
      <c r="BF194" s="14">
        <f t="shared" si="167"/>
        <v>1.6104228458716316E-12</v>
      </c>
      <c r="BG194" s="22">
        <f t="shared" si="168"/>
        <v>2.9932409441277661E-12</v>
      </c>
      <c r="BH194" s="60">
        <f t="shared" si="116"/>
        <v>293.33333333333633</v>
      </c>
      <c r="BI194" s="60">
        <f ca="1">AVERAGE(OFFSET($BH$3,0,0,'Données projet'!$E$11+1,1))-AVERAGE(OFFSET($H$3,0,0,'Données projet'!$E$11+1,1))</f>
        <v>389.12604446638119</v>
      </c>
      <c r="BJ194" s="60">
        <f t="shared" si="146"/>
        <v>243.23852967152732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1.0286385077051818E-13</v>
      </c>
      <c r="CA194" s="14">
        <f t="shared" si="170"/>
        <v>1.5402366592183556E-12</v>
      </c>
      <c r="CB194" s="22">
        <f t="shared" si="171"/>
        <v>2.8617333882306215E-12</v>
      </c>
      <c r="CC194" s="60">
        <f t="shared" si="119"/>
        <v>293.33333333333616</v>
      </c>
      <c r="CD194" s="60">
        <f ca="1">AVERAGE(OFFSET($CC$3,0,0,'Données projet'!$E$12+1,1))-AVERAGE(OFFSET($H$3,0,0,'Données projet'!$E$12+1,1))</f>
        <v>371.95849973474657</v>
      </c>
      <c r="CE194" s="60">
        <f t="shared" si="148"/>
        <v>233.32640143610547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1.1192207150900345E-23</v>
      </c>
      <c r="CN194" s="24">
        <f t="shared" si="172"/>
        <v>1.1192207150900345E-23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1.0995790944434703E-13</v>
      </c>
      <c r="CV194" s="14">
        <f t="shared" si="173"/>
        <v>1.6337280948049956E-12</v>
      </c>
      <c r="CW194" s="22">
        <f t="shared" si="174"/>
        <v>3.036919790734272E-12</v>
      </c>
      <c r="CX194" s="60">
        <f t="shared" si="122"/>
        <v>293.33333333333633</v>
      </c>
      <c r="CY194" s="60">
        <f ca="1">AVERAGE(OFFSET($CX$3,0,0,'Données projet'!$E$13+1,1))-AVERAGE(OFFSET($H$3,0,0,'Données projet'!$E$13+1,1))</f>
        <v>394.8445842828649</v>
      </c>
      <c r="CZ194" s="60">
        <f t="shared" si="150"/>
        <v>246.54010105494143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1.1964083506134859E-23</v>
      </c>
      <c r="DI194" s="24">
        <f t="shared" si="175"/>
        <v>1.1964083506134859E-23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5.6843418860808015E-14</v>
      </c>
      <c r="DP194" s="18">
        <f>DO194*VLOOKUP('Données projet'!$B$14,Paramètres!$A$1:$I$89,3,0)*VLOOKUP('Données projet'!$B$14,Paramètres!$A$1:$I$89,5,0)</f>
        <v>4.9658410716801891E-14</v>
      </c>
      <c r="DQ194" s="14">
        <f t="shared" si="176"/>
        <v>8.0934058173791862E-13</v>
      </c>
      <c r="DR194" s="22">
        <f t="shared" si="177"/>
        <v>1.4960899118586383E-12</v>
      </c>
      <c r="DS194" s="60">
        <f t="shared" si="125"/>
        <v>293.33333333333479</v>
      </c>
      <c r="DT194" s="60">
        <f ca="1">AVERAGE(OFFSET($DS$3,0,0,'Données projet'!$E$14+1,1))-AVERAGE(OFFSET($H$3,0,0,'Données projet'!$E$14+1,1))</f>
        <v>266.98113257513319</v>
      </c>
      <c r="DU194" s="60">
        <f t="shared" si="152"/>
        <v>275.73257102713393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0.12823626312492289</v>
      </c>
      <c r="EC194" s="23">
        <f>EXP(-LN(2)/2)*EC193+(1-EXP(-LN(2)/2))/(LN(2)/2)*DW194*DZ194*VLOOKUP('Données projet'!$B$14,Paramètres!$A$1:$I$89,3,0)*0.475*44/12</f>
        <v>6.1219659422305742E-24</v>
      </c>
      <c r="ED194" s="24">
        <f t="shared" si="178"/>
        <v>0.12823626312492289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1.1368683772161603E-13</v>
      </c>
      <c r="EK194" s="18">
        <f>EJ194*VLOOKUP('Données projet'!$B$15,Paramètres!$A$1:$I$89,3,0)*VLOOKUP('Données projet'!$B$15,Paramètres!$A$1:$I$89,5,0)</f>
        <v>1.2946657079737634E-13</v>
      </c>
      <c r="EL194" s="14">
        <f t="shared" si="179"/>
        <v>1.8873591890224769E-12</v>
      </c>
      <c r="EM194" s="22">
        <f t="shared" si="180"/>
        <v>3.5126381983529106E-12</v>
      </c>
      <c r="EN194" s="60">
        <f t="shared" si="128"/>
        <v>293.33333333333684</v>
      </c>
      <c r="EO194" s="60">
        <f ca="1">AVERAGE(OFFSET($EN$3,0,0,'Données projet'!$E$15+1,1))-AVERAGE(OFFSET($H$3,0,0,'Données projet'!$E$15+1,1))</f>
        <v>457.62828850677369</v>
      </c>
      <c r="EP194" s="60">
        <f t="shared" si="154"/>
        <v>282.78263556175563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1.1368683772161603E-13</v>
      </c>
      <c r="FF194" s="18">
        <f>FE194*VLOOKUP('Données projet'!$B$16,Paramètres!$A$1:$I$89,3,0)*VLOOKUP('Données projet'!$B$16,Paramètres!$A$1:$I$89,5,0)</f>
        <v>1.2414602679200469E-13</v>
      </c>
      <c r="FG194" s="14">
        <f t="shared" si="182"/>
        <v>1.8186582995804361E-12</v>
      </c>
      <c r="FH194" s="22">
        <f t="shared" si="183"/>
        <v>3.3837175350986671E-12</v>
      </c>
      <c r="FI194" s="60">
        <f t="shared" si="131"/>
        <v>293.33333333333672</v>
      </c>
      <c r="FJ194" s="60">
        <f ca="1">AVERAGE(OFFSET($FI$3,0,0,'Données projet'!$E$16+1,1))-AVERAGE(OFFSET($H$3,0,0,'Données projet'!$E$16+1,1))</f>
        <v>440.52623925652182</v>
      </c>
      <c r="FK194" s="60">
        <f t="shared" si="156"/>
        <v>272.91122662088918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3.4106051316484809E-13</v>
      </c>
      <c r="GA194" s="18">
        <f>FZ194*VLOOKUP('Données projet'!$B$17,Paramètres!$A$1:$I$89,3,0)*VLOOKUP('Données projet'!$B$17,Paramètres!$A$1:$I$89,5,0)</f>
        <v>1.5961632016114892E-13</v>
      </c>
      <c r="GB194" s="14">
        <f t="shared" si="185"/>
        <v>2.2708641912150958E-12</v>
      </c>
      <c r="GC194" s="22">
        <f t="shared" si="186"/>
        <v>4.2330868906469593E-12</v>
      </c>
      <c r="GD194" s="60">
        <f t="shared" si="134"/>
        <v>293.33333333333752</v>
      </c>
      <c r="GE194" s="60">
        <f ca="1">AVERAGE(OFFSET($GD$3,0,0,'Données projet'!$E$17+1,1))-AVERAGE(OFFSET($H$3,0,0,'Données projet'!$E$17+1,1))</f>
        <v>317.54276561627643</v>
      </c>
      <c r="GF194" s="60">
        <f t="shared" si="158"/>
        <v>238.92443174298893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>
        <f>GU194*VLOOKUP('Données projet'!$B$18,Paramètres!$A$1:$I$89,3,0)*VLOOKUP('Données projet'!$B$18,Paramètres!$A$1:$I$89,5,0)</f>
        <v>0</v>
      </c>
      <c r="GW194" s="14" t="e">
        <f t="shared" si="188"/>
        <v>#NUM!</v>
      </c>
      <c r="GX194" s="22" t="e">
        <f t="shared" si="189"/>
        <v>#NUM!</v>
      </c>
      <c r="GY194" s="60" t="e">
        <f t="shared" si="137"/>
        <v>#NUM!</v>
      </c>
      <c r="GZ194" s="60">
        <f ca="1">AVERAGE(OFFSET($GY$3,0,0,'Données projet'!$E$18+1,1))-AVERAGE(OFFSET($H$3,0,0,'Données projet'!$E$18+1,1))</f>
        <v>79.868679770907136</v>
      </c>
      <c r="HA194" s="60">
        <f t="shared" si="160"/>
        <v>370.47471103028312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2.561999736509859</v>
      </c>
      <c r="HH194" s="23">
        <f>EXP(-LN(2)/25)*HH193+(1-EXP(-LN(2)/25))/(LN(2)/25)*Calculateur!HC194*Calculateur!HE194*VLOOKUP('Données projet'!$B$18,Paramètres!$A$1:$I$89,3,0)*0.475*44/12</f>
        <v>0.17399401141014609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2.7359937479200052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0">
        <f t="shared" ref="R195:R203" si="191">Q195+(I195+J195)*44/12</f>
        <v>293.33333333333439</v>
      </c>
      <c r="S195" s="60">
        <f ca="1">AVERAGE(OFFSET($R$3,0,0,'Données projet'!$E$9+1,1))-AVERAGE(OFFSET($H$3,0,0,'Données projet'!$E$9+1,1))</f>
        <v>206.5885410269899</v>
      </c>
      <c r="T195" s="60">
        <f t="shared" si="142"/>
        <v>347.41156847586302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3.3992364478763198E-14</v>
      </c>
      <c r="AK195" s="14">
        <f t="shared" si="164"/>
        <v>5.790027782444094E-13</v>
      </c>
      <c r="AL195" s="22">
        <f t="shared" si="165"/>
        <v>1.0676332069095257E-12</v>
      </c>
      <c r="AM195" s="60">
        <f t="shared" si="113"/>
        <v>293.33333333333439</v>
      </c>
      <c r="AN195" s="60">
        <f ca="1">AVERAGE(OFFSET($AM$3,0,0,'Données projet'!$E$10+1,1))-AVERAGE(OFFSET($H$3,0,0,'Données projet'!$E$10+1,1))</f>
        <v>206.5885410269899</v>
      </c>
      <c r="AO195" s="60">
        <f t="shared" si="144"/>
        <v>347.41156847586302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4.4221998542226348</v>
      </c>
      <c r="AV195" s="23">
        <f>EXP(-LN(2)/25)*AV194+(1-EXP(-LN(2)/25))/(LN(2)/25)*Calculateur!AQ195*Calculateur!AS195*VLOOKUP('Données projet'!$B$10,Paramètres!$A$1:$I$89,3,0)*0.475*44/12</f>
        <v>3.7451746965621632E-2</v>
      </c>
      <c r="AW195" s="23">
        <f>EXP(-LN(2)/2)*AW194+(1-EXP(-LN(2)/2))/(LN(2)/2)*AQ195*AT195*VLOOKUP('Données projet'!$B$10,Paramètres!$A$1:$I$89,3,0)*0.475*44/12</f>
        <v>4.5557743114468846E-22</v>
      </c>
      <c r="AX195" s="23">
        <f t="shared" si="166"/>
        <v>4.4596516011882565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1.0818439477588981E-13</v>
      </c>
      <c r="BF195" s="14">
        <f t="shared" si="167"/>
        <v>1.6104228458716316E-12</v>
      </c>
      <c r="BG195" s="22">
        <f t="shared" si="168"/>
        <v>2.9932409441277661E-12</v>
      </c>
      <c r="BH195" s="60">
        <f t="shared" si="116"/>
        <v>293.33333333333633</v>
      </c>
      <c r="BI195" s="60">
        <f ca="1">AVERAGE(OFFSET($BH$3,0,0,'Données projet'!$E$11+1,1))-AVERAGE(OFFSET($H$3,0,0,'Données projet'!$E$11+1,1))</f>
        <v>389.12604446638119</v>
      </c>
      <c r="BJ195" s="60">
        <f t="shared" si="146"/>
        <v>243.23852967152732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1.0286385077051818E-13</v>
      </c>
      <c r="CA195" s="14">
        <f t="shared" si="170"/>
        <v>1.5402366592183556E-12</v>
      </c>
      <c r="CB195" s="22">
        <f t="shared" si="171"/>
        <v>2.8617333882306215E-12</v>
      </c>
      <c r="CC195" s="60">
        <f t="shared" si="119"/>
        <v>293.33333333333616</v>
      </c>
      <c r="CD195" s="60">
        <f ca="1">AVERAGE(OFFSET($CC$3,0,0,'Données projet'!$E$12+1,1))-AVERAGE(OFFSET($H$3,0,0,'Données projet'!$E$12+1,1))</f>
        <v>371.95849973474657</v>
      </c>
      <c r="CE195" s="60">
        <f t="shared" si="148"/>
        <v>233.32640143610547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7.9140855728462027E-24</v>
      </c>
      <c r="CN195" s="24">
        <f t="shared" si="172"/>
        <v>7.9140855728462027E-24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1.0995790944434703E-13</v>
      </c>
      <c r="CV195" s="14">
        <f t="shared" si="173"/>
        <v>1.6337280948049956E-12</v>
      </c>
      <c r="CW195" s="22">
        <f t="shared" si="174"/>
        <v>3.036919790734272E-12</v>
      </c>
      <c r="CX195" s="60">
        <f t="shared" si="122"/>
        <v>293.33333333333633</v>
      </c>
      <c r="CY195" s="60">
        <f ca="1">AVERAGE(OFFSET($CX$3,0,0,'Données projet'!$E$13+1,1))-AVERAGE(OFFSET($H$3,0,0,'Données projet'!$E$13+1,1))</f>
        <v>394.8445842828649</v>
      </c>
      <c r="CZ195" s="60">
        <f t="shared" si="150"/>
        <v>246.54010105494143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8.4598845778700839E-24</v>
      </c>
      <c r="DI195" s="24">
        <f t="shared" si="175"/>
        <v>8.4598845778700839E-24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5.6843418860808015E-14</v>
      </c>
      <c r="DP195" s="18">
        <f>DO195*VLOOKUP('Données projet'!$B$14,Paramètres!$A$1:$I$89,3,0)*VLOOKUP('Données projet'!$B$14,Paramètres!$A$1:$I$89,5,0)</f>
        <v>4.9658410716801891E-14</v>
      </c>
      <c r="DQ195" s="14">
        <f t="shared" si="176"/>
        <v>8.0934058173791862E-13</v>
      </c>
      <c r="DR195" s="22">
        <f t="shared" si="177"/>
        <v>1.4960899118586383E-12</v>
      </c>
      <c r="DS195" s="60">
        <f t="shared" si="125"/>
        <v>293.33333333333479</v>
      </c>
      <c r="DT195" s="60">
        <f ca="1">AVERAGE(OFFSET($DS$3,0,0,'Données projet'!$E$14+1,1))-AVERAGE(OFFSET($H$3,0,0,'Données projet'!$E$14+1,1))</f>
        <v>266.98113257513319</v>
      </c>
      <c r="DU195" s="60">
        <f t="shared" si="152"/>
        <v>275.73257102713393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0.1247296357661199</v>
      </c>
      <c r="EC195" s="23">
        <f>EXP(-LN(2)/2)*EC194+(1-EXP(-LN(2)/2))/(LN(2)/2)*DW195*DZ195*VLOOKUP('Données projet'!$B$14,Paramètres!$A$1:$I$89,3,0)*0.475*44/12</f>
        <v>4.3288836319443308E-24</v>
      </c>
      <c r="ED195" s="24">
        <f t="shared" si="178"/>
        <v>0.1247296357661199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1.1368683772161603E-13</v>
      </c>
      <c r="EK195" s="18">
        <f>EJ195*VLOOKUP('Données projet'!$B$15,Paramètres!$A$1:$I$89,3,0)*VLOOKUP('Données projet'!$B$15,Paramètres!$A$1:$I$89,5,0)</f>
        <v>1.2946657079737634E-13</v>
      </c>
      <c r="EL195" s="14">
        <f t="shared" si="179"/>
        <v>1.8873591890224769E-12</v>
      </c>
      <c r="EM195" s="22">
        <f t="shared" si="180"/>
        <v>3.5126381983529106E-12</v>
      </c>
      <c r="EN195" s="60">
        <f t="shared" si="128"/>
        <v>293.33333333333684</v>
      </c>
      <c r="EO195" s="60">
        <f ca="1">AVERAGE(OFFSET($EN$3,0,0,'Données projet'!$E$15+1,1))-AVERAGE(OFFSET($H$3,0,0,'Données projet'!$E$15+1,1))</f>
        <v>457.62828850677369</v>
      </c>
      <c r="EP195" s="60">
        <f t="shared" si="154"/>
        <v>282.78263556175563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1.1368683772161603E-13</v>
      </c>
      <c r="FF195" s="18">
        <f>FE195*VLOOKUP('Données projet'!$B$16,Paramètres!$A$1:$I$89,3,0)*VLOOKUP('Données projet'!$B$16,Paramètres!$A$1:$I$89,5,0)</f>
        <v>1.2414602679200469E-13</v>
      </c>
      <c r="FG195" s="14">
        <f t="shared" si="182"/>
        <v>1.8186582995804361E-12</v>
      </c>
      <c r="FH195" s="22">
        <f t="shared" si="183"/>
        <v>3.3837175350986671E-12</v>
      </c>
      <c r="FI195" s="60">
        <f t="shared" si="131"/>
        <v>293.33333333333672</v>
      </c>
      <c r="FJ195" s="60">
        <f ca="1">AVERAGE(OFFSET($FI$3,0,0,'Données projet'!$E$16+1,1))-AVERAGE(OFFSET($H$3,0,0,'Données projet'!$E$16+1,1))</f>
        <v>440.52623925652182</v>
      </c>
      <c r="FK195" s="60">
        <f t="shared" si="156"/>
        <v>272.91122662088918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3.4106051316484809E-13</v>
      </c>
      <c r="GA195" s="18">
        <f>FZ195*VLOOKUP('Données projet'!$B$17,Paramètres!$A$1:$I$89,3,0)*VLOOKUP('Données projet'!$B$17,Paramètres!$A$1:$I$89,5,0)</f>
        <v>1.5961632016114892E-13</v>
      </c>
      <c r="GB195" s="14">
        <f t="shared" si="185"/>
        <v>2.2708641912150958E-12</v>
      </c>
      <c r="GC195" s="22">
        <f t="shared" si="186"/>
        <v>4.2330868906469593E-12</v>
      </c>
      <c r="GD195" s="60">
        <f t="shared" si="134"/>
        <v>293.33333333333752</v>
      </c>
      <c r="GE195" s="60">
        <f ca="1">AVERAGE(OFFSET($GD$3,0,0,'Données projet'!$E$17+1,1))-AVERAGE(OFFSET($H$3,0,0,'Données projet'!$E$17+1,1))</f>
        <v>317.54276561627643</v>
      </c>
      <c r="GF195" s="60">
        <f t="shared" si="158"/>
        <v>238.92443174298893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>
        <f>GU195*VLOOKUP('Données projet'!$B$18,Paramètres!$A$1:$I$89,3,0)*VLOOKUP('Données projet'!$B$18,Paramètres!$A$1:$I$89,5,0)</f>
        <v>0</v>
      </c>
      <c r="GW195" s="14" t="e">
        <f t="shared" si="188"/>
        <v>#NUM!</v>
      </c>
      <c r="GX195" s="22" t="e">
        <f t="shared" si="189"/>
        <v>#NUM!</v>
      </c>
      <c r="GY195" s="60" t="e">
        <f t="shared" si="137"/>
        <v>#NUM!</v>
      </c>
      <c r="GZ195" s="60">
        <f ca="1">AVERAGE(OFFSET($GY$3,0,0,'Données projet'!$E$18+1,1))-AVERAGE(OFFSET($H$3,0,0,'Données projet'!$E$18+1,1))</f>
        <v>79.868679770907136</v>
      </c>
      <c r="HA195" s="60">
        <f t="shared" si="160"/>
        <v>370.47471103028312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2.5117604843424397</v>
      </c>
      <c r="HH195" s="23">
        <f>EXP(-LN(2)/25)*HH194+(1-EXP(-LN(2)/25))/(LN(2)/25)*Calculateur!HC195*Calculateur!HE195*VLOOKUP('Données projet'!$B$18,Paramètres!$A$1:$I$89,3,0)*0.475*44/12</f>
        <v>0.16923613601818824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2.6809966203606281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0">
        <f t="shared" si="191"/>
        <v>293.33333333333439</v>
      </c>
      <c r="S196" s="60">
        <f ca="1">AVERAGE(OFFSET($R$3,0,0,'Données projet'!$E$9+1,1))-AVERAGE(OFFSET($H$3,0,0,'Données projet'!$E$9+1,1))</f>
        <v>206.5885410269899</v>
      </c>
      <c r="T196" s="60">
        <f t="shared" si="142"/>
        <v>347.41156847586302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3.3992364478763198E-14</v>
      </c>
      <c r="AK196" s="14">
        <f t="shared" si="164"/>
        <v>5.790027782444094E-13</v>
      </c>
      <c r="AL196" s="22">
        <f t="shared" si="165"/>
        <v>1.0676332069095257E-12</v>
      </c>
      <c r="AM196" s="60">
        <f t="shared" ref="AM196:AM203" si="193">AL196+(AD196+AE196)*44/12</f>
        <v>293.33333333333439</v>
      </c>
      <c r="AN196" s="60">
        <f ca="1">AVERAGE(OFFSET($AM$3,0,0,'Données projet'!$E$10+1,1))-AVERAGE(OFFSET($H$3,0,0,'Données projet'!$E$10+1,1))</f>
        <v>206.5885410269899</v>
      </c>
      <c r="AO196" s="60">
        <f t="shared" si="144"/>
        <v>347.41156847586302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4.3354832123569063</v>
      </c>
      <c r="AV196" s="23">
        <f>EXP(-LN(2)/25)*AV195+(1-EXP(-LN(2)/25))/(LN(2)/25)*Calculateur!AQ196*Calculateur!AS196*VLOOKUP('Données projet'!$B$10,Paramètres!$A$1:$I$89,3,0)*0.475*44/12</f>
        <v>3.6427626975344934E-2</v>
      </c>
      <c r="AW196" s="23">
        <f>EXP(-LN(2)/2)*AW195+(1-EXP(-LN(2)/2))/(LN(2)/2)*AQ196*AT196*VLOOKUP('Données projet'!$B$10,Paramètres!$A$1:$I$89,3,0)*0.475*44/12</f>
        <v>3.2214189091795664E-22</v>
      </c>
      <c r="AX196" s="23">
        <f t="shared" si="166"/>
        <v>4.3719108393322514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1.0818439477588981E-13</v>
      </c>
      <c r="BF196" s="14">
        <f t="shared" si="167"/>
        <v>1.6104228458716316E-12</v>
      </c>
      <c r="BG196" s="22">
        <f t="shared" si="168"/>
        <v>2.9932409441277661E-12</v>
      </c>
      <c r="BH196" s="60">
        <f t="shared" ref="BH196:BH203" si="194">BG196+(AY196+AZ196)*44/12</f>
        <v>293.33333333333633</v>
      </c>
      <c r="BI196" s="60">
        <f ca="1">AVERAGE(OFFSET($BH$3,0,0,'Données projet'!$E$11+1,1))-AVERAGE(OFFSET($H$3,0,0,'Données projet'!$E$11+1,1))</f>
        <v>389.12604446638119</v>
      </c>
      <c r="BJ196" s="60">
        <f t="shared" si="146"/>
        <v>243.23852967152732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1.0286385077051818E-13</v>
      </c>
      <c r="CA196" s="14">
        <f t="shared" si="170"/>
        <v>1.5402366592183556E-12</v>
      </c>
      <c r="CB196" s="22">
        <f t="shared" si="171"/>
        <v>2.8617333882306215E-12</v>
      </c>
      <c r="CC196" s="60">
        <f t="shared" ref="CC196:CC203" si="195">CB196+(BT196+BU196)*44/12</f>
        <v>293.33333333333616</v>
      </c>
      <c r="CD196" s="60">
        <f ca="1">AVERAGE(OFFSET($CC$3,0,0,'Données projet'!$E$12+1,1))-AVERAGE(OFFSET($H$3,0,0,'Données projet'!$E$12+1,1))</f>
        <v>371.95849973474657</v>
      </c>
      <c r="CE196" s="60">
        <f t="shared" si="148"/>
        <v>233.32640143610547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5.5961035754501725E-24</v>
      </c>
      <c r="CN196" s="24">
        <f t="shared" si="172"/>
        <v>5.5961035754501725E-24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1.0995790944434703E-13</v>
      </c>
      <c r="CV196" s="14">
        <f t="shared" si="173"/>
        <v>1.6337280948049956E-12</v>
      </c>
      <c r="CW196" s="22">
        <f t="shared" si="174"/>
        <v>3.036919790734272E-12</v>
      </c>
      <c r="CX196" s="60">
        <f t="shared" ref="CX196:CX203" si="196">CW196+(CO196+CP196)*44/12</f>
        <v>293.33333333333633</v>
      </c>
      <c r="CY196" s="60">
        <f ca="1">AVERAGE(OFFSET($CX$3,0,0,'Données projet'!$E$13+1,1))-AVERAGE(OFFSET($H$3,0,0,'Données projet'!$E$13+1,1))</f>
        <v>394.8445842828649</v>
      </c>
      <c r="CZ196" s="60">
        <f t="shared" si="150"/>
        <v>246.54010105494143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5.9820417530674295E-24</v>
      </c>
      <c r="DI196" s="24">
        <f t="shared" si="175"/>
        <v>5.9820417530674295E-24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5.6843418860808015E-14</v>
      </c>
      <c r="DP196" s="18">
        <f>DO196*VLOOKUP('Données projet'!$B$14,Paramètres!$A$1:$I$89,3,0)*VLOOKUP('Données projet'!$B$14,Paramètres!$A$1:$I$89,5,0)</f>
        <v>4.9658410716801891E-14</v>
      </c>
      <c r="DQ196" s="14">
        <f t="shared" si="176"/>
        <v>8.0934058173791862E-13</v>
      </c>
      <c r="DR196" s="22">
        <f t="shared" si="177"/>
        <v>1.4960899118586383E-12</v>
      </c>
      <c r="DS196" s="60">
        <f t="shared" ref="DS196:DS203" si="197">DR196+(DJ196+DK196)*44/12</f>
        <v>293.33333333333479</v>
      </c>
      <c r="DT196" s="60">
        <f ca="1">AVERAGE(OFFSET($DS$3,0,0,'Données projet'!$E$14+1,1))-AVERAGE(OFFSET($H$3,0,0,'Données projet'!$E$14+1,1))</f>
        <v>266.98113257513319</v>
      </c>
      <c r="DU196" s="60">
        <f t="shared" si="152"/>
        <v>275.73257102713393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0.12131889731684888</v>
      </c>
      <c r="EC196" s="23">
        <f>EXP(-LN(2)/2)*EC195+(1-EXP(-LN(2)/2))/(LN(2)/2)*DW196*DZ196*VLOOKUP('Données projet'!$B$14,Paramètres!$A$1:$I$89,3,0)*0.475*44/12</f>
        <v>3.0609829711152871E-24</v>
      </c>
      <c r="ED196" s="24">
        <f t="shared" si="178"/>
        <v>0.12131889731684888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1.1368683772161603E-13</v>
      </c>
      <c r="EK196" s="18">
        <f>EJ196*VLOOKUP('Données projet'!$B$15,Paramètres!$A$1:$I$89,3,0)*VLOOKUP('Données projet'!$B$15,Paramètres!$A$1:$I$89,5,0)</f>
        <v>1.2946657079737634E-13</v>
      </c>
      <c r="EL196" s="14">
        <f t="shared" si="179"/>
        <v>1.8873591890224769E-12</v>
      </c>
      <c r="EM196" s="22">
        <f t="shared" si="180"/>
        <v>3.5126381983529106E-12</v>
      </c>
      <c r="EN196" s="60">
        <f t="shared" ref="EN196:EN203" si="198">EM196+(EE196+EF196)*44/12</f>
        <v>293.33333333333684</v>
      </c>
      <c r="EO196" s="60">
        <f ca="1">AVERAGE(OFFSET($EN$3,0,0,'Données projet'!$E$15+1,1))-AVERAGE(OFFSET($H$3,0,0,'Données projet'!$E$15+1,1))</f>
        <v>457.62828850677369</v>
      </c>
      <c r="EP196" s="60">
        <f t="shared" si="154"/>
        <v>282.78263556175563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1.1368683772161603E-13</v>
      </c>
      <c r="FF196" s="18">
        <f>FE196*VLOOKUP('Données projet'!$B$16,Paramètres!$A$1:$I$89,3,0)*VLOOKUP('Données projet'!$B$16,Paramètres!$A$1:$I$89,5,0)</f>
        <v>1.2414602679200469E-13</v>
      </c>
      <c r="FG196" s="14">
        <f t="shared" si="182"/>
        <v>1.8186582995804361E-12</v>
      </c>
      <c r="FH196" s="22">
        <f t="shared" si="183"/>
        <v>3.3837175350986671E-12</v>
      </c>
      <c r="FI196" s="60">
        <f t="shared" ref="FI196:FI203" si="199">FH196+(EZ196+FA196)*44/12</f>
        <v>293.33333333333672</v>
      </c>
      <c r="FJ196" s="60">
        <f ca="1">AVERAGE(OFFSET($FI$3,0,0,'Données projet'!$E$16+1,1))-AVERAGE(OFFSET($H$3,0,0,'Données projet'!$E$16+1,1))</f>
        <v>440.52623925652182</v>
      </c>
      <c r="FK196" s="60">
        <f t="shared" si="156"/>
        <v>272.91122662088918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3.4106051316484809E-13</v>
      </c>
      <c r="GA196" s="18">
        <f>FZ196*VLOOKUP('Données projet'!$B$17,Paramètres!$A$1:$I$89,3,0)*VLOOKUP('Données projet'!$B$17,Paramètres!$A$1:$I$89,5,0)</f>
        <v>1.5961632016114892E-13</v>
      </c>
      <c r="GB196" s="14">
        <f t="shared" si="185"/>
        <v>2.2708641912150958E-12</v>
      </c>
      <c r="GC196" s="22">
        <f t="shared" si="186"/>
        <v>4.2330868906469593E-12</v>
      </c>
      <c r="GD196" s="60">
        <f t="shared" ref="GD196:GD203" si="200">GC196+(FU196+FV196)*44/12</f>
        <v>293.33333333333752</v>
      </c>
      <c r="GE196" s="60">
        <f ca="1">AVERAGE(OFFSET($GD$3,0,0,'Données projet'!$E$17+1,1))-AVERAGE(OFFSET($H$3,0,0,'Données projet'!$E$17+1,1))</f>
        <v>317.54276561627643</v>
      </c>
      <c r="GF196" s="60">
        <f t="shared" si="158"/>
        <v>238.92443174298893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>
        <f>GU196*VLOOKUP('Données projet'!$B$18,Paramètres!$A$1:$I$89,3,0)*VLOOKUP('Données projet'!$B$18,Paramètres!$A$1:$I$89,5,0)</f>
        <v>0</v>
      </c>
      <c r="GW196" s="14" t="e">
        <f t="shared" si="188"/>
        <v>#NUM!</v>
      </c>
      <c r="GX196" s="22" t="e">
        <f t="shared" si="189"/>
        <v>#NUM!</v>
      </c>
      <c r="GY196" s="60" t="e">
        <f t="shared" ref="GY196:GY203" si="201">GX196+(GP196+GQ196)*44/12</f>
        <v>#NUM!</v>
      </c>
      <c r="GZ196" s="60">
        <f ca="1">AVERAGE(OFFSET($GY$3,0,0,'Données projet'!$E$18+1,1))-AVERAGE(OFFSET($H$3,0,0,'Données projet'!$E$18+1,1))</f>
        <v>79.868679770907136</v>
      </c>
      <c r="HA196" s="60">
        <f t="shared" si="160"/>
        <v>370.47471103028312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2.4625063932671054</v>
      </c>
      <c r="HH196" s="23">
        <f>EXP(-LN(2)/25)*HH195+(1-EXP(-LN(2)/25))/(LN(2)/25)*Calculateur!HC196*Calculateur!HE196*VLOOKUP('Données projet'!$B$18,Paramètres!$A$1:$I$89,3,0)*0.475*44/12</f>
        <v>0.16460836497902928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2.6271147582461345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0">
        <f t="shared" si="191"/>
        <v>293.33333333333439</v>
      </c>
      <c r="S197" s="60">
        <f ca="1">AVERAGE(OFFSET($R$3,0,0,'Données projet'!$E$9+1,1))-AVERAGE(OFFSET($H$3,0,0,'Données projet'!$E$9+1,1))</f>
        <v>206.5885410269899</v>
      </c>
      <c r="T197" s="60">
        <f t="shared" ref="T197:T203" si="204">$T$3</f>
        <v>347.41156847586302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3.3992364478763198E-14</v>
      </c>
      <c r="AK197" s="14">
        <f t="shared" si="164"/>
        <v>5.790027782444094E-13</v>
      </c>
      <c r="AL197" s="22">
        <f t="shared" si="165"/>
        <v>1.0676332069095257E-12</v>
      </c>
      <c r="AM197" s="60">
        <f t="shared" si="193"/>
        <v>293.33333333333439</v>
      </c>
      <c r="AN197" s="60">
        <f ca="1">AVERAGE(OFFSET($AM$3,0,0,'Données projet'!$E$10+1,1))-AVERAGE(OFFSET($H$3,0,0,'Données projet'!$E$10+1,1))</f>
        <v>206.5885410269899</v>
      </c>
      <c r="AO197" s="60">
        <f t="shared" ref="AO197:AO203" si="205">$AO$3</f>
        <v>347.41156847586302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4.2504670309462353</v>
      </c>
      <c r="AV197" s="23">
        <f>EXP(-LN(2)/25)*AV196+(1-EXP(-LN(2)/25))/(LN(2)/25)*Calculateur!AQ197*Calculateur!AS197*VLOOKUP('Données projet'!$B$10,Paramètres!$A$1:$I$89,3,0)*0.475*44/12</f>
        <v>3.5431511600058481E-2</v>
      </c>
      <c r="AW197" s="23">
        <f>EXP(-LN(2)/2)*AW196+(1-EXP(-LN(2)/2))/(LN(2)/2)*AQ197*AT197*VLOOKUP('Données projet'!$B$10,Paramètres!$A$1:$I$89,3,0)*0.475*44/12</f>
        <v>2.2778871557234423E-22</v>
      </c>
      <c r="AX197" s="23">
        <f t="shared" si="166"/>
        <v>4.2858985425462937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1.0818439477588981E-13</v>
      </c>
      <c r="BF197" s="14">
        <f t="shared" si="167"/>
        <v>1.6104228458716316E-12</v>
      </c>
      <c r="BG197" s="22">
        <f t="shared" si="168"/>
        <v>2.9932409441277661E-12</v>
      </c>
      <c r="BH197" s="60">
        <f t="shared" si="194"/>
        <v>293.33333333333633</v>
      </c>
      <c r="BI197" s="60">
        <f ca="1">AVERAGE(OFFSET($BH$3,0,0,'Données projet'!$E$11+1,1))-AVERAGE(OFFSET($H$3,0,0,'Données projet'!$E$11+1,1))</f>
        <v>389.12604446638119</v>
      </c>
      <c r="BJ197" s="60">
        <f t="shared" ref="BJ197:BJ203" si="206">$BJ$3</f>
        <v>243.23852967152732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1.0286385077051818E-13</v>
      </c>
      <c r="CA197" s="14">
        <f t="shared" si="170"/>
        <v>1.5402366592183556E-12</v>
      </c>
      <c r="CB197" s="22">
        <f t="shared" si="171"/>
        <v>2.8617333882306215E-12</v>
      </c>
      <c r="CC197" s="60">
        <f t="shared" si="195"/>
        <v>293.33333333333616</v>
      </c>
      <c r="CD197" s="60">
        <f ca="1">AVERAGE(OFFSET($CC$3,0,0,'Données projet'!$E$12+1,1))-AVERAGE(OFFSET($H$3,0,0,'Données projet'!$E$12+1,1))</f>
        <v>371.95849973474657</v>
      </c>
      <c r="CE197" s="60">
        <f t="shared" ref="CE197:CE203" si="207">$CE$3</f>
        <v>233.32640143610547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3.9570427864231013E-24</v>
      </c>
      <c r="CN197" s="24">
        <f t="shared" si="172"/>
        <v>3.9570427864231013E-24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1.0995790944434703E-13</v>
      </c>
      <c r="CV197" s="14">
        <f t="shared" si="173"/>
        <v>1.6337280948049956E-12</v>
      </c>
      <c r="CW197" s="22">
        <f t="shared" si="174"/>
        <v>3.036919790734272E-12</v>
      </c>
      <c r="CX197" s="60">
        <f t="shared" si="196"/>
        <v>293.33333333333633</v>
      </c>
      <c r="CY197" s="60">
        <f ca="1">AVERAGE(OFFSET($CX$3,0,0,'Données projet'!$E$13+1,1))-AVERAGE(OFFSET($H$3,0,0,'Données projet'!$E$13+1,1))</f>
        <v>394.8445842828649</v>
      </c>
      <c r="CZ197" s="60">
        <f t="shared" ref="CZ197:CZ203" si="208">$CZ$3</f>
        <v>246.54010105494143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4.229942288935042E-24</v>
      </c>
      <c r="DI197" s="24">
        <f t="shared" si="175"/>
        <v>4.229942288935042E-24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5.6843418860808015E-14</v>
      </c>
      <c r="DP197" s="18">
        <f>DO197*VLOOKUP('Données projet'!$B$14,Paramètres!$A$1:$I$89,3,0)*VLOOKUP('Données projet'!$B$14,Paramètres!$A$1:$I$89,5,0)</f>
        <v>4.9658410716801891E-14</v>
      </c>
      <c r="DQ197" s="14">
        <f t="shared" si="176"/>
        <v>8.0934058173791862E-13</v>
      </c>
      <c r="DR197" s="22">
        <f t="shared" si="177"/>
        <v>1.4960899118586383E-12</v>
      </c>
      <c r="DS197" s="60">
        <f t="shared" si="197"/>
        <v>293.33333333333479</v>
      </c>
      <c r="DT197" s="60">
        <f ca="1">AVERAGE(OFFSET($DS$3,0,0,'Données projet'!$E$14+1,1))-AVERAGE(OFFSET($H$3,0,0,'Données projet'!$E$14+1,1))</f>
        <v>266.98113257513319</v>
      </c>
      <c r="DU197" s="60">
        <f t="shared" ref="DU197:DU203" si="209">$DU$3</f>
        <v>275.73257102713393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0.11800142568983611</v>
      </c>
      <c r="EC197" s="23">
        <f>EXP(-LN(2)/2)*EC196+(1-EXP(-LN(2)/2))/(LN(2)/2)*DW197*DZ197*VLOOKUP('Données projet'!$B$14,Paramètres!$A$1:$I$89,3,0)*0.475*44/12</f>
        <v>2.1644418159721654E-24</v>
      </c>
      <c r="ED197" s="24">
        <f t="shared" si="178"/>
        <v>0.11800142568983611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1.1368683772161603E-13</v>
      </c>
      <c r="EK197" s="18">
        <f>EJ197*VLOOKUP('Données projet'!$B$15,Paramètres!$A$1:$I$89,3,0)*VLOOKUP('Données projet'!$B$15,Paramètres!$A$1:$I$89,5,0)</f>
        <v>1.2946657079737634E-13</v>
      </c>
      <c r="EL197" s="14">
        <f t="shared" si="179"/>
        <v>1.8873591890224769E-12</v>
      </c>
      <c r="EM197" s="22">
        <f t="shared" si="180"/>
        <v>3.5126381983529106E-12</v>
      </c>
      <c r="EN197" s="60">
        <f t="shared" si="198"/>
        <v>293.33333333333684</v>
      </c>
      <c r="EO197" s="60">
        <f ca="1">AVERAGE(OFFSET($EN$3,0,0,'Données projet'!$E$15+1,1))-AVERAGE(OFFSET($H$3,0,0,'Données projet'!$E$15+1,1))</f>
        <v>457.62828850677369</v>
      </c>
      <c r="EP197" s="60">
        <f t="shared" ref="EP197:EP203" si="210">$EP$3</f>
        <v>282.78263556175563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1.1368683772161603E-13</v>
      </c>
      <c r="FF197" s="18">
        <f>FE197*VLOOKUP('Données projet'!$B$16,Paramètres!$A$1:$I$89,3,0)*VLOOKUP('Données projet'!$B$16,Paramètres!$A$1:$I$89,5,0)</f>
        <v>1.2414602679200469E-13</v>
      </c>
      <c r="FG197" s="14">
        <f t="shared" si="182"/>
        <v>1.8186582995804361E-12</v>
      </c>
      <c r="FH197" s="22">
        <f t="shared" si="183"/>
        <v>3.3837175350986671E-12</v>
      </c>
      <c r="FI197" s="60">
        <f t="shared" si="199"/>
        <v>293.33333333333672</v>
      </c>
      <c r="FJ197" s="60">
        <f ca="1">AVERAGE(OFFSET($FI$3,0,0,'Données projet'!$E$16+1,1))-AVERAGE(OFFSET($H$3,0,0,'Données projet'!$E$16+1,1))</f>
        <v>440.52623925652182</v>
      </c>
      <c r="FK197" s="60">
        <f t="shared" ref="FK197:FK203" si="211">$FK$3</f>
        <v>272.91122662088918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3.4106051316484809E-13</v>
      </c>
      <c r="GA197" s="18">
        <f>FZ197*VLOOKUP('Données projet'!$B$17,Paramètres!$A$1:$I$89,3,0)*VLOOKUP('Données projet'!$B$17,Paramètres!$A$1:$I$89,5,0)</f>
        <v>1.5961632016114892E-13</v>
      </c>
      <c r="GB197" s="14">
        <f t="shared" si="185"/>
        <v>2.2708641912150958E-12</v>
      </c>
      <c r="GC197" s="22">
        <f t="shared" si="186"/>
        <v>4.2330868906469593E-12</v>
      </c>
      <c r="GD197" s="60">
        <f t="shared" si="200"/>
        <v>293.33333333333752</v>
      </c>
      <c r="GE197" s="60">
        <f ca="1">AVERAGE(OFFSET($GD$3,0,0,'Données projet'!$E$17+1,1))-AVERAGE(OFFSET($H$3,0,0,'Données projet'!$E$17+1,1))</f>
        <v>317.54276561627643</v>
      </c>
      <c r="GF197" s="60">
        <f t="shared" ref="GF197:GF203" si="212">$GF$3</f>
        <v>238.92443174298893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>
        <f>GU197*VLOOKUP('Données projet'!$B$18,Paramètres!$A$1:$I$89,3,0)*VLOOKUP('Données projet'!$B$18,Paramètres!$A$1:$I$89,5,0)</f>
        <v>0</v>
      </c>
      <c r="GW197" s="14" t="e">
        <f t="shared" si="188"/>
        <v>#NUM!</v>
      </c>
      <c r="GX197" s="22" t="e">
        <f t="shared" si="189"/>
        <v>#NUM!</v>
      </c>
      <c r="GY197" s="60" t="e">
        <f t="shared" si="201"/>
        <v>#NUM!</v>
      </c>
      <c r="GZ197" s="60">
        <f ca="1">AVERAGE(OFFSET($GY$3,0,0,'Données projet'!$E$18+1,1))-AVERAGE(OFFSET($H$3,0,0,'Données projet'!$E$18+1,1))</f>
        <v>79.868679770907136</v>
      </c>
      <c r="HA197" s="60">
        <f t="shared" ref="HA197:HA203" si="213">$HA$3</f>
        <v>370.47471103028312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2.4142181448757292</v>
      </c>
      <c r="HH197" s="23">
        <f>EXP(-LN(2)/25)*HH196+(1-EXP(-LN(2)/25))/(LN(2)/25)*Calculateur!HC197*Calculateur!HE197*VLOOKUP('Données projet'!$B$18,Paramètres!$A$1:$I$89,3,0)*0.475*44/12</f>
        <v>0.16010714058230002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2.5743252854580292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0">
        <f t="shared" si="191"/>
        <v>293.33333333333439</v>
      </c>
      <c r="S198" s="60">
        <f ca="1">AVERAGE(OFFSET($R$3,0,0,'Données projet'!$E$9+1,1))-AVERAGE(OFFSET($H$3,0,0,'Données projet'!$E$9+1,1))</f>
        <v>206.5885410269899</v>
      </c>
      <c r="T198" s="60">
        <f t="shared" si="204"/>
        <v>347.41156847586302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3.3992364478763198E-14</v>
      </c>
      <c r="AK198" s="14">
        <f t="shared" si="164"/>
        <v>5.790027782444094E-13</v>
      </c>
      <c r="AL198" s="22">
        <f t="shared" si="165"/>
        <v>1.0676332069095257E-12</v>
      </c>
      <c r="AM198" s="60">
        <f t="shared" si="193"/>
        <v>293.33333333333439</v>
      </c>
      <c r="AN198" s="60">
        <f ca="1">AVERAGE(OFFSET($AM$3,0,0,'Données projet'!$E$10+1,1))-AVERAGE(OFFSET($H$3,0,0,'Données projet'!$E$10+1,1))</f>
        <v>206.5885410269899</v>
      </c>
      <c r="AO198" s="60">
        <f t="shared" si="205"/>
        <v>347.41156847586302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4.1671179649982779</v>
      </c>
      <c r="AV198" s="23">
        <f>EXP(-LN(2)/25)*AV197+(1-EXP(-LN(2)/25))/(LN(2)/25)*Calculateur!AQ198*Calculateur!AS198*VLOOKUP('Données projet'!$B$10,Paramètres!$A$1:$I$89,3,0)*0.475*44/12</f>
        <v>3.4462635052092669E-2</v>
      </c>
      <c r="AW198" s="23">
        <f>EXP(-LN(2)/2)*AW197+(1-EXP(-LN(2)/2))/(LN(2)/2)*AQ198*AT198*VLOOKUP('Données projet'!$B$10,Paramètres!$A$1:$I$89,3,0)*0.475*44/12</f>
        <v>1.6107094545897832E-22</v>
      </c>
      <c r="AX198" s="23">
        <f t="shared" si="166"/>
        <v>4.2015806000503702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1.0818439477588981E-13</v>
      </c>
      <c r="BF198" s="14">
        <f t="shared" si="167"/>
        <v>1.6104228458716316E-12</v>
      </c>
      <c r="BG198" s="22">
        <f t="shared" si="168"/>
        <v>2.9932409441277661E-12</v>
      </c>
      <c r="BH198" s="60">
        <f t="shared" si="194"/>
        <v>293.33333333333633</v>
      </c>
      <c r="BI198" s="60">
        <f ca="1">AVERAGE(OFFSET($BH$3,0,0,'Données projet'!$E$11+1,1))-AVERAGE(OFFSET($H$3,0,0,'Données projet'!$E$11+1,1))</f>
        <v>389.12604446638119</v>
      </c>
      <c r="BJ198" s="60">
        <f t="shared" si="206"/>
        <v>243.23852967152732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1.0286385077051818E-13</v>
      </c>
      <c r="CA198" s="14">
        <f t="shared" si="170"/>
        <v>1.5402366592183556E-12</v>
      </c>
      <c r="CB198" s="22">
        <f t="shared" si="171"/>
        <v>2.8617333882306215E-12</v>
      </c>
      <c r="CC198" s="60">
        <f t="shared" si="195"/>
        <v>293.33333333333616</v>
      </c>
      <c r="CD198" s="60">
        <f ca="1">AVERAGE(OFFSET($CC$3,0,0,'Données projet'!$E$12+1,1))-AVERAGE(OFFSET($H$3,0,0,'Données projet'!$E$12+1,1))</f>
        <v>371.95849973474657</v>
      </c>
      <c r="CE198" s="60">
        <f t="shared" si="207"/>
        <v>233.32640143610547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2.7980517877250863E-24</v>
      </c>
      <c r="CN198" s="24">
        <f t="shared" si="172"/>
        <v>2.7980517877250863E-24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1.0995790944434703E-13</v>
      </c>
      <c r="CV198" s="14">
        <f t="shared" si="173"/>
        <v>1.6337280948049956E-12</v>
      </c>
      <c r="CW198" s="22">
        <f t="shared" si="174"/>
        <v>3.036919790734272E-12</v>
      </c>
      <c r="CX198" s="60">
        <f t="shared" si="196"/>
        <v>293.33333333333633</v>
      </c>
      <c r="CY198" s="60">
        <f ca="1">AVERAGE(OFFSET($CX$3,0,0,'Données projet'!$E$13+1,1))-AVERAGE(OFFSET($H$3,0,0,'Données projet'!$E$13+1,1))</f>
        <v>394.8445842828649</v>
      </c>
      <c r="CZ198" s="60">
        <f t="shared" si="208"/>
        <v>246.54010105494143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2.9910208765337147E-24</v>
      </c>
      <c r="DI198" s="24">
        <f t="shared" si="175"/>
        <v>2.9910208765337147E-24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5.6843418860808015E-14</v>
      </c>
      <c r="DP198" s="18">
        <f>DO198*VLOOKUP('Données projet'!$B$14,Paramètres!$A$1:$I$89,3,0)*VLOOKUP('Données projet'!$B$14,Paramètres!$A$1:$I$89,5,0)</f>
        <v>4.9658410716801891E-14</v>
      </c>
      <c r="DQ198" s="14">
        <f t="shared" si="176"/>
        <v>8.0934058173791862E-13</v>
      </c>
      <c r="DR198" s="22">
        <f t="shared" si="177"/>
        <v>1.4960899118586383E-12</v>
      </c>
      <c r="DS198" s="60">
        <f t="shared" si="197"/>
        <v>293.33333333333479</v>
      </c>
      <c r="DT198" s="60">
        <f ca="1">AVERAGE(OFFSET($DS$3,0,0,'Données projet'!$E$14+1,1))-AVERAGE(OFFSET($H$3,0,0,'Données projet'!$E$14+1,1))</f>
        <v>266.98113257513319</v>
      </c>
      <c r="DU198" s="60">
        <f t="shared" si="209"/>
        <v>275.73257102713393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0.11477467049892226</v>
      </c>
      <c r="EC198" s="23">
        <f>EXP(-LN(2)/2)*EC197+(1-EXP(-LN(2)/2))/(LN(2)/2)*DW198*DZ198*VLOOKUP('Données projet'!$B$14,Paramètres!$A$1:$I$89,3,0)*0.475*44/12</f>
        <v>1.5304914855576435E-24</v>
      </c>
      <c r="ED198" s="24">
        <f t="shared" si="178"/>
        <v>0.11477467049892226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1.1368683772161603E-13</v>
      </c>
      <c r="EK198" s="18">
        <f>EJ198*VLOOKUP('Données projet'!$B$15,Paramètres!$A$1:$I$89,3,0)*VLOOKUP('Données projet'!$B$15,Paramètres!$A$1:$I$89,5,0)</f>
        <v>1.2946657079737634E-13</v>
      </c>
      <c r="EL198" s="14">
        <f t="shared" si="179"/>
        <v>1.8873591890224769E-12</v>
      </c>
      <c r="EM198" s="22">
        <f t="shared" si="180"/>
        <v>3.5126381983529106E-12</v>
      </c>
      <c r="EN198" s="60">
        <f t="shared" si="198"/>
        <v>293.33333333333684</v>
      </c>
      <c r="EO198" s="60">
        <f ca="1">AVERAGE(OFFSET($EN$3,0,0,'Données projet'!$E$15+1,1))-AVERAGE(OFFSET($H$3,0,0,'Données projet'!$E$15+1,1))</f>
        <v>457.62828850677369</v>
      </c>
      <c r="EP198" s="60">
        <f t="shared" si="210"/>
        <v>282.78263556175563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1.1368683772161603E-13</v>
      </c>
      <c r="FF198" s="18">
        <f>FE198*VLOOKUP('Données projet'!$B$16,Paramètres!$A$1:$I$89,3,0)*VLOOKUP('Données projet'!$B$16,Paramètres!$A$1:$I$89,5,0)</f>
        <v>1.2414602679200469E-13</v>
      </c>
      <c r="FG198" s="14">
        <f t="shared" si="182"/>
        <v>1.8186582995804361E-12</v>
      </c>
      <c r="FH198" s="22">
        <f t="shared" si="183"/>
        <v>3.3837175350986671E-12</v>
      </c>
      <c r="FI198" s="60">
        <f t="shared" si="199"/>
        <v>293.33333333333672</v>
      </c>
      <c r="FJ198" s="60">
        <f ca="1">AVERAGE(OFFSET($FI$3,0,0,'Données projet'!$E$16+1,1))-AVERAGE(OFFSET($H$3,0,0,'Données projet'!$E$16+1,1))</f>
        <v>440.52623925652182</v>
      </c>
      <c r="FK198" s="60">
        <f t="shared" si="211"/>
        <v>272.91122662088918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3.4106051316484809E-13</v>
      </c>
      <c r="GA198" s="18">
        <f>FZ198*VLOOKUP('Données projet'!$B$17,Paramètres!$A$1:$I$89,3,0)*VLOOKUP('Données projet'!$B$17,Paramètres!$A$1:$I$89,5,0)</f>
        <v>1.5961632016114892E-13</v>
      </c>
      <c r="GB198" s="14">
        <f t="shared" si="185"/>
        <v>2.2708641912150958E-12</v>
      </c>
      <c r="GC198" s="22">
        <f t="shared" si="186"/>
        <v>4.2330868906469593E-12</v>
      </c>
      <c r="GD198" s="60">
        <f t="shared" si="200"/>
        <v>293.33333333333752</v>
      </c>
      <c r="GE198" s="60">
        <f ca="1">AVERAGE(OFFSET($GD$3,0,0,'Données projet'!$E$17+1,1))-AVERAGE(OFFSET($H$3,0,0,'Données projet'!$E$17+1,1))</f>
        <v>317.54276561627643</v>
      </c>
      <c r="GF198" s="60">
        <f t="shared" si="212"/>
        <v>238.92443174298893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>
        <f>GU198*VLOOKUP('Données projet'!$B$18,Paramètres!$A$1:$I$89,3,0)*VLOOKUP('Données projet'!$B$18,Paramètres!$A$1:$I$89,5,0)</f>
        <v>0</v>
      </c>
      <c r="GW198" s="14" t="e">
        <f t="shared" si="188"/>
        <v>#NUM!</v>
      </c>
      <c r="GX198" s="22" t="e">
        <f t="shared" si="189"/>
        <v>#NUM!</v>
      </c>
      <c r="GY198" s="60" t="e">
        <f t="shared" si="201"/>
        <v>#NUM!</v>
      </c>
      <c r="GZ198" s="60">
        <f ca="1">AVERAGE(OFFSET($GY$3,0,0,'Données projet'!$E$18+1,1))-AVERAGE(OFFSET($H$3,0,0,'Données projet'!$E$18+1,1))</f>
        <v>79.868679770907136</v>
      </c>
      <c r="HA198" s="60">
        <f t="shared" si="213"/>
        <v>370.47471103028312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2.3668767995823843</v>
      </c>
      <c r="HH198" s="23">
        <f>EXP(-LN(2)/25)*HH197+(1-EXP(-LN(2)/25))/(LN(2)/25)*Calculateur!HC198*Calculateur!HE198*VLOOKUP('Données projet'!$B$18,Paramètres!$A$1:$I$89,3,0)*0.475*44/12</f>
        <v>0.15572900240340842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2.5226058019857929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0">
        <f t="shared" si="191"/>
        <v>293.33333333333439</v>
      </c>
      <c r="S199" s="60">
        <f ca="1">AVERAGE(OFFSET($R$3,0,0,'Données projet'!$E$9+1,1))-AVERAGE(OFFSET($H$3,0,0,'Données projet'!$E$9+1,1))</f>
        <v>206.5885410269899</v>
      </c>
      <c r="T199" s="60">
        <f t="shared" si="204"/>
        <v>347.41156847586302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3.3992364478763198E-14</v>
      </c>
      <c r="AK199" s="14">
        <f t="shared" si="164"/>
        <v>5.790027782444094E-13</v>
      </c>
      <c r="AL199" s="22">
        <f t="shared" si="165"/>
        <v>1.0676332069095257E-12</v>
      </c>
      <c r="AM199" s="60">
        <f t="shared" si="193"/>
        <v>293.33333333333439</v>
      </c>
      <c r="AN199" s="60">
        <f ca="1">AVERAGE(OFFSET($AM$3,0,0,'Données projet'!$E$10+1,1))-AVERAGE(OFFSET($H$3,0,0,'Données projet'!$E$10+1,1))</f>
        <v>206.5885410269899</v>
      </c>
      <c r="AO199" s="60">
        <f t="shared" si="205"/>
        <v>347.41156847586302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4.0854033233956493</v>
      </c>
      <c r="AV199" s="23">
        <f>EXP(-LN(2)/25)*AV198+(1-EXP(-LN(2)/25))/(LN(2)/25)*Calculateur!AQ199*Calculateur!AS199*VLOOKUP('Données projet'!$B$10,Paramètres!$A$1:$I$89,3,0)*0.475*44/12</f>
        <v>3.3520252484281983E-2</v>
      </c>
      <c r="AW199" s="23">
        <f>EXP(-LN(2)/2)*AW198+(1-EXP(-LN(2)/2))/(LN(2)/2)*AQ199*AT199*VLOOKUP('Données projet'!$B$10,Paramètres!$A$1:$I$89,3,0)*0.475*44/12</f>
        <v>1.1389435778617211E-22</v>
      </c>
      <c r="AX199" s="23">
        <f t="shared" si="166"/>
        <v>4.118923575879931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1.0818439477588981E-13</v>
      </c>
      <c r="BF199" s="14">
        <f t="shared" si="167"/>
        <v>1.6104228458716316E-12</v>
      </c>
      <c r="BG199" s="22">
        <f t="shared" si="168"/>
        <v>2.9932409441277661E-12</v>
      </c>
      <c r="BH199" s="60">
        <f t="shared" si="194"/>
        <v>293.33333333333633</v>
      </c>
      <c r="BI199" s="60">
        <f ca="1">AVERAGE(OFFSET($BH$3,0,0,'Données projet'!$E$11+1,1))-AVERAGE(OFFSET($H$3,0,0,'Données projet'!$E$11+1,1))</f>
        <v>389.12604446638119</v>
      </c>
      <c r="BJ199" s="60">
        <f t="shared" si="206"/>
        <v>243.23852967152732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1.0286385077051818E-13</v>
      </c>
      <c r="CA199" s="14">
        <f t="shared" si="170"/>
        <v>1.5402366592183556E-12</v>
      </c>
      <c r="CB199" s="22">
        <f t="shared" si="171"/>
        <v>2.8617333882306215E-12</v>
      </c>
      <c r="CC199" s="60">
        <f t="shared" si="195"/>
        <v>293.33333333333616</v>
      </c>
      <c r="CD199" s="60">
        <f ca="1">AVERAGE(OFFSET($CC$3,0,0,'Données projet'!$E$12+1,1))-AVERAGE(OFFSET($H$3,0,0,'Données projet'!$E$12+1,1))</f>
        <v>371.95849973474657</v>
      </c>
      <c r="CE199" s="60">
        <f t="shared" si="207"/>
        <v>233.32640143610547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1.9785213932115507E-24</v>
      </c>
      <c r="CN199" s="24">
        <f t="shared" si="172"/>
        <v>1.9785213932115507E-24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1.0995790944434703E-13</v>
      </c>
      <c r="CV199" s="14">
        <f t="shared" si="173"/>
        <v>1.6337280948049956E-12</v>
      </c>
      <c r="CW199" s="22">
        <f t="shared" si="174"/>
        <v>3.036919790734272E-12</v>
      </c>
      <c r="CX199" s="60">
        <f t="shared" si="196"/>
        <v>293.33333333333633</v>
      </c>
      <c r="CY199" s="60">
        <f ca="1">AVERAGE(OFFSET($CX$3,0,0,'Données projet'!$E$13+1,1))-AVERAGE(OFFSET($H$3,0,0,'Données projet'!$E$13+1,1))</f>
        <v>394.8445842828649</v>
      </c>
      <c r="CZ199" s="60">
        <f t="shared" si="208"/>
        <v>246.54010105494143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2.114971144467521E-24</v>
      </c>
      <c r="DI199" s="24">
        <f t="shared" si="175"/>
        <v>2.114971144467521E-24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5.6843418860808015E-14</v>
      </c>
      <c r="DP199" s="18">
        <f>DO199*VLOOKUP('Données projet'!$B$14,Paramètres!$A$1:$I$89,3,0)*VLOOKUP('Données projet'!$B$14,Paramètres!$A$1:$I$89,5,0)</f>
        <v>4.9658410716801891E-14</v>
      </c>
      <c r="DQ199" s="14">
        <f t="shared" si="176"/>
        <v>8.0934058173791862E-13</v>
      </c>
      <c r="DR199" s="22">
        <f t="shared" si="177"/>
        <v>1.4960899118586383E-12</v>
      </c>
      <c r="DS199" s="60">
        <f t="shared" si="197"/>
        <v>293.33333333333479</v>
      </c>
      <c r="DT199" s="60">
        <f ca="1">AVERAGE(OFFSET($DS$3,0,0,'Données projet'!$E$14+1,1))-AVERAGE(OFFSET($H$3,0,0,'Données projet'!$E$14+1,1))</f>
        <v>266.98113257513319</v>
      </c>
      <c r="DU199" s="60">
        <f t="shared" si="209"/>
        <v>275.73257102713393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0.11163615109839163</v>
      </c>
      <c r="EC199" s="23">
        <f>EXP(-LN(2)/2)*EC198+(1-EXP(-LN(2)/2))/(LN(2)/2)*DW199*DZ199*VLOOKUP('Données projet'!$B$14,Paramètres!$A$1:$I$89,3,0)*0.475*44/12</f>
        <v>1.0822209079860827E-24</v>
      </c>
      <c r="ED199" s="24">
        <f t="shared" si="178"/>
        <v>0.11163615109839163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1.1368683772161603E-13</v>
      </c>
      <c r="EK199" s="18">
        <f>EJ199*VLOOKUP('Données projet'!$B$15,Paramètres!$A$1:$I$89,3,0)*VLOOKUP('Données projet'!$B$15,Paramètres!$A$1:$I$89,5,0)</f>
        <v>1.2946657079737634E-13</v>
      </c>
      <c r="EL199" s="14">
        <f t="shared" si="179"/>
        <v>1.8873591890224769E-12</v>
      </c>
      <c r="EM199" s="22">
        <f t="shared" si="180"/>
        <v>3.5126381983529106E-12</v>
      </c>
      <c r="EN199" s="60">
        <f t="shared" si="198"/>
        <v>293.33333333333684</v>
      </c>
      <c r="EO199" s="60">
        <f ca="1">AVERAGE(OFFSET($EN$3,0,0,'Données projet'!$E$15+1,1))-AVERAGE(OFFSET($H$3,0,0,'Données projet'!$E$15+1,1))</f>
        <v>457.62828850677369</v>
      </c>
      <c r="EP199" s="60">
        <f t="shared" si="210"/>
        <v>282.78263556175563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1.1368683772161603E-13</v>
      </c>
      <c r="FF199" s="18">
        <f>FE199*VLOOKUP('Données projet'!$B$16,Paramètres!$A$1:$I$89,3,0)*VLOOKUP('Données projet'!$B$16,Paramètres!$A$1:$I$89,5,0)</f>
        <v>1.2414602679200469E-13</v>
      </c>
      <c r="FG199" s="14">
        <f t="shared" si="182"/>
        <v>1.8186582995804361E-12</v>
      </c>
      <c r="FH199" s="22">
        <f t="shared" si="183"/>
        <v>3.3837175350986671E-12</v>
      </c>
      <c r="FI199" s="60">
        <f t="shared" si="199"/>
        <v>293.33333333333672</v>
      </c>
      <c r="FJ199" s="60">
        <f ca="1">AVERAGE(OFFSET($FI$3,0,0,'Données projet'!$E$16+1,1))-AVERAGE(OFFSET($H$3,0,0,'Données projet'!$E$16+1,1))</f>
        <v>440.52623925652182</v>
      </c>
      <c r="FK199" s="60">
        <f t="shared" si="211"/>
        <v>272.91122662088918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3.4106051316484809E-13</v>
      </c>
      <c r="GA199" s="18">
        <f>FZ199*VLOOKUP('Données projet'!$B$17,Paramètres!$A$1:$I$89,3,0)*VLOOKUP('Données projet'!$B$17,Paramètres!$A$1:$I$89,5,0)</f>
        <v>1.5961632016114892E-13</v>
      </c>
      <c r="GB199" s="14">
        <f t="shared" si="185"/>
        <v>2.2708641912150958E-12</v>
      </c>
      <c r="GC199" s="22">
        <f t="shared" si="186"/>
        <v>4.2330868906469593E-12</v>
      </c>
      <c r="GD199" s="60">
        <f t="shared" si="200"/>
        <v>293.33333333333752</v>
      </c>
      <c r="GE199" s="60">
        <f ca="1">AVERAGE(OFFSET($GD$3,0,0,'Données projet'!$E$17+1,1))-AVERAGE(OFFSET($H$3,0,0,'Données projet'!$E$17+1,1))</f>
        <v>317.54276561627643</v>
      </c>
      <c r="GF199" s="60">
        <f t="shared" si="212"/>
        <v>238.92443174298893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>
        <f>GU199*VLOOKUP('Données projet'!$B$18,Paramètres!$A$1:$I$89,3,0)*VLOOKUP('Données projet'!$B$18,Paramètres!$A$1:$I$89,5,0)</f>
        <v>0</v>
      </c>
      <c r="GW199" s="14" t="e">
        <f t="shared" si="188"/>
        <v>#NUM!</v>
      </c>
      <c r="GX199" s="22" t="e">
        <f t="shared" si="189"/>
        <v>#NUM!</v>
      </c>
      <c r="GY199" s="60" t="e">
        <f t="shared" si="201"/>
        <v>#NUM!</v>
      </c>
      <c r="GZ199" s="60">
        <f ca="1">AVERAGE(OFFSET($GY$3,0,0,'Données projet'!$E$18+1,1))-AVERAGE(OFFSET($H$3,0,0,'Données projet'!$E$18+1,1))</f>
        <v>79.868679770907136</v>
      </c>
      <c r="HA199" s="60">
        <f t="shared" si="213"/>
        <v>370.47471103028312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2.3204637891948727</v>
      </c>
      <c r="HH199" s="23">
        <f>EXP(-LN(2)/25)*HH198+(1-EXP(-LN(2)/25))/(LN(2)/25)*Calculateur!HC199*Calculateur!HE199*VLOOKUP('Données projet'!$B$18,Paramètres!$A$1:$I$89,3,0)*0.475*44/12</f>
        <v>0.15147058464325491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2.4719343738381276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0">
        <f t="shared" si="191"/>
        <v>293.33333333333439</v>
      </c>
      <c r="S200" s="60">
        <f ca="1">AVERAGE(OFFSET($R$3,0,0,'Données projet'!$E$9+1,1))-AVERAGE(OFFSET($H$3,0,0,'Données projet'!$E$9+1,1))</f>
        <v>206.5885410269899</v>
      </c>
      <c r="T200" s="60">
        <f t="shared" si="204"/>
        <v>347.41156847586302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3.3992364478763198E-14</v>
      </c>
      <c r="AK200" s="14">
        <f t="shared" si="164"/>
        <v>5.790027782444094E-13</v>
      </c>
      <c r="AL200" s="22">
        <f t="shared" si="165"/>
        <v>1.0676332069095257E-12</v>
      </c>
      <c r="AM200" s="60">
        <f t="shared" si="193"/>
        <v>293.33333333333439</v>
      </c>
      <c r="AN200" s="60">
        <f ca="1">AVERAGE(OFFSET($AM$3,0,0,'Données projet'!$E$10+1,1))-AVERAGE(OFFSET($H$3,0,0,'Données projet'!$E$10+1,1))</f>
        <v>206.5885410269899</v>
      </c>
      <c r="AO200" s="60">
        <f t="shared" si="205"/>
        <v>347.41156847586302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4.0052910560738377</v>
      </c>
      <c r="AV200" s="23">
        <f>EXP(-LN(2)/25)*AV199+(1-EXP(-LN(2)/25))/(LN(2)/25)*Calculateur!AQ200*Calculateur!AS200*VLOOKUP('Données projet'!$B$10,Paramètres!$A$1:$I$89,3,0)*0.475*44/12</f>
        <v>3.2603639417345828E-2</v>
      </c>
      <c r="AW200" s="23">
        <f>EXP(-LN(2)/2)*AW199+(1-EXP(-LN(2)/2))/(LN(2)/2)*AQ200*AT200*VLOOKUP('Données projet'!$B$10,Paramètres!$A$1:$I$89,3,0)*0.475*44/12</f>
        <v>8.053547272948916E-23</v>
      </c>
      <c r="AX200" s="23">
        <f t="shared" si="166"/>
        <v>4.0378946954911834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1.0818439477588981E-13</v>
      </c>
      <c r="BF200" s="14">
        <f t="shared" si="167"/>
        <v>1.6104228458716316E-12</v>
      </c>
      <c r="BG200" s="22">
        <f t="shared" si="168"/>
        <v>2.9932409441277661E-12</v>
      </c>
      <c r="BH200" s="60">
        <f t="shared" si="194"/>
        <v>293.33333333333633</v>
      </c>
      <c r="BI200" s="60">
        <f ca="1">AVERAGE(OFFSET($BH$3,0,0,'Données projet'!$E$11+1,1))-AVERAGE(OFFSET($H$3,0,0,'Données projet'!$E$11+1,1))</f>
        <v>389.12604446638119</v>
      </c>
      <c r="BJ200" s="60">
        <f t="shared" si="206"/>
        <v>243.23852967152732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1.0286385077051818E-13</v>
      </c>
      <c r="CA200" s="14">
        <f t="shared" si="170"/>
        <v>1.5402366592183556E-12</v>
      </c>
      <c r="CB200" s="22">
        <f t="shared" si="171"/>
        <v>2.8617333882306215E-12</v>
      </c>
      <c r="CC200" s="60">
        <f t="shared" si="195"/>
        <v>293.33333333333616</v>
      </c>
      <c r="CD200" s="60">
        <f ca="1">AVERAGE(OFFSET($CC$3,0,0,'Données projet'!$E$12+1,1))-AVERAGE(OFFSET($H$3,0,0,'Données projet'!$E$12+1,1))</f>
        <v>371.95849973474657</v>
      </c>
      <c r="CE200" s="60">
        <f t="shared" si="207"/>
        <v>233.32640143610547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1.3990258938625431E-24</v>
      </c>
      <c r="CN200" s="24">
        <f t="shared" si="172"/>
        <v>1.3990258938625431E-24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1.0995790944434703E-13</v>
      </c>
      <c r="CV200" s="14">
        <f t="shared" si="173"/>
        <v>1.6337280948049956E-12</v>
      </c>
      <c r="CW200" s="22">
        <f t="shared" si="174"/>
        <v>3.036919790734272E-12</v>
      </c>
      <c r="CX200" s="60">
        <f t="shared" si="196"/>
        <v>293.33333333333633</v>
      </c>
      <c r="CY200" s="60">
        <f ca="1">AVERAGE(OFFSET($CX$3,0,0,'Données projet'!$E$13+1,1))-AVERAGE(OFFSET($H$3,0,0,'Données projet'!$E$13+1,1))</f>
        <v>394.8445842828649</v>
      </c>
      <c r="CZ200" s="60">
        <f t="shared" si="208"/>
        <v>246.54010105494143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1.4955104382668574E-24</v>
      </c>
      <c r="DI200" s="24">
        <f t="shared" si="175"/>
        <v>1.4955104382668574E-24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5.6843418860808015E-14</v>
      </c>
      <c r="DP200" s="18">
        <f>DO200*VLOOKUP('Données projet'!$B$14,Paramètres!$A$1:$I$89,3,0)*VLOOKUP('Données projet'!$B$14,Paramètres!$A$1:$I$89,5,0)</f>
        <v>4.9658410716801891E-14</v>
      </c>
      <c r="DQ200" s="14">
        <f t="shared" si="176"/>
        <v>8.0934058173791862E-13</v>
      </c>
      <c r="DR200" s="22">
        <f t="shared" si="177"/>
        <v>1.4960899118586383E-12</v>
      </c>
      <c r="DS200" s="60">
        <f t="shared" si="197"/>
        <v>293.33333333333479</v>
      </c>
      <c r="DT200" s="60">
        <f ca="1">AVERAGE(OFFSET($DS$3,0,0,'Données projet'!$E$14+1,1))-AVERAGE(OFFSET($H$3,0,0,'Données projet'!$E$14+1,1))</f>
        <v>266.98113257513319</v>
      </c>
      <c r="DU200" s="60">
        <f t="shared" si="209"/>
        <v>275.73257102713393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0.10858345467591607</v>
      </c>
      <c r="EC200" s="23">
        <f>EXP(-LN(2)/2)*EC199+(1-EXP(-LN(2)/2))/(LN(2)/2)*DW200*DZ200*VLOOKUP('Données projet'!$B$14,Paramètres!$A$1:$I$89,3,0)*0.475*44/12</f>
        <v>7.6524574277882177E-25</v>
      </c>
      <c r="ED200" s="24">
        <f t="shared" si="178"/>
        <v>0.10858345467591607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1.1368683772161603E-13</v>
      </c>
      <c r="EK200" s="18">
        <f>EJ200*VLOOKUP('Données projet'!$B$15,Paramètres!$A$1:$I$89,3,0)*VLOOKUP('Données projet'!$B$15,Paramètres!$A$1:$I$89,5,0)</f>
        <v>1.2946657079737634E-13</v>
      </c>
      <c r="EL200" s="14">
        <f t="shared" si="179"/>
        <v>1.8873591890224769E-12</v>
      </c>
      <c r="EM200" s="22">
        <f t="shared" si="180"/>
        <v>3.5126381983529106E-12</v>
      </c>
      <c r="EN200" s="60">
        <f t="shared" si="198"/>
        <v>293.33333333333684</v>
      </c>
      <c r="EO200" s="60">
        <f ca="1">AVERAGE(OFFSET($EN$3,0,0,'Données projet'!$E$15+1,1))-AVERAGE(OFFSET($H$3,0,0,'Données projet'!$E$15+1,1))</f>
        <v>457.62828850677369</v>
      </c>
      <c r="EP200" s="60">
        <f t="shared" si="210"/>
        <v>282.78263556175563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1.1368683772161603E-13</v>
      </c>
      <c r="FF200" s="18">
        <f>FE200*VLOOKUP('Données projet'!$B$16,Paramètres!$A$1:$I$89,3,0)*VLOOKUP('Données projet'!$B$16,Paramètres!$A$1:$I$89,5,0)</f>
        <v>1.2414602679200469E-13</v>
      </c>
      <c r="FG200" s="14">
        <f t="shared" si="182"/>
        <v>1.8186582995804361E-12</v>
      </c>
      <c r="FH200" s="22">
        <f t="shared" si="183"/>
        <v>3.3837175350986671E-12</v>
      </c>
      <c r="FI200" s="60">
        <f t="shared" si="199"/>
        <v>293.33333333333672</v>
      </c>
      <c r="FJ200" s="60">
        <f ca="1">AVERAGE(OFFSET($FI$3,0,0,'Données projet'!$E$16+1,1))-AVERAGE(OFFSET($H$3,0,0,'Données projet'!$E$16+1,1))</f>
        <v>440.52623925652182</v>
      </c>
      <c r="FK200" s="60">
        <f t="shared" si="211"/>
        <v>272.91122662088918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3.4106051316484809E-13</v>
      </c>
      <c r="GA200" s="18">
        <f>FZ200*VLOOKUP('Données projet'!$B$17,Paramètres!$A$1:$I$89,3,0)*VLOOKUP('Données projet'!$B$17,Paramètres!$A$1:$I$89,5,0)</f>
        <v>1.5961632016114892E-13</v>
      </c>
      <c r="GB200" s="14">
        <f t="shared" si="185"/>
        <v>2.2708641912150958E-12</v>
      </c>
      <c r="GC200" s="22">
        <f t="shared" si="186"/>
        <v>4.2330868906469593E-12</v>
      </c>
      <c r="GD200" s="60">
        <f t="shared" si="200"/>
        <v>293.33333333333752</v>
      </c>
      <c r="GE200" s="60">
        <f ca="1">AVERAGE(OFFSET($GD$3,0,0,'Données projet'!$E$17+1,1))-AVERAGE(OFFSET($H$3,0,0,'Données projet'!$E$17+1,1))</f>
        <v>317.54276561627643</v>
      </c>
      <c r="GF200" s="60">
        <f t="shared" si="212"/>
        <v>238.92443174298893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>
        <f>GU200*VLOOKUP('Données projet'!$B$18,Paramètres!$A$1:$I$89,3,0)*VLOOKUP('Données projet'!$B$18,Paramètres!$A$1:$I$89,5,0)</f>
        <v>0</v>
      </c>
      <c r="GW200" s="14" t="e">
        <f t="shared" si="188"/>
        <v>#NUM!</v>
      </c>
      <c r="GX200" s="22" t="e">
        <f t="shared" si="189"/>
        <v>#NUM!</v>
      </c>
      <c r="GY200" s="60" t="e">
        <f t="shared" si="201"/>
        <v>#NUM!</v>
      </c>
      <c r="GZ200" s="60">
        <f ca="1">AVERAGE(OFFSET($GY$3,0,0,'Données projet'!$E$18+1,1))-AVERAGE(OFFSET($H$3,0,0,'Données projet'!$E$18+1,1))</f>
        <v>79.868679770907136</v>
      </c>
      <c r="HA200" s="60">
        <f t="shared" si="213"/>
        <v>370.47471103028312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2.2749609096319192</v>
      </c>
      <c r="HH200" s="23">
        <f>EXP(-LN(2)/25)*HH199+(1-EXP(-LN(2)/25))/(LN(2)/25)*Calculateur!HC200*Calculateur!HE200*VLOOKUP('Données projet'!$B$18,Paramètres!$A$1:$I$89,3,0)*0.475*44/12</f>
        <v>0.14732861354069327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2.4222895231726125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0">
        <f t="shared" si="191"/>
        <v>293.33333333333439</v>
      </c>
      <c r="S201" s="60">
        <f ca="1">AVERAGE(OFFSET($R$3,0,0,'Données projet'!$E$9+1,1))-AVERAGE(OFFSET($H$3,0,0,'Données projet'!$E$9+1,1))</f>
        <v>206.5885410269899</v>
      </c>
      <c r="T201" s="60">
        <f t="shared" si="204"/>
        <v>347.41156847586302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3.3992364478763198E-14</v>
      </c>
      <c r="AK201" s="14">
        <f t="shared" si="164"/>
        <v>5.790027782444094E-13</v>
      </c>
      <c r="AL201" s="22">
        <f t="shared" si="165"/>
        <v>1.0676332069095257E-12</v>
      </c>
      <c r="AM201" s="60">
        <f t="shared" si="193"/>
        <v>293.33333333333439</v>
      </c>
      <c r="AN201" s="60">
        <f ca="1">AVERAGE(OFFSET($AM$3,0,0,'Données projet'!$E$10+1,1))-AVERAGE(OFFSET($H$3,0,0,'Données projet'!$E$10+1,1))</f>
        <v>206.5885410269899</v>
      </c>
      <c r="AO201" s="60">
        <f t="shared" si="205"/>
        <v>347.41156847586302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3.926749741450549</v>
      </c>
      <c r="AV201" s="23">
        <f>EXP(-LN(2)/25)*AV200+(1-EXP(-LN(2)/25))/(LN(2)/25)*Calculateur!AQ201*Calculateur!AS201*VLOOKUP('Données projet'!$B$10,Paramètres!$A$1:$I$89,3,0)*0.475*44/12</f>
        <v>3.1712091182927629E-2</v>
      </c>
      <c r="AW201" s="23">
        <f>EXP(-LN(2)/2)*AW200+(1-EXP(-LN(2)/2))/(LN(2)/2)*AQ201*AT201*VLOOKUP('Données projet'!$B$10,Paramètres!$A$1:$I$89,3,0)*0.475*44/12</f>
        <v>5.6947178893086057E-23</v>
      </c>
      <c r="AX201" s="23">
        <f t="shared" si="166"/>
        <v>3.9584618326334766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1.0818439477588981E-13</v>
      </c>
      <c r="BF201" s="14">
        <f t="shared" si="167"/>
        <v>1.6104228458716316E-12</v>
      </c>
      <c r="BG201" s="22">
        <f t="shared" si="168"/>
        <v>2.9932409441277661E-12</v>
      </c>
      <c r="BH201" s="60">
        <f t="shared" si="194"/>
        <v>293.33333333333633</v>
      </c>
      <c r="BI201" s="60">
        <f ca="1">AVERAGE(OFFSET($BH$3,0,0,'Données projet'!$E$11+1,1))-AVERAGE(OFFSET($H$3,0,0,'Données projet'!$E$11+1,1))</f>
        <v>389.12604446638119</v>
      </c>
      <c r="BJ201" s="60">
        <f t="shared" si="206"/>
        <v>243.23852967152732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1.0286385077051818E-13</v>
      </c>
      <c r="CA201" s="14">
        <f t="shared" si="170"/>
        <v>1.5402366592183556E-12</v>
      </c>
      <c r="CB201" s="22">
        <f t="shared" si="171"/>
        <v>2.8617333882306215E-12</v>
      </c>
      <c r="CC201" s="60">
        <f t="shared" si="195"/>
        <v>293.33333333333616</v>
      </c>
      <c r="CD201" s="60">
        <f ca="1">AVERAGE(OFFSET($CC$3,0,0,'Données projet'!$E$12+1,1))-AVERAGE(OFFSET($H$3,0,0,'Données projet'!$E$12+1,1))</f>
        <v>371.95849973474657</v>
      </c>
      <c r="CE201" s="60">
        <f t="shared" si="207"/>
        <v>233.32640143610547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9.8926069660577533E-25</v>
      </c>
      <c r="CN201" s="24">
        <f t="shared" si="172"/>
        <v>9.8926069660577533E-25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1.0995790944434703E-13</v>
      </c>
      <c r="CV201" s="14">
        <f t="shared" si="173"/>
        <v>1.6337280948049956E-12</v>
      </c>
      <c r="CW201" s="22">
        <f t="shared" si="174"/>
        <v>3.036919790734272E-12</v>
      </c>
      <c r="CX201" s="60">
        <f t="shared" si="196"/>
        <v>293.33333333333633</v>
      </c>
      <c r="CY201" s="60">
        <f ca="1">AVERAGE(OFFSET($CX$3,0,0,'Données projet'!$E$13+1,1))-AVERAGE(OFFSET($H$3,0,0,'Données projet'!$E$13+1,1))</f>
        <v>394.8445842828649</v>
      </c>
      <c r="CZ201" s="60">
        <f t="shared" si="208"/>
        <v>246.54010105494143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1.0574855722337605E-24</v>
      </c>
      <c r="DI201" s="24">
        <f t="shared" si="175"/>
        <v>1.0574855722337605E-24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5.6843418860808015E-14</v>
      </c>
      <c r="DP201" s="18">
        <f>DO201*VLOOKUP('Données projet'!$B$14,Paramètres!$A$1:$I$89,3,0)*VLOOKUP('Données projet'!$B$14,Paramètres!$A$1:$I$89,5,0)</f>
        <v>4.9658410716801891E-14</v>
      </c>
      <c r="DQ201" s="14">
        <f t="shared" si="176"/>
        <v>8.0934058173791862E-13</v>
      </c>
      <c r="DR201" s="22">
        <f t="shared" si="177"/>
        <v>1.4960899118586383E-12</v>
      </c>
      <c r="DS201" s="60">
        <f t="shared" si="197"/>
        <v>293.33333333333479</v>
      </c>
      <c r="DT201" s="60">
        <f ca="1">AVERAGE(OFFSET($DS$3,0,0,'Données projet'!$E$14+1,1))-AVERAGE(OFFSET($H$3,0,0,'Données projet'!$E$14+1,1))</f>
        <v>266.98113257513319</v>
      </c>
      <c r="DU201" s="60">
        <f t="shared" si="209"/>
        <v>275.73257102713393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0.10561423439764743</v>
      </c>
      <c r="EC201" s="23">
        <f>EXP(-LN(2)/2)*EC200+(1-EXP(-LN(2)/2))/(LN(2)/2)*DW201*DZ201*VLOOKUP('Données projet'!$B$14,Paramètres!$A$1:$I$89,3,0)*0.475*44/12</f>
        <v>5.4111045399304135E-25</v>
      </c>
      <c r="ED201" s="24">
        <f t="shared" si="178"/>
        <v>0.10561423439764743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1.1368683772161603E-13</v>
      </c>
      <c r="EK201" s="18">
        <f>EJ201*VLOOKUP('Données projet'!$B$15,Paramètres!$A$1:$I$89,3,0)*VLOOKUP('Données projet'!$B$15,Paramètres!$A$1:$I$89,5,0)</f>
        <v>1.2946657079737634E-13</v>
      </c>
      <c r="EL201" s="14">
        <f t="shared" si="179"/>
        <v>1.8873591890224769E-12</v>
      </c>
      <c r="EM201" s="22">
        <f t="shared" si="180"/>
        <v>3.5126381983529106E-12</v>
      </c>
      <c r="EN201" s="60">
        <f t="shared" si="198"/>
        <v>293.33333333333684</v>
      </c>
      <c r="EO201" s="60">
        <f ca="1">AVERAGE(OFFSET($EN$3,0,0,'Données projet'!$E$15+1,1))-AVERAGE(OFFSET($H$3,0,0,'Données projet'!$E$15+1,1))</f>
        <v>457.62828850677369</v>
      </c>
      <c r="EP201" s="60">
        <f t="shared" si="210"/>
        <v>282.78263556175563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1.1368683772161603E-13</v>
      </c>
      <c r="FF201" s="18">
        <f>FE201*VLOOKUP('Données projet'!$B$16,Paramètres!$A$1:$I$89,3,0)*VLOOKUP('Données projet'!$B$16,Paramètres!$A$1:$I$89,5,0)</f>
        <v>1.2414602679200469E-13</v>
      </c>
      <c r="FG201" s="14">
        <f t="shared" si="182"/>
        <v>1.8186582995804361E-12</v>
      </c>
      <c r="FH201" s="22">
        <f t="shared" si="183"/>
        <v>3.3837175350986671E-12</v>
      </c>
      <c r="FI201" s="60">
        <f t="shared" si="199"/>
        <v>293.33333333333672</v>
      </c>
      <c r="FJ201" s="60">
        <f ca="1">AVERAGE(OFFSET($FI$3,0,0,'Données projet'!$E$16+1,1))-AVERAGE(OFFSET($H$3,0,0,'Données projet'!$E$16+1,1))</f>
        <v>440.52623925652182</v>
      </c>
      <c r="FK201" s="60">
        <f t="shared" si="211"/>
        <v>272.91122662088918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3.4106051316484809E-13</v>
      </c>
      <c r="GA201" s="18">
        <f>FZ201*VLOOKUP('Données projet'!$B$17,Paramètres!$A$1:$I$89,3,0)*VLOOKUP('Données projet'!$B$17,Paramètres!$A$1:$I$89,5,0)</f>
        <v>1.5961632016114892E-13</v>
      </c>
      <c r="GB201" s="14">
        <f t="shared" si="185"/>
        <v>2.2708641912150958E-12</v>
      </c>
      <c r="GC201" s="22">
        <f t="shared" si="186"/>
        <v>4.2330868906469593E-12</v>
      </c>
      <c r="GD201" s="60">
        <f t="shared" si="200"/>
        <v>293.33333333333752</v>
      </c>
      <c r="GE201" s="60">
        <f ca="1">AVERAGE(OFFSET($GD$3,0,0,'Données projet'!$E$17+1,1))-AVERAGE(OFFSET($H$3,0,0,'Données projet'!$E$17+1,1))</f>
        <v>317.54276561627643</v>
      </c>
      <c r="GF201" s="60">
        <f t="shared" si="212"/>
        <v>238.92443174298893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>
        <f>GU201*VLOOKUP('Données projet'!$B$18,Paramètres!$A$1:$I$89,3,0)*VLOOKUP('Données projet'!$B$18,Paramètres!$A$1:$I$89,5,0)</f>
        <v>0</v>
      </c>
      <c r="GW201" s="14" t="e">
        <f t="shared" si="188"/>
        <v>#NUM!</v>
      </c>
      <c r="GX201" s="22" t="e">
        <f t="shared" si="189"/>
        <v>#NUM!</v>
      </c>
      <c r="GY201" s="60" t="e">
        <f t="shared" si="201"/>
        <v>#NUM!</v>
      </c>
      <c r="GZ201" s="60">
        <f ca="1">AVERAGE(OFFSET($GY$3,0,0,'Données projet'!$E$18+1,1))-AVERAGE(OFFSET($H$3,0,0,'Données projet'!$E$18+1,1))</f>
        <v>79.868679770907136</v>
      </c>
      <c r="HA201" s="60">
        <f t="shared" si="213"/>
        <v>370.47471103028312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2.2303503137831791</v>
      </c>
      <c r="HH201" s="23">
        <f>EXP(-LN(2)/25)*HH200+(1-EXP(-LN(2)/25))/(LN(2)/25)*Calculateur!HC201*Calculateur!HE201*VLOOKUP('Données projet'!$B$18,Paramètres!$A$1:$I$89,3,0)*0.475*44/12</f>
        <v>0.14329990485574795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2.373650218638927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0">
        <f t="shared" si="191"/>
        <v>293.33333333333439</v>
      </c>
      <c r="S202" s="60">
        <f ca="1">AVERAGE(OFFSET($R$3,0,0,'Données projet'!$E$9+1,1))-AVERAGE(OFFSET($H$3,0,0,'Données projet'!$E$9+1,1))</f>
        <v>206.5885410269899</v>
      </c>
      <c r="T202" s="60">
        <f t="shared" si="204"/>
        <v>347.41156847586302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3.3992364478763198E-14</v>
      </c>
      <c r="AK202" s="14">
        <f t="shared" si="164"/>
        <v>5.790027782444094E-13</v>
      </c>
      <c r="AL202" s="22">
        <f t="shared" si="165"/>
        <v>1.0676332069095257E-12</v>
      </c>
      <c r="AM202" s="60">
        <f t="shared" si="193"/>
        <v>293.33333333333439</v>
      </c>
      <c r="AN202" s="60">
        <f ca="1">AVERAGE(OFFSET($AM$3,0,0,'Données projet'!$E$10+1,1))-AVERAGE(OFFSET($H$3,0,0,'Données projet'!$E$10+1,1))</f>
        <v>206.5885410269899</v>
      </c>
      <c r="AO202" s="60">
        <f t="shared" si="205"/>
        <v>347.41156847586302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3.8497485741015516</v>
      </c>
      <c r="AV202" s="23">
        <f>EXP(-LN(2)/25)*AV201+(1-EXP(-LN(2)/25))/(LN(2)/25)*Calculateur!AQ202*Calculateur!AS202*VLOOKUP('Données projet'!$B$10,Paramètres!$A$1:$I$89,3,0)*0.475*44/12</f>
        <v>3.0844922381864075E-2</v>
      </c>
      <c r="AW202" s="23">
        <f>EXP(-LN(2)/2)*AW201+(1-EXP(-LN(2)/2))/(LN(2)/2)*AQ202*AT202*VLOOKUP('Données projet'!$B$10,Paramètres!$A$1:$I$89,3,0)*0.475*44/12</f>
        <v>4.026773636474458E-23</v>
      </c>
      <c r="AX202" s="23">
        <f t="shared" si="166"/>
        <v>3.8805934964834154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1.0818439477588981E-13</v>
      </c>
      <c r="BF202" s="14">
        <f t="shared" si="167"/>
        <v>1.6104228458716316E-12</v>
      </c>
      <c r="BG202" s="22">
        <f t="shared" si="168"/>
        <v>2.9932409441277661E-12</v>
      </c>
      <c r="BH202" s="60">
        <f t="shared" si="194"/>
        <v>293.33333333333633</v>
      </c>
      <c r="BI202" s="60">
        <f ca="1">AVERAGE(OFFSET($BH$3,0,0,'Données projet'!$E$11+1,1))-AVERAGE(OFFSET($H$3,0,0,'Données projet'!$E$11+1,1))</f>
        <v>389.12604446638119</v>
      </c>
      <c r="BJ202" s="60">
        <f t="shared" si="206"/>
        <v>243.23852967152732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1.0286385077051818E-13</v>
      </c>
      <c r="CA202" s="14">
        <f t="shared" si="170"/>
        <v>1.5402366592183556E-12</v>
      </c>
      <c r="CB202" s="22">
        <f t="shared" si="171"/>
        <v>2.8617333882306215E-12</v>
      </c>
      <c r="CC202" s="60">
        <f t="shared" si="195"/>
        <v>293.33333333333616</v>
      </c>
      <c r="CD202" s="60">
        <f ca="1">AVERAGE(OFFSET($CC$3,0,0,'Données projet'!$E$12+1,1))-AVERAGE(OFFSET($H$3,0,0,'Données projet'!$E$12+1,1))</f>
        <v>371.95849973474657</v>
      </c>
      <c r="CE202" s="60">
        <f t="shared" si="207"/>
        <v>233.32640143610547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6.9951294693127157E-25</v>
      </c>
      <c r="CN202" s="24">
        <f t="shared" si="172"/>
        <v>6.9951294693127157E-25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1.0995790944434703E-13</v>
      </c>
      <c r="CV202" s="14">
        <f t="shared" si="173"/>
        <v>1.6337280948049956E-12</v>
      </c>
      <c r="CW202" s="22">
        <f t="shared" si="174"/>
        <v>3.036919790734272E-12</v>
      </c>
      <c r="CX202" s="60">
        <f t="shared" si="196"/>
        <v>293.33333333333633</v>
      </c>
      <c r="CY202" s="60">
        <f ca="1">AVERAGE(OFFSET($CX$3,0,0,'Données projet'!$E$13+1,1))-AVERAGE(OFFSET($H$3,0,0,'Données projet'!$E$13+1,1))</f>
        <v>394.8445842828649</v>
      </c>
      <c r="CZ202" s="60">
        <f t="shared" si="208"/>
        <v>246.54010105494143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7.4775521913342868E-25</v>
      </c>
      <c r="DI202" s="24">
        <f t="shared" si="175"/>
        <v>7.4775521913342868E-25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5.6843418860808015E-14</v>
      </c>
      <c r="DP202" s="18">
        <f>DO202*VLOOKUP('Données projet'!$B$14,Paramètres!$A$1:$I$89,3,0)*VLOOKUP('Données projet'!$B$14,Paramètres!$A$1:$I$89,5,0)</f>
        <v>4.9658410716801891E-14</v>
      </c>
      <c r="DQ202" s="14">
        <f t="shared" si="176"/>
        <v>8.0934058173791862E-13</v>
      </c>
      <c r="DR202" s="22">
        <f t="shared" si="177"/>
        <v>1.4960899118586383E-12</v>
      </c>
      <c r="DS202" s="60">
        <f t="shared" si="197"/>
        <v>293.33333333333479</v>
      </c>
      <c r="DT202" s="60">
        <f ca="1">AVERAGE(OFFSET($DS$3,0,0,'Données projet'!$E$14+1,1))-AVERAGE(OFFSET($H$3,0,0,'Données projet'!$E$14+1,1))</f>
        <v>266.98113257513319</v>
      </c>
      <c r="DU202" s="60">
        <f t="shared" si="209"/>
        <v>275.73257102713393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0.10272620760403256</v>
      </c>
      <c r="EC202" s="23">
        <f>EXP(-LN(2)/2)*EC201+(1-EXP(-LN(2)/2))/(LN(2)/2)*DW202*DZ202*VLOOKUP('Données projet'!$B$14,Paramètres!$A$1:$I$89,3,0)*0.475*44/12</f>
        <v>3.8262287138941088E-25</v>
      </c>
      <c r="ED202" s="24">
        <f t="shared" si="178"/>
        <v>0.10272620760403256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1.1368683772161603E-13</v>
      </c>
      <c r="EK202" s="18">
        <f>EJ202*VLOOKUP('Données projet'!$B$15,Paramètres!$A$1:$I$89,3,0)*VLOOKUP('Données projet'!$B$15,Paramètres!$A$1:$I$89,5,0)</f>
        <v>1.2946657079737634E-13</v>
      </c>
      <c r="EL202" s="14">
        <f t="shared" si="179"/>
        <v>1.8873591890224769E-12</v>
      </c>
      <c r="EM202" s="22">
        <f t="shared" si="180"/>
        <v>3.5126381983529106E-12</v>
      </c>
      <c r="EN202" s="60">
        <f t="shared" si="198"/>
        <v>293.33333333333684</v>
      </c>
      <c r="EO202" s="60">
        <f ca="1">AVERAGE(OFFSET($EN$3,0,0,'Données projet'!$E$15+1,1))-AVERAGE(OFFSET($H$3,0,0,'Données projet'!$E$15+1,1))</f>
        <v>457.62828850677369</v>
      </c>
      <c r="EP202" s="60">
        <f t="shared" si="210"/>
        <v>282.78263556175563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1.1368683772161603E-13</v>
      </c>
      <c r="FF202" s="18">
        <f>FE202*VLOOKUP('Données projet'!$B$16,Paramètres!$A$1:$I$89,3,0)*VLOOKUP('Données projet'!$B$16,Paramètres!$A$1:$I$89,5,0)</f>
        <v>1.2414602679200469E-13</v>
      </c>
      <c r="FG202" s="14">
        <f t="shared" si="182"/>
        <v>1.8186582995804361E-12</v>
      </c>
      <c r="FH202" s="22">
        <f t="shared" si="183"/>
        <v>3.3837175350986671E-12</v>
      </c>
      <c r="FI202" s="60">
        <f t="shared" si="199"/>
        <v>293.33333333333672</v>
      </c>
      <c r="FJ202" s="60">
        <f ca="1">AVERAGE(OFFSET($FI$3,0,0,'Données projet'!$E$16+1,1))-AVERAGE(OFFSET($H$3,0,0,'Données projet'!$E$16+1,1))</f>
        <v>440.52623925652182</v>
      </c>
      <c r="FK202" s="60">
        <f t="shared" si="211"/>
        <v>272.91122662088918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3.4106051316484809E-13</v>
      </c>
      <c r="GA202" s="18">
        <f>FZ202*VLOOKUP('Données projet'!$B$17,Paramètres!$A$1:$I$89,3,0)*VLOOKUP('Données projet'!$B$17,Paramètres!$A$1:$I$89,5,0)</f>
        <v>1.5961632016114892E-13</v>
      </c>
      <c r="GB202" s="14">
        <f t="shared" si="185"/>
        <v>2.2708641912150958E-12</v>
      </c>
      <c r="GC202" s="22">
        <f t="shared" si="186"/>
        <v>4.2330868906469593E-12</v>
      </c>
      <c r="GD202" s="60">
        <f t="shared" si="200"/>
        <v>293.33333333333752</v>
      </c>
      <c r="GE202" s="60">
        <f ca="1">AVERAGE(OFFSET($GD$3,0,0,'Données projet'!$E$17+1,1))-AVERAGE(OFFSET($H$3,0,0,'Données projet'!$E$17+1,1))</f>
        <v>317.54276561627643</v>
      </c>
      <c r="GF202" s="60">
        <f t="shared" si="212"/>
        <v>238.92443174298893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>
        <f>GU202*VLOOKUP('Données projet'!$B$18,Paramètres!$A$1:$I$89,3,0)*VLOOKUP('Données projet'!$B$18,Paramètres!$A$1:$I$89,5,0)</f>
        <v>0</v>
      </c>
      <c r="GW202" s="14" t="e">
        <f t="shared" si="188"/>
        <v>#NUM!</v>
      </c>
      <c r="GX202" s="22" t="e">
        <f t="shared" si="189"/>
        <v>#NUM!</v>
      </c>
      <c r="GY202" s="60" t="e">
        <f t="shared" si="201"/>
        <v>#NUM!</v>
      </c>
      <c r="GZ202" s="60">
        <f ca="1">AVERAGE(OFFSET($GY$3,0,0,'Données projet'!$E$18+1,1))-AVERAGE(OFFSET($H$3,0,0,'Données projet'!$E$18+1,1))</f>
        <v>79.868679770907136</v>
      </c>
      <c r="HA202" s="60">
        <f t="shared" si="213"/>
        <v>370.47471103028312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2.1866145045092562</v>
      </c>
      <c r="HH202" s="23">
        <f>EXP(-LN(2)/25)*HH201+(1-EXP(-LN(2)/25))/(LN(2)/25)*Calculateur!HC202*Calculateur!HE202*VLOOKUP('Données projet'!$B$18,Paramètres!$A$1:$I$89,3,0)*0.475*44/12</f>
        <v>0.13938136142165305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2.3259958659309095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0">
        <f t="shared" si="191"/>
        <v>293.33333333333439</v>
      </c>
      <c r="S203" s="60">
        <f ca="1">AVERAGE(OFFSET($R$3,0,0,'Données projet'!$E$9+1,1))-AVERAGE(OFFSET($H$3,0,0,'Données projet'!$E$9+1,1))</f>
        <v>206.5885410269899</v>
      </c>
      <c r="T203" s="60">
        <f t="shared" si="204"/>
        <v>347.41156847586302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3.3992364478763198E-14</v>
      </c>
      <c r="AK203" s="14">
        <f t="shared" si="164"/>
        <v>5.790027782444094E-13</v>
      </c>
      <c r="AL203" s="22">
        <f t="shared" si="165"/>
        <v>1.0676332069095257E-12</v>
      </c>
      <c r="AM203" s="60">
        <f t="shared" si="193"/>
        <v>293.33333333333439</v>
      </c>
      <c r="AN203" s="60">
        <f ca="1">AVERAGE(OFFSET($AM$3,0,0,'Données projet'!$E$10+1,1))-AVERAGE(OFFSET($H$3,0,0,'Données projet'!$E$10+1,1))</f>
        <v>206.5885410269899</v>
      </c>
      <c r="AO203" s="60">
        <f t="shared" si="205"/>
        <v>347.41156847586302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3.7742573526781933</v>
      </c>
      <c r="AV203" s="23">
        <f>EXP(-LN(2)/25)*AV202+(1-EXP(-LN(2)/25))/(LN(2)/25)*Calculateur!AQ203*Calculateur!AS203*VLOOKUP('Données projet'!$B$10,Paramètres!$A$1:$I$89,3,0)*0.475*44/12</f>
        <v>3.0001466357268032E-2</v>
      </c>
      <c r="AW203" s="23">
        <f>EXP(-LN(2)/2)*AW202+(1-EXP(-LN(2)/2))/(LN(2)/2)*AQ203*AT203*VLOOKUP('Données projet'!$B$10,Paramètres!$A$1:$I$89,3,0)*0.475*44/12</f>
        <v>2.8473589446543029E-23</v>
      </c>
      <c r="AX203" s="23">
        <f t="shared" si="166"/>
        <v>3.8042588190354611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1.0818439477588981E-13</v>
      </c>
      <c r="BF203" s="14">
        <f t="shared" si="167"/>
        <v>1.6104228458716316E-12</v>
      </c>
      <c r="BG203" s="22">
        <f t="shared" si="168"/>
        <v>2.9932409441277661E-12</v>
      </c>
      <c r="BH203" s="60">
        <f t="shared" si="194"/>
        <v>293.33333333333633</v>
      </c>
      <c r="BI203" s="60">
        <f ca="1">AVERAGE(OFFSET($BH$3,0,0,'Données projet'!$E$11+1,1))-AVERAGE(OFFSET($H$3,0,0,'Données projet'!$E$11+1,1))</f>
        <v>389.12604446638119</v>
      </c>
      <c r="BJ203" s="60">
        <f t="shared" si="206"/>
        <v>243.23852967152732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1.0286385077051818E-13</v>
      </c>
      <c r="CA203" s="14">
        <f t="shared" si="170"/>
        <v>1.5402366592183556E-12</v>
      </c>
      <c r="CB203" s="22">
        <f t="shared" si="171"/>
        <v>2.8617333882306215E-12</v>
      </c>
      <c r="CC203" s="60">
        <f t="shared" si="195"/>
        <v>293.33333333333616</v>
      </c>
      <c r="CD203" s="60">
        <f ca="1">AVERAGE(OFFSET($CC$3,0,0,'Données projet'!$E$12+1,1))-AVERAGE(OFFSET($H$3,0,0,'Données projet'!$E$12+1,1))</f>
        <v>371.95849973474657</v>
      </c>
      <c r="CE203" s="60">
        <f t="shared" si="207"/>
        <v>233.32640143610547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4.9463034830288767E-25</v>
      </c>
      <c r="CN203" s="24">
        <f t="shared" si="172"/>
        <v>4.9463034830288767E-25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1.0995790944434703E-13</v>
      </c>
      <c r="CV203" s="14">
        <f t="shared" si="173"/>
        <v>1.6337280948049956E-12</v>
      </c>
      <c r="CW203" s="22">
        <f t="shared" si="174"/>
        <v>3.036919790734272E-12</v>
      </c>
      <c r="CX203" s="60">
        <f t="shared" si="196"/>
        <v>293.33333333333633</v>
      </c>
      <c r="CY203" s="60">
        <f ca="1">AVERAGE(OFFSET($CX$3,0,0,'Données projet'!$E$13+1,1))-AVERAGE(OFFSET($H$3,0,0,'Données projet'!$E$13+1,1))</f>
        <v>394.8445842828649</v>
      </c>
      <c r="CZ203" s="60">
        <f t="shared" si="208"/>
        <v>246.54010105494143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5.2874278611688024E-25</v>
      </c>
      <c r="DI203" s="24">
        <f t="shared" si="175"/>
        <v>5.2874278611688024E-25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5.6843418860808015E-14</v>
      </c>
      <c r="DP203" s="18">
        <f>DO203*VLOOKUP('Données projet'!$B$14,Paramètres!$A$1:$I$89,3,0)*VLOOKUP('Données projet'!$B$14,Paramètres!$A$1:$I$89,5,0)</f>
        <v>4.9658410716801891E-14</v>
      </c>
      <c r="DQ203" s="14">
        <f t="shared" si="176"/>
        <v>8.0934058173791862E-13</v>
      </c>
      <c r="DR203" s="22">
        <f t="shared" si="177"/>
        <v>1.4960899118586383E-12</v>
      </c>
      <c r="DS203" s="60">
        <f t="shared" si="197"/>
        <v>293.33333333333479</v>
      </c>
      <c r="DT203" s="60">
        <f ca="1">AVERAGE(OFFSET($DS$3,0,0,'Données projet'!$E$14+1,1))-AVERAGE(OFFSET($H$3,0,0,'Données projet'!$E$14+1,1))</f>
        <v>266.98113257513319</v>
      </c>
      <c r="DU203" s="60">
        <f t="shared" si="209"/>
        <v>275.73257102713393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9.9917154054963819E-2</v>
      </c>
      <c r="EC203" s="23">
        <f>EXP(-LN(2)/2)*EC202+(1-EXP(-LN(2)/2))/(LN(2)/2)*DW203*DZ203*VLOOKUP('Données projet'!$B$14,Paramètres!$A$1:$I$89,3,0)*0.475*44/12</f>
        <v>2.7055522699652067E-25</v>
      </c>
      <c r="ED203" s="24">
        <f t="shared" si="178"/>
        <v>9.9917154054963819E-2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1.1368683772161603E-13</v>
      </c>
      <c r="EK203" s="18">
        <f>EJ203*VLOOKUP('Données projet'!$B$15,Paramètres!$A$1:$I$89,3,0)*VLOOKUP('Données projet'!$B$15,Paramètres!$A$1:$I$89,5,0)</f>
        <v>1.2946657079737634E-13</v>
      </c>
      <c r="EL203" s="14">
        <f t="shared" si="179"/>
        <v>1.8873591890224769E-12</v>
      </c>
      <c r="EM203" s="22">
        <f t="shared" si="180"/>
        <v>3.5126381983529106E-12</v>
      </c>
      <c r="EN203" s="60">
        <f t="shared" si="198"/>
        <v>293.33333333333684</v>
      </c>
      <c r="EO203" s="60">
        <f ca="1">AVERAGE(OFFSET($EN$3,0,0,'Données projet'!$E$15+1,1))-AVERAGE(OFFSET($H$3,0,0,'Données projet'!$E$15+1,1))</f>
        <v>457.62828850677369</v>
      </c>
      <c r="EP203" s="60">
        <f t="shared" si="210"/>
        <v>282.78263556175563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1.1368683772161603E-13</v>
      </c>
      <c r="FF203" s="18">
        <f>FE203*VLOOKUP('Données projet'!$B$16,Paramètres!$A$1:$I$89,3,0)*VLOOKUP('Données projet'!$B$16,Paramètres!$A$1:$I$89,5,0)</f>
        <v>1.2414602679200469E-13</v>
      </c>
      <c r="FG203" s="14">
        <f t="shared" si="182"/>
        <v>1.8186582995804361E-12</v>
      </c>
      <c r="FH203" s="22">
        <f t="shared" si="183"/>
        <v>3.3837175350986671E-12</v>
      </c>
      <c r="FI203" s="60">
        <f t="shared" si="199"/>
        <v>293.33333333333672</v>
      </c>
      <c r="FJ203" s="60">
        <f ca="1">AVERAGE(OFFSET($FI$3,0,0,'Données projet'!$E$16+1,1))-AVERAGE(OFFSET($H$3,0,0,'Données projet'!$E$16+1,1))</f>
        <v>440.52623925652182</v>
      </c>
      <c r="FK203" s="60">
        <f t="shared" si="211"/>
        <v>272.91122662088918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3.4106051316484809E-13</v>
      </c>
      <c r="GA203" s="18">
        <f>FZ203*VLOOKUP('Données projet'!$B$17,Paramètres!$A$1:$I$89,3,0)*VLOOKUP('Données projet'!$B$17,Paramètres!$A$1:$I$89,5,0)</f>
        <v>1.5961632016114892E-13</v>
      </c>
      <c r="GB203" s="14">
        <f t="shared" si="185"/>
        <v>2.2708641912150958E-12</v>
      </c>
      <c r="GC203" s="22">
        <f t="shared" si="186"/>
        <v>4.2330868906469593E-12</v>
      </c>
      <c r="GD203" s="60">
        <f t="shared" si="200"/>
        <v>293.33333333333752</v>
      </c>
      <c r="GE203" s="60">
        <f ca="1">AVERAGE(OFFSET($GD$3,0,0,'Données projet'!$E$17+1,1))-AVERAGE(OFFSET($H$3,0,0,'Données projet'!$E$17+1,1))</f>
        <v>317.54276561627643</v>
      </c>
      <c r="GF203" s="60">
        <f t="shared" si="212"/>
        <v>238.92443174298893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>
        <f>GU203*VLOOKUP('Données projet'!$B$18,Paramètres!$A$1:$I$89,3,0)*VLOOKUP('Données projet'!$B$18,Paramètres!$A$1:$I$89,5,0)</f>
        <v>0</v>
      </c>
      <c r="GW203" s="14" t="e">
        <f t="shared" si="188"/>
        <v>#NUM!</v>
      </c>
      <c r="GX203" s="22" t="e">
        <f t="shared" si="189"/>
        <v>#NUM!</v>
      </c>
      <c r="GY203" s="60" t="e">
        <f t="shared" si="201"/>
        <v>#NUM!</v>
      </c>
      <c r="GZ203" s="60">
        <f ca="1">AVERAGE(OFFSET($GY$3,0,0,'Données projet'!$E$18+1,1))-AVERAGE(OFFSET($H$3,0,0,'Données projet'!$E$18+1,1))</f>
        <v>79.868679770907136</v>
      </c>
      <c r="HA203" s="60">
        <f t="shared" si="213"/>
        <v>370.47471103028312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2.1437363277789854</v>
      </c>
      <c r="HH203" s="23">
        <f>EXP(-LN(2)/25)*HH202+(1-EXP(-LN(2)/25))/(LN(2)/25)*Calculateur!HC203*Calculateur!HE203*VLOOKUP('Données projet'!$B$18,Paramètres!$A$1:$I$89,3,0)*0.475*44/12</f>
        <v>0.1355699707638307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2.2793062985428163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1.3939124009120489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1.3939124009120489</v>
      </c>
      <c r="BA205" s="86">
        <f>EXP(LN('Données projet'!B88)/'Données projet'!A88)</f>
        <v>1.185906184594963</v>
      </c>
      <c r="BV205" s="86">
        <f>EXP(LN('Données projet'!B114)/'Données projet'!A114)</f>
        <v>1.185906184594963</v>
      </c>
      <c r="CQ205" s="86">
        <f>EXP(LN('Données projet'!B140)/'Données projet'!A140)</f>
        <v>1.185906184594963</v>
      </c>
      <c r="DL205" s="86">
        <f>EXP(LN('Données projet'!B166)/'Données projet'!A166)</f>
        <v>1.2441746677543575</v>
      </c>
      <c r="EG205" s="86">
        <f>EXP(LN('Données projet'!B192)/'Données projet'!A192)</f>
        <v>1.185906184594963</v>
      </c>
      <c r="FB205" s="86">
        <f>EXP(LN('Données projet'!B218)/'Données projet'!A218)</f>
        <v>1.185906184594963</v>
      </c>
      <c r="FW205" s="86">
        <f>EXP(LN('Données projet'!B244)/'Données projet'!A244)</f>
        <v>1.1921598380198544</v>
      </c>
      <c r="GR205" s="86">
        <f>EXP(LN('Données projet'!B270)/'Données projet'!A270)</f>
        <v>1.4283021121424171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31" workbookViewId="0">
      <selection activeCell="C46" sqref="C46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7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8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7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9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9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8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7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8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A15" sqref="A1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pin maritime</v>
      </c>
      <c r="B6" s="153">
        <f>'Données projet'!D9</f>
        <v>19.046399999999998</v>
      </c>
      <c r="C6" s="154">
        <f ca="1">IF(OR('Données projet'!B9="",'Données projet'!C9="",'Données projet'!C9=0%),0,Calculateur!S3)</f>
        <v>206.5885410269899</v>
      </c>
      <c r="D6" s="154">
        <f>IF(OR('Données projet'!B9="",'Données projet'!C9="",'Données projet'!C9=0%),0,Calculateur!T3)</f>
        <v>347.41156847586302</v>
      </c>
      <c r="E6" s="154">
        <f ca="1">MIN(C6,D6)</f>
        <v>206.5885410269899</v>
      </c>
      <c r="F6" s="154">
        <f ca="1">E6*B6</f>
        <v>3934.7679878164599</v>
      </c>
      <c r="G6" s="154">
        <f ca="1">F6*(100%-'Données projet'!$C$24)*(100%-'Données projet'!$C$25)*(100%-'Données projet'!$C$26)*(100%-'Données projet'!$C$27)</f>
        <v>3187.1620701313327</v>
      </c>
      <c r="H6" s="155">
        <f>IF(OR('Données projet'!B9="",'Données projet'!C9="",'Données projet'!C9=0%),0,AVERAGE(Calculateur!$AC$3:$AC$33)*B6)</f>
        <v>155.93382295590078</v>
      </c>
      <c r="I6" s="156">
        <f>H6*(100%-'Données projet'!$C$24)*(100%-'Données projet'!$C$25)*(100%-'Données projet'!$C$26)*(100%-'Données projet'!$C$27)</f>
        <v>126.30639659427965</v>
      </c>
      <c r="J6" s="157">
        <f>IF(OR('Données projet'!B9="",'Données projet'!C9="",'Données projet'!C9=0%),0,SUM(Calculateur!$V$3:$V$33)*VLOOKUP('Données projet'!$B$9,Paramètres!$A$1:$I$89,9,0)*B6)</f>
        <v>1224.8739839999998</v>
      </c>
      <c r="K6" s="158">
        <f>J6*(100%-'Données projet'!$C$24)*(100%-'Données projet'!$C$25)*(100%-'Données projet'!$C$26)*(100%-'Données projet'!$C$27)</f>
        <v>992.14792704000001</v>
      </c>
      <c r="L6" s="159">
        <f ca="1">G6+I6+K6</f>
        <v>4305.6163937656129</v>
      </c>
      <c r="M6" s="25">
        <f ca="1">L6/B6</f>
        <v>226.05932846971675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pin taeda</v>
      </c>
      <c r="B7" s="161">
        <f>'Données projet'!D10</f>
        <v>3.6863999999999999</v>
      </c>
      <c r="C7" s="154">
        <f ca="1">IF(OR('Données projet'!B10="",'Données projet'!C10="",'Données projet'!C10=0%),0,Calculateur!AN3)</f>
        <v>206.5885410269899</v>
      </c>
      <c r="D7" s="154">
        <f>IF(OR('Données projet'!B10="",'Données projet'!C10="",'Données projet'!C10=0%),0,Calculateur!AO3)</f>
        <v>347.41156847586302</v>
      </c>
      <c r="E7" s="154">
        <f t="shared" ref="E7:E15" ca="1" si="0">MIN(C7,D7)</f>
        <v>206.5885410269899</v>
      </c>
      <c r="F7" s="154">
        <f t="shared" ref="F7:F15" ca="1" si="1">E7*B7</f>
        <v>761.56799764189554</v>
      </c>
      <c r="G7" s="154">
        <f ca="1">F7*(100%-'Données projet'!$C$24)*(100%-'Données projet'!$C$25)*(100%-'Données projet'!$C$26)*(100%-'Données projet'!$C$27)</f>
        <v>616.87007808993542</v>
      </c>
      <c r="H7" s="162">
        <f>IF(OR('Données projet'!B10="",'Données projet'!C10="",'Données projet'!C10=0%),0,AVERAGE(Calculateur!$AX$3:$AX$33)*B7)</f>
        <v>30.18073992694854</v>
      </c>
      <c r="I7" s="156">
        <f>H7*(100%-'Données projet'!$C$24)*(100%-'Données projet'!$C$25)*(100%-'Données projet'!$C$26)*(100%-'Données projet'!$C$27)</f>
        <v>24.446399340828322</v>
      </c>
      <c r="J7" s="157">
        <f>IF(OR('Données projet'!B10="",'Données projet'!C10="",'Données projet'!C10=0%),0,SUM(Calculateur!$AQ$3:$AQ$33)*VLOOKUP('Données projet'!$B$10,Paramètres!$A$1:$I$89,9,0)*B7)</f>
        <v>172.78156799999999</v>
      </c>
      <c r="K7" s="158">
        <f>J7*(100%-'Données projet'!$C$24)*(100%-'Données projet'!$C$25)*(100%-'Données projet'!$C$26)*(100%-'Données projet'!$C$27)</f>
        <v>139.95307008</v>
      </c>
      <c r="L7" s="159">
        <f t="shared" ref="L7:L15" ca="1" si="2">G7+I7+K7</f>
        <v>781.26954751076369</v>
      </c>
      <c r="M7" s="25">
        <f ca="1">L7/B7</f>
        <v>211.93292846971673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charme</v>
      </c>
      <c r="B8" s="161">
        <f>'Données projet'!D11</f>
        <v>0.96</v>
      </c>
      <c r="C8" s="154">
        <f ca="1">IF(OR('Données projet'!B11="",'Données projet'!C11="",'Données projet'!C11=0%),0,Calculateur!BI3)</f>
        <v>389.12604446638119</v>
      </c>
      <c r="D8" s="154">
        <f>IF(OR('Données projet'!B11="",'Données projet'!C11="",'Données projet'!C11=0%),0,Calculateur!BJ3)</f>
        <v>243.23852967152732</v>
      </c>
      <c r="E8" s="154">
        <f t="shared" ca="1" si="0"/>
        <v>243.23852967152732</v>
      </c>
      <c r="F8" s="154">
        <f t="shared" ca="1" si="1"/>
        <v>233.50898848466622</v>
      </c>
      <c r="G8" s="154">
        <f ca="1">F8*(100%-'Données projet'!$C$24)*(100%-'Données projet'!$C$25)*(100%-'Données projet'!$C$26)*(100%-'Données projet'!$C$27)</f>
        <v>189.14228067257966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6.96</v>
      </c>
      <c r="K8" s="158">
        <f>J8*(100%-'Données projet'!$C$24)*(100%-'Données projet'!$C$25)*(100%-'Données projet'!$C$26)*(100%-'Données projet'!$C$27)</f>
        <v>5.6375999999999999</v>
      </c>
      <c r="L8" s="159">
        <f t="shared" ca="1" si="2"/>
        <v>194.77988067257965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chêne sessile</v>
      </c>
      <c r="B9" s="161">
        <f>'Données projet'!D12</f>
        <v>1.6128</v>
      </c>
      <c r="C9" s="154">
        <f ca="1">IF(OR('Données projet'!B12="",'Données projet'!C12="",'Données projet'!C12=0%),0,Calculateur!CD3)</f>
        <v>371.95849973474657</v>
      </c>
      <c r="D9" s="154">
        <f>IF(OR('Données projet'!B12="",'Données projet'!C12="",'Données projet'!C12=0%),0,Calculateur!CE3)</f>
        <v>233.32640143610547</v>
      </c>
      <c r="E9" s="154">
        <f t="shared" ca="1" si="0"/>
        <v>233.32640143610547</v>
      </c>
      <c r="F9" s="154">
        <f t="shared" ca="1" si="1"/>
        <v>376.30882023615089</v>
      </c>
      <c r="G9" s="154">
        <f ca="1">F9*(100%-'Données projet'!$C$24)*(100%-'Données projet'!$C$25)*(100%-'Données projet'!$C$26)*(100%-'Données projet'!$C$27)</f>
        <v>304.81014439128222</v>
      </c>
      <c r="H9" s="162">
        <f>IF(OR('Données projet'!B12="",'Données projet'!C12="",'Données projet'!C12=0%),0,AVERAGE(Calculateur!$CN$3:$CN$33)*B9)</f>
        <v>1.99419288199008</v>
      </c>
      <c r="I9" s="156">
        <f>H9*(100%-'Données projet'!$C$24)*(100%-'Données projet'!$C$25)*(100%-'Données projet'!$C$26)*(100%-'Données projet'!$C$27)</f>
        <v>1.6152962344119648</v>
      </c>
      <c r="J9" s="157">
        <f>IF(OR('Données projet'!B12="",'Données projet'!C12="",'Données projet'!C12=0%),0,SUM(Calculateur!$CG$3:$CG$33)*VLOOKUP('Données projet'!$B$12,Paramètres!$A$1:$I$89,9,0)*B9)</f>
        <v>11.6928</v>
      </c>
      <c r="K9" s="158">
        <f>J9*(100%-'Données projet'!$C$24)*(100%-'Données projet'!$C$25)*(100%-'Données projet'!$C$26)*(100%-'Données projet'!$C$27)</f>
        <v>9.4711680000000005</v>
      </c>
      <c r="L9" s="159">
        <f t="shared" ca="1" si="2"/>
        <v>315.89660862569417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alisier torminal</v>
      </c>
      <c r="B10" s="161">
        <f>'Données projet'!D13</f>
        <v>0.30719999999999997</v>
      </c>
      <c r="C10" s="154">
        <f ca="1">IF(OR('Données projet'!B13="",'Données projet'!C13="",'Données projet'!C13=0%),0,Calculateur!CY3)</f>
        <v>394.8445842828649</v>
      </c>
      <c r="D10" s="154">
        <f>IF(OR('Données projet'!B13="",'Données projet'!C13="",'Données projet'!C13=0%),0,Calculateur!CZ3)</f>
        <v>246.54010105494143</v>
      </c>
      <c r="E10" s="154">
        <f t="shared" ca="1" si="0"/>
        <v>246.54010105494143</v>
      </c>
      <c r="F10" s="154">
        <f t="shared" ca="1" si="1"/>
        <v>75.737119044078</v>
      </c>
      <c r="G10" s="154">
        <f ca="1">F10*(100%-'Données projet'!$C$24)*(100%-'Données projet'!$C$25)*(100%-'Données projet'!$C$26)*(100%-'Données projet'!$C$27)</f>
        <v>61.347066425703183</v>
      </c>
      <c r="H10" s="162">
        <f>IF(OR('Données projet'!B13="",'Données projet'!C13="",'Données projet'!C13=0%),0,AVERAGE(Calculateur!$DI$3:$DI$33)*B10)</f>
        <v>0.40604255725249572</v>
      </c>
      <c r="I10" s="156">
        <f>H10*(100%-'Données projet'!$C$24)*(100%-'Données projet'!$C$25)*(100%-'Données projet'!$C$26)*(100%-'Données projet'!$C$27)</f>
        <v>0.32889447137452155</v>
      </c>
      <c r="J10" s="157">
        <f>IF(OR('Données projet'!B13="",'Données projet'!C13="",'Données projet'!C13=0%),0,SUM(Calculateur!$DB$3:$DB$33)*VLOOKUP('Données projet'!$B$13,Paramètres!$A$1:$I$89,9,0)*B10)</f>
        <v>2.2271999999999998</v>
      </c>
      <c r="K10" s="158">
        <f>J10*(100%-'Données projet'!$C$24)*(100%-'Données projet'!$C$25)*(100%-'Données projet'!$C$26)*(100%-'Données projet'!$C$27)</f>
        <v>1.8040320000000001</v>
      </c>
      <c r="L10" s="159">
        <f t="shared" ca="1" si="2"/>
        <v>63.4799928970777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Chêne rouge d'Amérique</v>
      </c>
      <c r="B11" s="161">
        <f>'Données projet'!D14</f>
        <v>0.92159999999999997</v>
      </c>
      <c r="C11" s="154">
        <f ca="1">IF(OR('Données projet'!B14="",'Données projet'!C14="",'Données projet'!C14=0%),0,Calculateur!DT3)</f>
        <v>266.98113257513319</v>
      </c>
      <c r="D11" s="154">
        <f>IF(OR('Données projet'!B14="",'Données projet'!C14="",'Données projet'!C14=0%),0,Calculateur!DU3)</f>
        <v>275.73257102713393</v>
      </c>
      <c r="E11" s="154">
        <f t="shared" ca="1" si="0"/>
        <v>266.98113257513319</v>
      </c>
      <c r="F11" s="154">
        <f t="shared" ca="1" si="1"/>
        <v>246.04981178124274</v>
      </c>
      <c r="G11" s="154">
        <f ca="1">F11*(100%-'Données projet'!$C$24)*(100%-'Données projet'!$C$25)*(100%-'Données projet'!$C$26)*(100%-'Données projet'!$C$27)</f>
        <v>199.30034754280663</v>
      </c>
      <c r="H11" s="162">
        <f>IF(OR('Données projet'!B14="",'Données projet'!C14="",'Données projet'!C14=0%),0,AVERAGE(Calculateur!$ED$3:$ED$33)*B11)</f>
        <v>2.2942867166307583</v>
      </c>
      <c r="I11" s="156">
        <f>H11*(100%-'Données projet'!$C$24)*(100%-'Données projet'!$C$25)*(100%-'Données projet'!$C$26)*(100%-'Données projet'!$C$27)</f>
        <v>1.8583722404709144</v>
      </c>
      <c r="J11" s="157">
        <f>IF(OR('Données projet'!B14="",'Données projet'!C14="",'Données projet'!C14=0%),0,SUM(Calculateur!$DW$3:$DW$33)*VLOOKUP('Données projet'!$B$14,Paramètres!$A$1:$I$89,9,0)*B11)</f>
        <v>15.897599999999999</v>
      </c>
      <c r="K11" s="158">
        <f>J11*(100%-'Données projet'!$C$24)*(100%-'Données projet'!$C$25)*(100%-'Données projet'!$C$26)*(100%-'Données projet'!$C$27)</f>
        <v>12.877056</v>
      </c>
      <c r="L11" s="159">
        <f t="shared" ca="1" si="2"/>
        <v>214.03577578327756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>Chêne vert</v>
      </c>
      <c r="B12" s="161">
        <f>'Données projet'!D15</f>
        <v>0.61439999999999995</v>
      </c>
      <c r="C12" s="154">
        <f ca="1">IF(OR('Données projet'!B15="",'Données projet'!C15="",'Données projet'!C15=0%),0,Calculateur!EO3)</f>
        <v>457.62828850677369</v>
      </c>
      <c r="D12" s="154">
        <f>IF(OR('Données projet'!B15="",'Données projet'!C15="",'Données projet'!C15=0%),0,Calculateur!EP3)</f>
        <v>282.78263556175563</v>
      </c>
      <c r="E12" s="154">
        <f t="shared" ca="1" si="0"/>
        <v>282.78263556175563</v>
      </c>
      <c r="F12" s="154">
        <f t="shared" ca="1" si="1"/>
        <v>173.74165128914265</v>
      </c>
      <c r="G12" s="154">
        <f ca="1">F12*(100%-'Données projet'!$C$24)*(100%-'Données projet'!$C$25)*(100%-'Données projet'!$C$26)*(100%-'Données projet'!$C$27)</f>
        <v>140.73073754420557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4.4543999999999997</v>
      </c>
      <c r="K12" s="158">
        <f>J12*(100%-'Données projet'!$C$24)*(100%-'Données projet'!$C$25)*(100%-'Données projet'!$C$26)*(100%-'Données projet'!$C$27)</f>
        <v>3.6080640000000002</v>
      </c>
      <c r="L12" s="159">
        <f t="shared" ca="1" si="2"/>
        <v>144.33880154420558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>Chêne-liège</v>
      </c>
      <c r="B13" s="161">
        <f>'Données projet'!D16</f>
        <v>0.61439999999999995</v>
      </c>
      <c r="C13" s="154">
        <f ca="1">IF(OR('Données projet'!B16="",'Données projet'!C16="",'Données projet'!C16=0%),0,Calculateur!FJ3)</f>
        <v>440.52623925652182</v>
      </c>
      <c r="D13" s="154">
        <f>IF(OR('Données projet'!B16="",'Données projet'!C16="",'Données projet'!C16=0%),0,Calculateur!FK3)</f>
        <v>272.91122662088918</v>
      </c>
      <c r="E13" s="154">
        <f t="shared" ca="1" si="0"/>
        <v>272.91122662088918</v>
      </c>
      <c r="F13" s="154">
        <f t="shared" ca="1" si="1"/>
        <v>167.67665763587431</v>
      </c>
      <c r="G13" s="154">
        <f ca="1">F13*(100%-'Données projet'!$C$24)*(100%-'Données projet'!$C$25)*(100%-'Données projet'!$C$26)*(100%-'Données projet'!$C$27)</f>
        <v>135.81809268505822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4.4543999999999997</v>
      </c>
      <c r="K13" s="158">
        <f>J13*(100%-'Données projet'!$C$24)*(100%-'Données projet'!$C$25)*(100%-'Données projet'!$C$26)*(100%-'Données projet'!$C$27)</f>
        <v>3.6080640000000002</v>
      </c>
      <c r="L13" s="159">
        <f t="shared" ca="1" si="2"/>
        <v>139.42615668505823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>Cèdre de l'Atlas</v>
      </c>
      <c r="B14" s="161">
        <f>'Données projet'!D17</f>
        <v>1.9161599999999999</v>
      </c>
      <c r="C14" s="154">
        <f ca="1">IF(OR('Données projet'!B17="",'Données projet'!C17="",'Données projet'!C17=0%),0,Calculateur!GE3)</f>
        <v>317.54276561627643</v>
      </c>
      <c r="D14" s="154">
        <f>IF(OR('Données projet'!B17="",'Données projet'!C17="",'Données projet'!C17=0%),0,Calculateur!GF3)</f>
        <v>238.92443174298893</v>
      </c>
      <c r="E14" s="154">
        <f t="shared" ca="1" si="0"/>
        <v>238.92443174298893</v>
      </c>
      <c r="F14" s="154">
        <f t="shared" ca="1" si="1"/>
        <v>457.81743912864562</v>
      </c>
      <c r="G14" s="154">
        <f ca="1">F14*(100%-'Données projet'!$C$24)*(100%-'Données projet'!$C$25)*(100%-'Données projet'!$C$26)*(100%-'Données projet'!$C$27)</f>
        <v>370.83212569420294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ca="1" si="2"/>
        <v>370.83212569420294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>Peuplier Flevo</v>
      </c>
      <c r="B15" s="164">
        <f>'Données projet'!D18</f>
        <v>8.6246399999999994</v>
      </c>
      <c r="C15" s="165">
        <f ca="1">IF(OR('Données projet'!B18="",'Données projet'!C18="",'Données projet'!C18=0%),0,Calculateur!GZ3)</f>
        <v>79.868679770907136</v>
      </c>
      <c r="D15" s="165">
        <f>IF(OR('Données projet'!B18="",'Données projet'!C18="",'Données projet'!C18=0%),0,Calculateur!HA3)</f>
        <v>370.47471103028312</v>
      </c>
      <c r="E15" s="165">
        <f t="shared" ca="1" si="0"/>
        <v>79.868679770907136</v>
      </c>
      <c r="F15" s="166">
        <f t="shared" ca="1" si="1"/>
        <v>688.83861029935645</v>
      </c>
      <c r="G15" s="166">
        <f ca="1">F15*(100%-'Données projet'!$C$24)*(100%-'Données projet'!$C$25)*(100%-'Données projet'!$C$26)*(100%-'Données projet'!$C$27)</f>
        <v>557.95927434247881</v>
      </c>
      <c r="H15" s="167">
        <f>IF(OR('Données projet'!B18="",'Données projet'!C18="",'Données projet'!C18=0%),0,AVERAGE(Calculateur!$HJ$3:$HJ$33)*B15)</f>
        <v>376.03581380270288</v>
      </c>
      <c r="I15" s="168">
        <f>H15*(100%-'Données projet'!$C$24)*(100%-'Données projet'!$C$25)*(100%-'Données projet'!$C$26)*(100%-'Données projet'!$C$27)</f>
        <v>304.58900918018935</v>
      </c>
      <c r="J15" s="169">
        <f>IF(OR('Données projet'!B18="",'Données projet'!C18="",'Données projet'!C18=0%),0,SUM(Calculateur!$HC$3:$HC$33)*VLOOKUP('Données projet'!$B$18,Paramètres!$A$1:$I$89,9,0)*B15)</f>
        <v>2665.0137599999998</v>
      </c>
      <c r="K15" s="170">
        <f>J15*(100%-'Données projet'!$C$24)*(100%-'Données projet'!$C$25)*(100%-'Données projet'!$C$26)*(100%-'Données projet'!$C$27)</f>
        <v>2158.6611456000001</v>
      </c>
      <c r="L15" s="171">
        <f t="shared" ca="1" si="2"/>
        <v>3021.2094291226681</v>
      </c>
      <c r="M15" s="25">
        <f ca="1">L15/B15</f>
        <v>350.29977241052012</v>
      </c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7116.0150833575126</v>
      </c>
      <c r="G16" s="173">
        <f t="shared" ca="1" si="3"/>
        <v>5763.9722175195857</v>
      </c>
      <c r="H16" s="174">
        <f t="shared" si="3"/>
        <v>566.84489884142556</v>
      </c>
      <c r="I16" s="174">
        <f t="shared" si="3"/>
        <v>459.1443680615547</v>
      </c>
      <c r="J16" s="175">
        <f t="shared" si="3"/>
        <v>4108.3557119999996</v>
      </c>
      <c r="K16" s="175">
        <f t="shared" si="3"/>
        <v>3327.7681267200005</v>
      </c>
      <c r="L16" s="176">
        <f t="shared" ca="1" si="3"/>
        <v>9550.8847123011401</v>
      </c>
      <c r="M16" s="25">
        <f ca="1">L16/38.4</f>
        <v>248.72095604950886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pin maritime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pin taeda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charme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chêne sessile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alisier torminal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Chêne rouge d'Amérique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>Chêne vert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>Chêne-liège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>Cèdre de l'Atlas</v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>Peuplier Flevo</v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P1" zoomScaleNormal="100" workbookViewId="0">
      <selection activeCell="I25" sqref="I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40" t="s">
        <v>315</v>
      </c>
      <c r="I4" s="340"/>
      <c r="K4" s="337" t="s">
        <v>253</v>
      </c>
      <c r="L4" s="338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9" t="s">
        <v>310</v>
      </c>
      <c r="S7" s="330"/>
      <c r="T7" s="330"/>
      <c r="U7" s="330"/>
      <c r="V7" s="331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pin maritime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3756.2577244577901</v>
      </c>
      <c r="U10" s="188">
        <f>'Données projet'!D9</f>
        <v>19.046399999999998</v>
      </c>
      <c r="V10" s="187">
        <f>U10*T10</f>
        <v>71543.187123112846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pin taeda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3496.2766514355558</v>
      </c>
      <c r="U11" s="188">
        <f>'Données projet'!D10</f>
        <v>3.6863999999999999</v>
      </c>
      <c r="V11" s="187">
        <f t="shared" ref="V11" si="0">U11*T11</f>
        <v>12888.674247852032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charme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733.33027013878586</v>
      </c>
      <c r="U12" s="188">
        <f>'Données projet'!D11</f>
        <v>0.96</v>
      </c>
      <c r="V12" s="187">
        <f t="shared" ref="V12:V19" si="1">U12*T12</f>
        <v>703.99705933323435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chêne sessile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1065.6222493496273</v>
      </c>
      <c r="U13" s="188">
        <f>'Données projet'!D12</f>
        <v>1.6128</v>
      </c>
      <c r="V13" s="187">
        <f t="shared" si="1"/>
        <v>1718.635563751079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pin maritime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alisier torminal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857.12546378382353</v>
      </c>
      <c r="U14" s="188">
        <f>'Données projet'!D13</f>
        <v>0.30719999999999997</v>
      </c>
      <c r="V14" s="187">
        <f t="shared" si="1"/>
        <v>263.30894247439056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41" t="s">
        <v>318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Chêne rouge d'Amérique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691.17932606810473</v>
      </c>
      <c r="U15" s="188">
        <f>'Données projet'!D14</f>
        <v>0.92159999999999997</v>
      </c>
      <c r="V15" s="187">
        <f t="shared" si="1"/>
        <v>636.99086690436525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41"/>
      <c r="H16" s="201"/>
      <c r="I16" s="202"/>
      <c r="J16" s="214"/>
      <c r="K16" s="223"/>
      <c r="L16" s="337" t="s">
        <v>254</v>
      </c>
      <c r="M16" s="338"/>
      <c r="N16" s="2"/>
      <c r="O16" s="25"/>
      <c r="P16" s="25"/>
      <c r="Q16" s="263"/>
      <c r="R16" s="25"/>
      <c r="S16" s="183" t="str">
        <f>B200</f>
        <v>Chêne vert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857.12546378382353</v>
      </c>
      <c r="U16" s="188">
        <f>'Données projet'!D15</f>
        <v>0.61439999999999995</v>
      </c>
      <c r="V16" s="187">
        <f t="shared" si="1"/>
        <v>526.61788494878112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41"/>
      <c r="J17" s="214"/>
      <c r="K17" s="223"/>
      <c r="L17" s="295" t="s">
        <v>289</v>
      </c>
      <c r="M17" s="297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Chêne-liège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857.12546378382353</v>
      </c>
      <c r="U17" s="188">
        <f>'Données projet'!D16</f>
        <v>0.61439999999999995</v>
      </c>
      <c r="V17" s="187">
        <f t="shared" si="1"/>
        <v>526.61788494878112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41"/>
      <c r="J18" s="214"/>
      <c r="K18" s="223"/>
      <c r="L18" s="295" t="s">
        <v>255</v>
      </c>
      <c r="M18" s="297"/>
      <c r="N18" s="203"/>
      <c r="O18" s="25"/>
      <c r="P18" s="25"/>
      <c r="Q18" s="263"/>
      <c r="R18" s="25"/>
      <c r="S18" s="183" t="str">
        <f>B262</f>
        <v>Cèdre de l'Atlas</v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1133.4243357659655</v>
      </c>
      <c r="U18" s="188">
        <f>'Données projet'!D17</f>
        <v>1.9161599999999999</v>
      </c>
      <c r="V18" s="187">
        <f t="shared" si="1"/>
        <v>2171.8223752213121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41"/>
      <c r="H19" s="230" t="s">
        <v>178</v>
      </c>
      <c r="I19" s="230" t="s">
        <v>287</v>
      </c>
      <c r="J19" s="258"/>
      <c r="K19" s="181"/>
      <c r="L19" s="337" t="s">
        <v>288</v>
      </c>
      <c r="M19" s="338"/>
      <c r="N19" s="189">
        <f>N17*N18</f>
        <v>0</v>
      </c>
      <c r="O19" s="25"/>
      <c r="P19" s="5"/>
      <c r="Q19" s="264"/>
      <c r="R19" s="5"/>
      <c r="S19" s="183" t="str">
        <f>B293</f>
        <v>Peuplier Flevo</v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7417.0398418531313</v>
      </c>
      <c r="U19" s="188">
        <f>'Données projet'!D18</f>
        <v>8.6246399999999994</v>
      </c>
      <c r="V19" s="187">
        <f t="shared" si="1"/>
        <v>63969.298501640187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41"/>
      <c r="H20" s="201">
        <v>0</v>
      </c>
      <c r="I20" s="202">
        <f>(172657-(4564*4+12171*2))/38.4</f>
        <v>3386.953125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>
        <v>1</v>
      </c>
      <c r="I21" s="202">
        <f>(4564+12171)/38.4</f>
        <v>435.80729166666669</v>
      </c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/>
      <c r="D22" s="209" t="s">
        <v>132</v>
      </c>
      <c r="E22" s="204"/>
      <c r="F22" s="259"/>
      <c r="H22" s="201">
        <v>2</v>
      </c>
      <c r="I22" s="202">
        <v>436</v>
      </c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13</v>
      </c>
      <c r="B23" s="191">
        <f>'Données projet'!D36</f>
        <v>15</v>
      </c>
      <c r="C23" s="204">
        <v>12</v>
      </c>
      <c r="D23" s="192">
        <f>B23*C23</f>
        <v>180</v>
      </c>
      <c r="E23" s="204"/>
      <c r="F23" s="259"/>
      <c r="H23" s="201">
        <v>3</v>
      </c>
      <c r="I23" s="202">
        <f>4564/38.4</f>
        <v>118.85416666666667</v>
      </c>
      <c r="K23" s="223"/>
      <c r="L23" s="339" t="s">
        <v>260</v>
      </c>
      <c r="M23" s="339"/>
      <c r="N23" s="339"/>
      <c r="O23" s="25"/>
      <c r="P23" s="25"/>
      <c r="Q23" s="263"/>
      <c r="R23" s="25"/>
      <c r="S23" s="183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-10455.138453301974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19</v>
      </c>
      <c r="B24" s="191">
        <f>'Données projet'!D37</f>
        <v>40</v>
      </c>
      <c r="C24" s="204">
        <v>15</v>
      </c>
      <c r="D24" s="192">
        <f t="shared" ref="D24:D42" si="2">B24*C24</f>
        <v>600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142345.21189936396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25</v>
      </c>
      <c r="B25" s="191">
        <f>'Données projet'!D38</f>
        <v>54</v>
      </c>
      <c r="C25" s="204">
        <v>30</v>
      </c>
      <c r="D25" s="192">
        <f t="shared" si="2"/>
        <v>1620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303</v>
      </c>
      <c r="Q25" s="263"/>
      <c r="R25" s="25"/>
      <c r="S25" s="196" t="s">
        <v>266</v>
      </c>
      <c r="T25" s="336">
        <f ca="1">T23-T24</f>
        <v>-152800.35035266593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30</v>
      </c>
      <c r="B26" s="191">
        <f>'Données projet'!D39</f>
        <v>0</v>
      </c>
      <c r="C26" s="204"/>
      <c r="D26" s="192">
        <f t="shared" si="2"/>
        <v>0</v>
      </c>
      <c r="E26" s="204"/>
      <c r="F26" s="262"/>
      <c r="G26" s="257"/>
      <c r="H26" s="201"/>
      <c r="I26" s="202"/>
      <c r="K26" s="223"/>
      <c r="L26" s="323" t="s">
        <v>258</v>
      </c>
      <c r="M26" s="324"/>
      <c r="N26" s="324"/>
      <c r="O26" s="324"/>
      <c r="P26" s="325"/>
      <c r="Q26" s="263"/>
      <c r="R26" s="25"/>
      <c r="S26" s="196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38</v>
      </c>
      <c r="B27" s="191">
        <f>'Données projet'!D40</f>
        <v>338</v>
      </c>
      <c r="C27" s="204">
        <v>45</v>
      </c>
      <c r="D27" s="192">
        <f t="shared" si="2"/>
        <v>15210</v>
      </c>
      <c r="E27" s="204"/>
      <c r="F27" s="262"/>
      <c r="G27" s="257"/>
      <c r="H27" s="201"/>
      <c r="I27" s="202"/>
      <c r="K27" s="223"/>
      <c r="L27" s="326"/>
      <c r="M27" s="327"/>
      <c r="N27" s="327"/>
      <c r="O27" s="327"/>
      <c r="P27" s="328"/>
      <c r="Q27" s="263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0</v>
      </c>
      <c r="B28" s="191">
        <f>'Données projet'!D41</f>
        <v>0</v>
      </c>
      <c r="C28" s="204"/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0</v>
      </c>
      <c r="B29" s="191">
        <f>'Données projet'!D42</f>
        <v>0</v>
      </c>
      <c r="C29" s="204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0</v>
      </c>
      <c r="B30" s="191">
        <f>'Données projet'!D43</f>
        <v>0</v>
      </c>
      <c r="C30" s="204"/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3706.9065598792699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0</v>
      </c>
      <c r="B31" s="191">
        <f>'Données projet'!D44</f>
        <v>0</v>
      </c>
      <c r="C31" s="204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0</v>
      </c>
      <c r="B32" s="191">
        <f>'Données projet'!D45</f>
        <v>0</v>
      </c>
      <c r="C32" s="204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303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0</v>
      </c>
      <c r="B34" s="191">
        <f>'Données projet'!D47</f>
        <v>0</v>
      </c>
      <c r="C34" s="204"/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289.95215311004785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277.46617522492625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0</v>
      </c>
      <c r="B36" s="191">
        <f>'Données projet'!D49</f>
        <v>0</v>
      </c>
      <c r="C36" s="204"/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265.5178710286375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0</v>
      </c>
      <c r="B37" s="191">
        <f>'Données projet'!D50</f>
        <v>0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254.08408710874411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0</v>
      </c>
      <c r="B38" s="191">
        <f>'Données projet'!D51</f>
        <v>0</v>
      </c>
      <c r="C38" s="204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243.14266708970729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0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232.67240869828453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0</v>
      </c>
      <c r="B40" s="191">
        <f>'Données projet'!D53</f>
        <v>0</v>
      </c>
      <c r="C40" s="204"/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222.65302267778424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0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213.06509347156393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203.89004159958273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195.11008765510311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186.7082178517733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pin taeda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178.66815105432858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170.97430722902254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163.61177725265318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156.56629402167769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149.82420480543325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 t="str">
        <f>IF(O49+1&lt;=MIN('Données projet'!$E$9:$E$18),O49+1,"STOP")</f>
        <v>STOP</v>
      </c>
      <c r="P50" s="195" t="e">
        <f t="shared" si="3"/>
        <v>#VALUE!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 t="e">
        <f>IF(O50+1&lt;=MIN('Données projet'!$E$9:$E$18),O50+1,"STOP")</f>
        <v>#VALUE!</v>
      </c>
      <c r="P51" s="195" t="e">
        <f t="shared" si="3"/>
        <v>#VALUE!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 t="e">
        <f>IF(O51+1&lt;=MIN('Données projet'!$E$9:$E$18),O51+1,"STOP")</f>
        <v>#VALUE!</v>
      </c>
      <c r="P52" s="195" t="e">
        <f t="shared" si="3"/>
        <v>#VALUE!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 t="e">
        <f>IF(O52+1&lt;=MIN('Données projet'!$E$9:$E$18),O52+1,"STOP")</f>
        <v>#VALUE!</v>
      </c>
      <c r="P53" s="195" t="e">
        <f t="shared" si="3"/>
        <v>#VALUE!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13</v>
      </c>
      <c r="B54" s="191">
        <f>'Données projet'!D62</f>
        <v>15</v>
      </c>
      <c r="C54" s="204">
        <v>12</v>
      </c>
      <c r="D54" s="189">
        <f>B54*C54</f>
        <v>180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 t="e">
        <f>IF(O53+1&lt;=MIN('Données projet'!$E$9:$E$18),O53+1,"STOP")</f>
        <v>#VALUE!</v>
      </c>
      <c r="P54" s="195" t="e">
        <f t="shared" si="3"/>
        <v>#VALUE!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19</v>
      </c>
      <c r="B55" s="191">
        <f>'Données projet'!D63</f>
        <v>40</v>
      </c>
      <c r="C55" s="204">
        <v>15</v>
      </c>
      <c r="D55" s="189">
        <f t="shared" ref="D55:D73" si="4">B55*C55</f>
        <v>600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 t="e">
        <f>IF(O54+1&lt;=MIN('Données projet'!$E$9:$E$18),O54+1,"STOP")</f>
        <v>#VALUE!</v>
      </c>
      <c r="P55" s="195" t="e">
        <f t="shared" si="3"/>
        <v>#VALUE!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25</v>
      </c>
      <c r="B56" s="191">
        <f>'Données projet'!D64</f>
        <v>54</v>
      </c>
      <c r="C56" s="204">
        <v>30</v>
      </c>
      <c r="D56" s="189">
        <f t="shared" si="4"/>
        <v>1620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 t="e">
        <f>IF(O55+1&lt;=MIN('Données projet'!$E$9:$E$18),O55+1,"STOP")</f>
        <v>#VALUE!</v>
      </c>
      <c r="P56" s="195" t="e">
        <f t="shared" si="3"/>
        <v>#VALUE!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30</v>
      </c>
      <c r="B57" s="191">
        <f>'Données projet'!D65</f>
        <v>0</v>
      </c>
      <c r="C57" s="204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 t="e">
        <f>IF(O56+1&lt;=MIN('Données projet'!$E$9:$E$18),O56+1,"STOP")</f>
        <v>#VALUE!</v>
      </c>
      <c r="P57" s="195" t="e">
        <f t="shared" si="3"/>
        <v>#VALUE!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38</v>
      </c>
      <c r="B58" s="191">
        <f>'Données projet'!D66</f>
        <v>338</v>
      </c>
      <c r="C58" s="204">
        <v>45</v>
      </c>
      <c r="D58" s="189">
        <f t="shared" si="4"/>
        <v>15210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 t="e">
        <f>IF(O57+1&lt;=MIN('Données projet'!$E$9:$E$18),O57+1,"STOP")</f>
        <v>#VALUE!</v>
      </c>
      <c r="P58" s="195" t="e">
        <f t="shared" si="3"/>
        <v>#VALUE!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0</v>
      </c>
      <c r="B59" s="191">
        <f>'Données projet'!D67</f>
        <v>0</v>
      </c>
      <c r="C59" s="290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 t="e">
        <f>IF(O58+1&lt;=MIN('Données projet'!$E$9:$E$18),O58+1,"STOP")</f>
        <v>#VALUE!</v>
      </c>
      <c r="P59" s="195" t="e">
        <f t="shared" si="3"/>
        <v>#VALUE!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0</v>
      </c>
      <c r="B60" s="191">
        <f>'Données projet'!D68</f>
        <v>0</v>
      </c>
      <c r="C60" s="290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 t="e">
        <f>IF(O59+1&lt;=MIN('Données projet'!$E$9:$E$18),O59+1,"STOP")</f>
        <v>#VALUE!</v>
      </c>
      <c r="P60" s="195" t="e">
        <f t="shared" si="3"/>
        <v>#VALUE!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0</v>
      </c>
      <c r="B61" s="191">
        <f>'Données projet'!D69</f>
        <v>0</v>
      </c>
      <c r="C61" s="202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 t="e">
        <f>IF(O60+1&lt;=MIN('Données projet'!$E$9:$E$18),O60+1,"STOP")</f>
        <v>#VALUE!</v>
      </c>
      <c r="P61" s="195" t="e">
        <f t="shared" si="3"/>
        <v>#VALUE!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0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 t="e">
        <f>IF(O61+1&lt;=MIN('Données projet'!$E$9:$E$18),O61+1,"STOP")</f>
        <v>#VALUE!</v>
      </c>
      <c r="P62" s="195" t="e">
        <f t="shared" si="3"/>
        <v>#VALUE!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0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 t="e">
        <f>IF(O62+1&lt;=MIN('Données projet'!$E$9:$E$18),O62+1,"STOP")</f>
        <v>#VALUE!</v>
      </c>
      <c r="P63" s="195" t="e">
        <f t="shared" si="3"/>
        <v>#VALUE!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0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 t="e">
        <f>IF(O63+1&lt;=MIN('Données projet'!$E$9:$E$18),O63+1,"STOP")</f>
        <v>#VALUE!</v>
      </c>
      <c r="P64" s="195" t="e">
        <f t="shared" si="3"/>
        <v>#VALUE!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 t="e">
        <f>IF(O64+1&lt;=MIN('Données projet'!$E$9:$E$18),O64+1,"STOP")</f>
        <v>#VALUE!</v>
      </c>
      <c r="P65" s="195" t="e">
        <f t="shared" ref="P65:P96" si="5">$P$25/(1+$M$4)^O65</f>
        <v>#VALUE!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0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 t="e">
        <f>IF(O65+1&lt;=MIN('Données projet'!$E$9:$E$18),O65+1,"STOP")</f>
        <v>#VALUE!</v>
      </c>
      <c r="P66" s="195" t="e">
        <f t="shared" si="5"/>
        <v>#VALUE!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 t="e">
        <f>IF(O66+1&lt;=MIN('Données projet'!$E$9:$E$18),O66+1,"STOP")</f>
        <v>#VALUE!</v>
      </c>
      <c r="P67" s="195" t="e">
        <f t="shared" si="5"/>
        <v>#VALUE!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 t="e">
        <f>IF(O67+1&lt;=MIN('Données projet'!$E$9:$E$18),O67+1,"STOP")</f>
        <v>#VALUE!</v>
      </c>
      <c r="P68" s="195" t="e">
        <f t="shared" si="5"/>
        <v>#VALUE!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 t="e">
        <f>IF(O68+1&lt;=MIN('Données projet'!$E$9:$E$18),O68+1,"STOP")</f>
        <v>#VALUE!</v>
      </c>
      <c r="P69" s="195" t="e">
        <f t="shared" si="5"/>
        <v>#VALUE!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 t="e">
        <f>IF(O69+1&lt;=MIN('Données projet'!$E$9:$E$18),O69+1,"STOP")</f>
        <v>#VALUE!</v>
      </c>
      <c r="P70" s="195" t="e">
        <f t="shared" si="5"/>
        <v>#VALUE!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 t="e">
        <f>IF(O70+1&lt;=MIN('Données projet'!$E$9:$E$18),O70+1,"STOP")</f>
        <v>#VALUE!</v>
      </c>
      <c r="P71" s="195" t="e">
        <f t="shared" si="5"/>
        <v>#VALUE!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 t="e">
        <f>IF(O71+1&lt;=MIN('Données projet'!$E$9:$E$18),O71+1,"STOP")</f>
        <v>#VALUE!</v>
      </c>
      <c r="P72" s="195" t="e">
        <f t="shared" si="5"/>
        <v>#VALUE!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 t="e">
        <f>IF(O72+1&lt;=MIN('Données projet'!$E$9:$E$18),O72+1,"STOP")</f>
        <v>#VALUE!</v>
      </c>
      <c r="P73" s="195" t="e">
        <f t="shared" si="5"/>
        <v>#VALUE!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 t="e">
        <f>IF(O73+1&lt;=MIN('Données projet'!$E$9:$E$18),O73+1,"STOP")</f>
        <v>#VALUE!</v>
      </c>
      <c r="P74" s="195" t="e">
        <f t="shared" si="5"/>
        <v>#VALUE!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 t="e">
        <f>IF(O74+1&lt;=MIN('Données projet'!$E$9:$E$18),O74+1,"STOP")</f>
        <v>#VALUE!</v>
      </c>
      <c r="P75" s="195" t="e">
        <f t="shared" si="5"/>
        <v>#VALUE!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charme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 t="e">
        <f>IF(O75+1&lt;=MIN('Données projet'!$E$9:$E$18),O75+1,"STOP")</f>
        <v>#VALUE!</v>
      </c>
      <c r="P76" s="195" t="e">
        <f t="shared" si="5"/>
        <v>#VALUE!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 t="e">
        <f>IF(O76+1&lt;=MIN('Données projet'!$E$9:$E$18),O76+1,"STOP")</f>
        <v>#VALUE!</v>
      </c>
      <c r="P77" s="195" t="e">
        <f t="shared" si="5"/>
        <v>#VALUE!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 t="e">
        <f>IF(O77+1&lt;=MIN('Données projet'!$E$9:$E$18),O77+1,"STOP")</f>
        <v>#VALUE!</v>
      </c>
      <c r="P78" s="195" t="e">
        <f t="shared" si="5"/>
        <v>#VALUE!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 t="e">
        <f>IF(O78+1&lt;=MIN('Données projet'!$E$9:$E$18),O78+1,"STOP")</f>
        <v>#VALUE!</v>
      </c>
      <c r="P79" s="195" t="e">
        <f t="shared" si="5"/>
        <v>#VALUE!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5"/>
        <v>#VALUE!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5"/>
        <v>#VALUE!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5"/>
        <v>#VALUE!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5"/>
        <v>#VALUE!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5"/>
        <v>#VALUE!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25</v>
      </c>
      <c r="B85" s="191">
        <f>'Données projet'!D88</f>
        <v>8</v>
      </c>
      <c r="C85" s="202">
        <v>8</v>
      </c>
      <c r="D85" s="189">
        <f>B85*C85</f>
        <v>64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5"/>
        <v>#VALUE!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30</v>
      </c>
      <c r="B86" s="191">
        <f>'Données projet'!D89</f>
        <v>21</v>
      </c>
      <c r="C86" s="202">
        <v>15</v>
      </c>
      <c r="D86" s="189">
        <f t="shared" ref="D86:D104" si="6">B86*C86</f>
        <v>315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5"/>
        <v>#VALUE!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35</v>
      </c>
      <c r="B87" s="191">
        <f>'Données projet'!D90</f>
        <v>21</v>
      </c>
      <c r="C87" s="202">
        <v>20</v>
      </c>
      <c r="D87" s="189">
        <f t="shared" si="6"/>
        <v>420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5"/>
        <v>#VALUE!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40</v>
      </c>
      <c r="B88" s="191">
        <f>'Données projet'!D91</f>
        <v>21</v>
      </c>
      <c r="C88" s="202">
        <v>20</v>
      </c>
      <c r="D88" s="189">
        <f t="shared" si="6"/>
        <v>420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5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45</v>
      </c>
      <c r="B89" s="191">
        <f>'Données projet'!D92</f>
        <v>21</v>
      </c>
      <c r="C89" s="202">
        <v>30</v>
      </c>
      <c r="D89" s="189">
        <f t="shared" si="6"/>
        <v>630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5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50</v>
      </c>
      <c r="B90" s="191">
        <f>'Données projet'!D93</f>
        <v>21</v>
      </c>
      <c r="C90" s="202">
        <v>30</v>
      </c>
      <c r="D90" s="189">
        <f t="shared" si="6"/>
        <v>630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55</v>
      </c>
      <c r="B91" s="191">
        <f>'Données projet'!D94</f>
        <v>21</v>
      </c>
      <c r="C91" s="202">
        <v>30</v>
      </c>
      <c r="D91" s="189">
        <f t="shared" si="6"/>
        <v>630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60</v>
      </c>
      <c r="B92" s="191">
        <f>'Données projet'!D95</f>
        <v>21</v>
      </c>
      <c r="C92" s="202">
        <v>30</v>
      </c>
      <c r="D92" s="189">
        <f t="shared" si="6"/>
        <v>630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65</v>
      </c>
      <c r="B93" s="191">
        <f>'Données projet'!D96</f>
        <v>21</v>
      </c>
      <c r="C93" s="202">
        <v>30</v>
      </c>
      <c r="D93" s="189">
        <f t="shared" si="6"/>
        <v>630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70</v>
      </c>
      <c r="B94" s="191">
        <f>'Données projet'!D97</f>
        <v>21</v>
      </c>
      <c r="C94" s="202">
        <v>30</v>
      </c>
      <c r="D94" s="189">
        <f t="shared" si="6"/>
        <v>630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75</v>
      </c>
      <c r="B95" s="191">
        <f>'Données projet'!D98</f>
        <v>21</v>
      </c>
      <c r="C95" s="202">
        <v>30</v>
      </c>
      <c r="D95" s="189">
        <f t="shared" si="6"/>
        <v>630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80</v>
      </c>
      <c r="B96" s="191">
        <f>'Données projet'!D99</f>
        <v>21</v>
      </c>
      <c r="C96" s="202">
        <v>30</v>
      </c>
      <c r="D96" s="189">
        <f t="shared" si="6"/>
        <v>630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85</v>
      </c>
      <c r="B97" s="191">
        <f>'Données projet'!D100</f>
        <v>21</v>
      </c>
      <c r="C97" s="202">
        <v>30</v>
      </c>
      <c r="D97" s="189">
        <f t="shared" si="6"/>
        <v>630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90</v>
      </c>
      <c r="B98" s="191">
        <f>'Données projet'!D101</f>
        <v>21</v>
      </c>
      <c r="C98" s="202">
        <v>30</v>
      </c>
      <c r="D98" s="189">
        <f t="shared" si="6"/>
        <v>630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95</v>
      </c>
      <c r="B99" s="191">
        <f>'Données projet'!D102</f>
        <v>21</v>
      </c>
      <c r="C99" s="202">
        <v>30</v>
      </c>
      <c r="D99" s="189">
        <f t="shared" si="6"/>
        <v>630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100</v>
      </c>
      <c r="B100" s="191">
        <f>'Données projet'!D103</f>
        <v>21</v>
      </c>
      <c r="C100" s="202">
        <v>30</v>
      </c>
      <c r="D100" s="189">
        <f t="shared" si="6"/>
        <v>630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105</v>
      </c>
      <c r="B101" s="191">
        <f>'Données projet'!D104</f>
        <v>20</v>
      </c>
      <c r="C101" s="202">
        <v>30</v>
      </c>
      <c r="D101" s="189">
        <f t="shared" si="6"/>
        <v>600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110</v>
      </c>
      <c r="B102" s="191">
        <f>'Données projet'!D105</f>
        <v>19</v>
      </c>
      <c r="C102" s="202">
        <v>30</v>
      </c>
      <c r="D102" s="189">
        <f t="shared" si="6"/>
        <v>570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115</v>
      </c>
      <c r="B103" s="191">
        <f>'Données projet'!D106</f>
        <v>18</v>
      </c>
      <c r="C103" s="202">
        <v>30</v>
      </c>
      <c r="D103" s="189">
        <f t="shared" si="6"/>
        <v>540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120</v>
      </c>
      <c r="B104" s="191">
        <f>'Données projet'!D107</f>
        <v>284</v>
      </c>
      <c r="C104" s="202">
        <v>30</v>
      </c>
      <c r="D104" s="189">
        <f t="shared" si="6"/>
        <v>8520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chêne sessile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25</v>
      </c>
      <c r="B116" s="191">
        <f>'Données projet'!D114</f>
        <v>8</v>
      </c>
      <c r="C116" s="202">
        <v>8</v>
      </c>
      <c r="D116" s="189">
        <f>B116*C116</f>
        <v>64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30</v>
      </c>
      <c r="B117" s="191">
        <f>'Données projet'!D115</f>
        <v>21</v>
      </c>
      <c r="C117" s="202">
        <v>15</v>
      </c>
      <c r="D117" s="189">
        <f t="shared" ref="D117:D135" si="8">B117*C117</f>
        <v>315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35</v>
      </c>
      <c r="B118" s="191">
        <f>'Données projet'!D116</f>
        <v>21</v>
      </c>
      <c r="C118" s="202">
        <v>20</v>
      </c>
      <c r="D118" s="189">
        <f t="shared" si="8"/>
        <v>420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40</v>
      </c>
      <c r="B119" s="191">
        <f>'Données projet'!D117</f>
        <v>21</v>
      </c>
      <c r="C119" s="202">
        <v>20</v>
      </c>
      <c r="D119" s="189">
        <f t="shared" si="8"/>
        <v>420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45</v>
      </c>
      <c r="B120" s="191">
        <f>'Données projet'!D118</f>
        <v>21</v>
      </c>
      <c r="C120" s="202">
        <v>30</v>
      </c>
      <c r="D120" s="189">
        <f t="shared" si="8"/>
        <v>630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50</v>
      </c>
      <c r="B121" s="191">
        <f>'Données projet'!D119</f>
        <v>21</v>
      </c>
      <c r="C121" s="202">
        <v>30</v>
      </c>
      <c r="D121" s="189">
        <f t="shared" si="8"/>
        <v>630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55</v>
      </c>
      <c r="B122" s="191">
        <f>'Données projet'!D120</f>
        <v>21</v>
      </c>
      <c r="C122" s="202">
        <v>40</v>
      </c>
      <c r="D122" s="189">
        <f t="shared" si="8"/>
        <v>840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60</v>
      </c>
      <c r="B123" s="191">
        <f>'Données projet'!D121</f>
        <v>21</v>
      </c>
      <c r="C123" s="202">
        <v>40</v>
      </c>
      <c r="D123" s="189">
        <f t="shared" si="8"/>
        <v>840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65</v>
      </c>
      <c r="B124" s="191">
        <f>'Données projet'!D122</f>
        <v>21</v>
      </c>
      <c r="C124" s="202">
        <v>40</v>
      </c>
      <c r="D124" s="189">
        <f t="shared" si="8"/>
        <v>840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70</v>
      </c>
      <c r="B125" s="191">
        <f>'Données projet'!D123</f>
        <v>21</v>
      </c>
      <c r="C125" s="202">
        <v>50</v>
      </c>
      <c r="D125" s="189">
        <f t="shared" si="8"/>
        <v>1050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75</v>
      </c>
      <c r="B126" s="191">
        <f>'Données projet'!D124</f>
        <v>21</v>
      </c>
      <c r="C126" s="202">
        <v>50</v>
      </c>
      <c r="D126" s="189">
        <f t="shared" si="8"/>
        <v>1050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80</v>
      </c>
      <c r="B127" s="191">
        <f>'Données projet'!D125</f>
        <v>21</v>
      </c>
      <c r="C127" s="202">
        <v>60</v>
      </c>
      <c r="D127" s="189">
        <f t="shared" si="8"/>
        <v>1260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85</v>
      </c>
      <c r="B128" s="191">
        <f>'Données projet'!D126</f>
        <v>21</v>
      </c>
      <c r="C128" s="202">
        <v>70</v>
      </c>
      <c r="D128" s="189">
        <f t="shared" si="8"/>
        <v>1470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90</v>
      </c>
      <c r="B129" s="191">
        <f>'Données projet'!D127</f>
        <v>21</v>
      </c>
      <c r="C129" s="202">
        <v>80</v>
      </c>
      <c r="D129" s="189">
        <f t="shared" si="8"/>
        <v>1680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95</v>
      </c>
      <c r="B130" s="191">
        <f>'Données projet'!D128</f>
        <v>21</v>
      </c>
      <c r="C130" s="202">
        <v>90</v>
      </c>
      <c r="D130" s="189">
        <f t="shared" si="8"/>
        <v>1890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100</v>
      </c>
      <c r="B131" s="191">
        <f>'Données projet'!D129</f>
        <v>21</v>
      </c>
      <c r="C131" s="202">
        <v>90</v>
      </c>
      <c r="D131" s="189">
        <f t="shared" si="8"/>
        <v>1890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105</v>
      </c>
      <c r="B132" s="191">
        <f>'Données projet'!D130</f>
        <v>20</v>
      </c>
      <c r="C132" s="202">
        <v>90</v>
      </c>
      <c r="D132" s="189">
        <f t="shared" si="8"/>
        <v>1800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110</v>
      </c>
      <c r="B133" s="191">
        <f>'Données projet'!D131</f>
        <v>19</v>
      </c>
      <c r="C133" s="202">
        <v>90</v>
      </c>
      <c r="D133" s="189">
        <f t="shared" si="8"/>
        <v>1710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115</v>
      </c>
      <c r="B134" s="191">
        <f>'Données projet'!D132</f>
        <v>18</v>
      </c>
      <c r="C134" s="202">
        <v>100</v>
      </c>
      <c r="D134" s="189">
        <f t="shared" si="8"/>
        <v>1800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120</v>
      </c>
      <c r="B135" s="191">
        <f>'Données projet'!D133</f>
        <v>284</v>
      </c>
      <c r="C135" s="202">
        <v>120</v>
      </c>
      <c r="D135" s="189">
        <f t="shared" si="8"/>
        <v>34080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alisier torminal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25</v>
      </c>
      <c r="B147" s="185">
        <f>'Données projet'!D140</f>
        <v>8</v>
      </c>
      <c r="C147" s="202">
        <v>8</v>
      </c>
      <c r="D147" s="192">
        <f>B147*C147</f>
        <v>64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5">
        <f>'Données projet'!D141</f>
        <v>21</v>
      </c>
      <c r="C148" s="202">
        <v>15</v>
      </c>
      <c r="D148" s="192">
        <f t="shared" ref="D148:D166" si="10">B148*C148</f>
        <v>315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35</v>
      </c>
      <c r="B149" s="185">
        <f>'Données projet'!D142</f>
        <v>21</v>
      </c>
      <c r="C149" s="202">
        <v>20</v>
      </c>
      <c r="D149" s="192">
        <f t="shared" si="10"/>
        <v>420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40</v>
      </c>
      <c r="B150" s="185">
        <f>'Données projet'!D143</f>
        <v>21</v>
      </c>
      <c r="C150" s="202">
        <v>20</v>
      </c>
      <c r="D150" s="192">
        <f t="shared" si="10"/>
        <v>420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45</v>
      </c>
      <c r="B151" s="185">
        <f>'Données projet'!D144</f>
        <v>21</v>
      </c>
      <c r="C151" s="202">
        <v>30</v>
      </c>
      <c r="D151" s="192">
        <f t="shared" si="10"/>
        <v>630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50</v>
      </c>
      <c r="B152" s="185">
        <f>'Données projet'!D145</f>
        <v>21</v>
      </c>
      <c r="C152" s="202">
        <v>30</v>
      </c>
      <c r="D152" s="192">
        <f t="shared" si="10"/>
        <v>630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55</v>
      </c>
      <c r="B153" s="185">
        <f>'Données projet'!D146</f>
        <v>21</v>
      </c>
      <c r="C153" s="202">
        <v>30</v>
      </c>
      <c r="D153" s="192">
        <f t="shared" si="10"/>
        <v>630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5">
        <f>'Données projet'!D147</f>
        <v>21</v>
      </c>
      <c r="C154" s="202">
        <v>30</v>
      </c>
      <c r="D154" s="192">
        <f t="shared" si="10"/>
        <v>630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65</v>
      </c>
      <c r="B155" s="185">
        <f>'Données projet'!D148</f>
        <v>21</v>
      </c>
      <c r="C155" s="202">
        <v>30</v>
      </c>
      <c r="D155" s="192">
        <f t="shared" si="10"/>
        <v>630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70</v>
      </c>
      <c r="B156" s="185">
        <f>'Données projet'!D149</f>
        <v>21</v>
      </c>
      <c r="C156" s="202">
        <v>30</v>
      </c>
      <c r="D156" s="192">
        <f t="shared" si="10"/>
        <v>630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75</v>
      </c>
      <c r="B157" s="185">
        <f>'Données projet'!D150</f>
        <v>21</v>
      </c>
      <c r="C157" s="202">
        <v>30</v>
      </c>
      <c r="D157" s="192">
        <f t="shared" si="10"/>
        <v>630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80</v>
      </c>
      <c r="B158" s="185">
        <f>'Données projet'!D151</f>
        <v>21</v>
      </c>
      <c r="C158" s="202">
        <v>40</v>
      </c>
      <c r="D158" s="192">
        <f t="shared" si="10"/>
        <v>840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85</v>
      </c>
      <c r="B159" s="185">
        <f>'Données projet'!D152</f>
        <v>21</v>
      </c>
      <c r="C159" s="202">
        <v>40</v>
      </c>
      <c r="D159" s="192">
        <f t="shared" si="10"/>
        <v>840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5">
        <f>'Données projet'!D153</f>
        <v>21</v>
      </c>
      <c r="C160" s="202">
        <v>40</v>
      </c>
      <c r="D160" s="192">
        <f t="shared" si="10"/>
        <v>840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95</v>
      </c>
      <c r="B161" s="185">
        <f>'Données projet'!D154</f>
        <v>21</v>
      </c>
      <c r="C161" s="202">
        <v>60</v>
      </c>
      <c r="D161" s="192">
        <f t="shared" si="10"/>
        <v>1260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100</v>
      </c>
      <c r="B162" s="185">
        <f>'Données projet'!D155</f>
        <v>21</v>
      </c>
      <c r="C162" s="202">
        <v>60</v>
      </c>
      <c r="D162" s="192">
        <f t="shared" si="10"/>
        <v>1260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105</v>
      </c>
      <c r="B163" s="185">
        <f>'Données projet'!D156</f>
        <v>20</v>
      </c>
      <c r="C163" s="202">
        <v>60</v>
      </c>
      <c r="D163" s="192">
        <f t="shared" si="10"/>
        <v>1200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110</v>
      </c>
      <c r="B164" s="185">
        <f>'Données projet'!D157</f>
        <v>19</v>
      </c>
      <c r="C164" s="202">
        <v>80</v>
      </c>
      <c r="D164" s="192">
        <f t="shared" si="10"/>
        <v>1520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115</v>
      </c>
      <c r="B165" s="185">
        <f>'Données projet'!D158</f>
        <v>18</v>
      </c>
      <c r="C165" s="202">
        <v>80</v>
      </c>
      <c r="D165" s="192">
        <f t="shared" si="10"/>
        <v>1440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120</v>
      </c>
      <c r="B166" s="185">
        <f>'Données projet'!D159</f>
        <v>284</v>
      </c>
      <c r="C166" s="202">
        <v>80</v>
      </c>
      <c r="D166" s="192">
        <f t="shared" si="10"/>
        <v>22720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Chêne rouge d'Amérique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20</v>
      </c>
      <c r="B178" s="191">
        <f>'Données projet'!D166</f>
        <v>17</v>
      </c>
      <c r="C178" s="290">
        <v>5</v>
      </c>
      <c r="D178" s="189">
        <f>B178*C178</f>
        <v>85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25</v>
      </c>
      <c r="B179" s="191">
        <f>'Données projet'!D167</f>
        <v>26</v>
      </c>
      <c r="C179" s="290">
        <v>7</v>
      </c>
      <c r="D179" s="189">
        <f t="shared" ref="D179:D197" si="11">B179*C179</f>
        <v>182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30</v>
      </c>
      <c r="B180" s="191">
        <f>'Données projet'!D168</f>
        <v>26</v>
      </c>
      <c r="C180" s="290">
        <v>9</v>
      </c>
      <c r="D180" s="189">
        <f t="shared" si="11"/>
        <v>234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35</v>
      </c>
      <c r="B181" s="191">
        <f>'Données projet'!D169</f>
        <v>25</v>
      </c>
      <c r="C181" s="290">
        <v>9</v>
      </c>
      <c r="D181" s="189">
        <f t="shared" si="11"/>
        <v>225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40</v>
      </c>
      <c r="B182" s="191">
        <f>'Données projet'!D170</f>
        <v>23</v>
      </c>
      <c r="C182" s="290">
        <v>9</v>
      </c>
      <c r="D182" s="189">
        <f t="shared" si="11"/>
        <v>207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45</v>
      </c>
      <c r="B183" s="191">
        <f>'Données projet'!D171</f>
        <v>21</v>
      </c>
      <c r="C183" s="290">
        <v>14</v>
      </c>
      <c r="D183" s="189">
        <f t="shared" si="11"/>
        <v>294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50</v>
      </c>
      <c r="B184" s="191">
        <f>'Données projet'!D172</f>
        <v>19</v>
      </c>
      <c r="C184" s="290">
        <v>14</v>
      </c>
      <c r="D184" s="189">
        <f t="shared" si="11"/>
        <v>266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55</v>
      </c>
      <c r="B185" s="191">
        <f>'Données projet'!D173</f>
        <v>18</v>
      </c>
      <c r="C185" s="290">
        <v>14</v>
      </c>
      <c r="D185" s="189">
        <f t="shared" si="11"/>
        <v>252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60</v>
      </c>
      <c r="B186" s="191">
        <f>'Données projet'!D174</f>
        <v>16</v>
      </c>
      <c r="C186" s="290">
        <v>17</v>
      </c>
      <c r="D186" s="189">
        <f t="shared" si="11"/>
        <v>272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65</v>
      </c>
      <c r="B187" s="191">
        <f>'Données projet'!D175</f>
        <v>14</v>
      </c>
      <c r="C187" s="290">
        <v>17</v>
      </c>
      <c r="D187" s="189">
        <f t="shared" si="11"/>
        <v>238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70</v>
      </c>
      <c r="B188" s="191">
        <f>'Données projet'!D176</f>
        <v>12</v>
      </c>
      <c r="C188" s="290">
        <v>17</v>
      </c>
      <c r="D188" s="189">
        <f t="shared" si="11"/>
        <v>204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75</v>
      </c>
      <c r="B189" s="191">
        <f>'Données projet'!D177</f>
        <v>11</v>
      </c>
      <c r="C189" s="290">
        <v>20</v>
      </c>
      <c r="D189" s="189">
        <f t="shared" si="11"/>
        <v>220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80</v>
      </c>
      <c r="B190" s="191">
        <f>'Données projet'!D178</f>
        <v>9</v>
      </c>
      <c r="C190" s="290">
        <v>25</v>
      </c>
      <c r="D190" s="189">
        <f t="shared" si="11"/>
        <v>225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85</v>
      </c>
      <c r="B191" s="191">
        <f>'Données projet'!D179</f>
        <v>8</v>
      </c>
      <c r="C191" s="290">
        <v>30</v>
      </c>
      <c r="D191" s="189">
        <f t="shared" si="11"/>
        <v>240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90</v>
      </c>
      <c r="B192" s="191">
        <f>'Données projet'!D180</f>
        <v>193</v>
      </c>
      <c r="C192" s="290">
        <v>80</v>
      </c>
      <c r="D192" s="189">
        <f t="shared" si="11"/>
        <v>15440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>Chêne vert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25</v>
      </c>
      <c r="B209" s="191">
        <f>'Données projet'!D192</f>
        <v>8</v>
      </c>
      <c r="C209" s="202">
        <v>8</v>
      </c>
      <c r="D209" s="189">
        <f>B209*C209</f>
        <v>64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30</v>
      </c>
      <c r="B210" s="191">
        <f>'Données projet'!D193</f>
        <v>21</v>
      </c>
      <c r="C210" s="202">
        <v>15</v>
      </c>
      <c r="D210" s="189">
        <f t="shared" ref="D210:D228" si="12">B210*C210</f>
        <v>315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35</v>
      </c>
      <c r="B211" s="191">
        <f>'Données projet'!D194</f>
        <v>21</v>
      </c>
      <c r="C211" s="202">
        <v>20</v>
      </c>
      <c r="D211" s="189">
        <f t="shared" si="12"/>
        <v>420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40</v>
      </c>
      <c r="B212" s="191">
        <f>'Données projet'!D195</f>
        <v>21</v>
      </c>
      <c r="C212" s="202">
        <v>20</v>
      </c>
      <c r="D212" s="189">
        <f t="shared" si="12"/>
        <v>420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45</v>
      </c>
      <c r="B213" s="191">
        <f>'Données projet'!D196</f>
        <v>21</v>
      </c>
      <c r="C213" s="202">
        <v>30</v>
      </c>
      <c r="D213" s="189">
        <f t="shared" si="12"/>
        <v>630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50</v>
      </c>
      <c r="B214" s="191">
        <f>'Données projet'!D197</f>
        <v>21</v>
      </c>
      <c r="C214" s="202">
        <v>30</v>
      </c>
      <c r="D214" s="189">
        <f t="shared" si="12"/>
        <v>630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55</v>
      </c>
      <c r="B215" s="191">
        <f>'Données projet'!D198</f>
        <v>21</v>
      </c>
      <c r="C215" s="202">
        <v>30</v>
      </c>
      <c r="D215" s="189">
        <f t="shared" si="12"/>
        <v>630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60</v>
      </c>
      <c r="B216" s="191">
        <f>'Données projet'!D199</f>
        <v>21</v>
      </c>
      <c r="C216" s="202">
        <v>30</v>
      </c>
      <c r="D216" s="189">
        <f t="shared" si="12"/>
        <v>630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65</v>
      </c>
      <c r="B217" s="191">
        <f>'Données projet'!D200</f>
        <v>21</v>
      </c>
      <c r="C217" s="202">
        <v>30</v>
      </c>
      <c r="D217" s="189">
        <f t="shared" si="12"/>
        <v>630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70</v>
      </c>
      <c r="B218" s="191">
        <f>'Données projet'!D201</f>
        <v>21</v>
      </c>
      <c r="C218" s="202">
        <v>30</v>
      </c>
      <c r="D218" s="189">
        <f t="shared" si="12"/>
        <v>630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75</v>
      </c>
      <c r="B219" s="191">
        <f>'Données projet'!D202</f>
        <v>21</v>
      </c>
      <c r="C219" s="202">
        <v>30</v>
      </c>
      <c r="D219" s="189">
        <f t="shared" si="12"/>
        <v>630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80</v>
      </c>
      <c r="B220" s="191">
        <f>'Données projet'!D203</f>
        <v>21</v>
      </c>
      <c r="C220" s="202">
        <v>40</v>
      </c>
      <c r="D220" s="189">
        <f t="shared" si="12"/>
        <v>840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85</v>
      </c>
      <c r="B221" s="191">
        <f>'Données projet'!D204</f>
        <v>21</v>
      </c>
      <c r="C221" s="202">
        <v>40</v>
      </c>
      <c r="D221" s="189">
        <f t="shared" si="12"/>
        <v>840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90</v>
      </c>
      <c r="B222" s="191">
        <f>'Données projet'!D205</f>
        <v>21</v>
      </c>
      <c r="C222" s="202">
        <v>40</v>
      </c>
      <c r="D222" s="189">
        <f t="shared" si="12"/>
        <v>840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95</v>
      </c>
      <c r="B223" s="191">
        <f>'Données projet'!D206</f>
        <v>21</v>
      </c>
      <c r="C223" s="202">
        <v>60</v>
      </c>
      <c r="D223" s="189">
        <f t="shared" si="12"/>
        <v>1260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100</v>
      </c>
      <c r="B224" s="191">
        <f>'Données projet'!D207</f>
        <v>21</v>
      </c>
      <c r="C224" s="202">
        <v>60</v>
      </c>
      <c r="D224" s="189">
        <f t="shared" si="12"/>
        <v>1260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105</v>
      </c>
      <c r="B225" s="191">
        <f>'Données projet'!D208</f>
        <v>20</v>
      </c>
      <c r="C225" s="202">
        <v>60</v>
      </c>
      <c r="D225" s="189">
        <f t="shared" si="12"/>
        <v>1200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110</v>
      </c>
      <c r="B226" s="191">
        <f>'Données projet'!D209</f>
        <v>19</v>
      </c>
      <c r="C226" s="202">
        <v>80</v>
      </c>
      <c r="D226" s="189">
        <f t="shared" si="12"/>
        <v>1520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115</v>
      </c>
      <c r="B227" s="191">
        <f>'Données projet'!D210</f>
        <v>18</v>
      </c>
      <c r="C227" s="202">
        <v>80</v>
      </c>
      <c r="D227" s="189">
        <f t="shared" si="12"/>
        <v>1440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120</v>
      </c>
      <c r="B228" s="191">
        <f>'Données projet'!D211</f>
        <v>284</v>
      </c>
      <c r="C228" s="202">
        <v>80</v>
      </c>
      <c r="D228" s="189">
        <f t="shared" si="12"/>
        <v>22720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>Chêne-liège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25</v>
      </c>
      <c r="B240" s="191">
        <f>'Données projet'!D218</f>
        <v>8</v>
      </c>
      <c r="C240" s="202">
        <v>8</v>
      </c>
      <c r="D240" s="189">
        <f>B240*C240</f>
        <v>64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30</v>
      </c>
      <c r="B241" s="191">
        <f>'Données projet'!D219</f>
        <v>21</v>
      </c>
      <c r="C241" s="202">
        <v>15</v>
      </c>
      <c r="D241" s="189">
        <f t="shared" ref="D241:D259" si="13">B241*C241</f>
        <v>315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35</v>
      </c>
      <c r="B242" s="191">
        <f>'Données projet'!D220</f>
        <v>21</v>
      </c>
      <c r="C242" s="202">
        <v>20</v>
      </c>
      <c r="D242" s="189">
        <f t="shared" si="13"/>
        <v>420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40</v>
      </c>
      <c r="B243" s="191">
        <f>'Données projet'!D221</f>
        <v>21</v>
      </c>
      <c r="C243" s="202">
        <v>20</v>
      </c>
      <c r="D243" s="189">
        <f t="shared" si="13"/>
        <v>420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45</v>
      </c>
      <c r="B244" s="191">
        <f>'Données projet'!D222</f>
        <v>21</v>
      </c>
      <c r="C244" s="202">
        <v>30</v>
      </c>
      <c r="D244" s="189">
        <f t="shared" si="13"/>
        <v>630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50</v>
      </c>
      <c r="B245" s="191">
        <f>'Données projet'!D223</f>
        <v>21</v>
      </c>
      <c r="C245" s="202">
        <v>30</v>
      </c>
      <c r="D245" s="189">
        <f t="shared" si="13"/>
        <v>630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55</v>
      </c>
      <c r="B246" s="191">
        <f>'Données projet'!D224</f>
        <v>21</v>
      </c>
      <c r="C246" s="202">
        <v>30</v>
      </c>
      <c r="D246" s="189">
        <f t="shared" si="13"/>
        <v>630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60</v>
      </c>
      <c r="B247" s="191">
        <f>'Données projet'!D225</f>
        <v>21</v>
      </c>
      <c r="C247" s="202">
        <v>30</v>
      </c>
      <c r="D247" s="189">
        <f t="shared" si="13"/>
        <v>630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65</v>
      </c>
      <c r="B248" s="191">
        <f>'Données projet'!D226</f>
        <v>21</v>
      </c>
      <c r="C248" s="202">
        <v>30</v>
      </c>
      <c r="D248" s="189">
        <f t="shared" si="13"/>
        <v>630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70</v>
      </c>
      <c r="B249" s="191">
        <f>'Données projet'!D227</f>
        <v>21</v>
      </c>
      <c r="C249" s="202">
        <v>30</v>
      </c>
      <c r="D249" s="189">
        <f t="shared" si="13"/>
        <v>630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75</v>
      </c>
      <c r="B250" s="191">
        <f>'Données projet'!D228</f>
        <v>21</v>
      </c>
      <c r="C250" s="202">
        <v>30</v>
      </c>
      <c r="D250" s="189">
        <f t="shared" si="13"/>
        <v>630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80</v>
      </c>
      <c r="B251" s="191">
        <f>'Données projet'!D229</f>
        <v>21</v>
      </c>
      <c r="C251" s="202">
        <v>40</v>
      </c>
      <c r="D251" s="189">
        <f t="shared" si="13"/>
        <v>840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85</v>
      </c>
      <c r="B252" s="191">
        <f>'Données projet'!D230</f>
        <v>21</v>
      </c>
      <c r="C252" s="202">
        <v>40</v>
      </c>
      <c r="D252" s="189">
        <f t="shared" si="13"/>
        <v>840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90</v>
      </c>
      <c r="B253" s="191">
        <f>'Données projet'!D231</f>
        <v>21</v>
      </c>
      <c r="C253" s="202">
        <v>40</v>
      </c>
      <c r="D253" s="189">
        <f t="shared" si="13"/>
        <v>840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95</v>
      </c>
      <c r="B254" s="191">
        <f>'Données projet'!D232</f>
        <v>21</v>
      </c>
      <c r="C254" s="202">
        <v>60</v>
      </c>
      <c r="D254" s="189">
        <f t="shared" si="13"/>
        <v>1260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100</v>
      </c>
      <c r="B255" s="191">
        <f>'Données projet'!D233</f>
        <v>21</v>
      </c>
      <c r="C255" s="202">
        <v>60</v>
      </c>
      <c r="D255" s="189">
        <f t="shared" si="13"/>
        <v>1260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105</v>
      </c>
      <c r="B256" s="191">
        <f>'Données projet'!D234</f>
        <v>20</v>
      </c>
      <c r="C256" s="202">
        <v>60</v>
      </c>
      <c r="D256" s="189">
        <f t="shared" si="13"/>
        <v>1200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110</v>
      </c>
      <c r="B257" s="191">
        <f>'Données projet'!D235</f>
        <v>19</v>
      </c>
      <c r="C257" s="202">
        <v>80</v>
      </c>
      <c r="D257" s="189">
        <f t="shared" si="13"/>
        <v>1520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115</v>
      </c>
      <c r="B258" s="191">
        <f>'Données projet'!D236</f>
        <v>18</v>
      </c>
      <c r="C258" s="202">
        <v>80</v>
      </c>
      <c r="D258" s="189">
        <f t="shared" si="13"/>
        <v>1440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120</v>
      </c>
      <c r="B259" s="191">
        <f>'Données projet'!D237</f>
        <v>284</v>
      </c>
      <c r="C259" s="202">
        <v>80</v>
      </c>
      <c r="D259" s="189">
        <f t="shared" si="13"/>
        <v>22720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>Cèdre de l'Atlas</v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30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35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42</v>
      </c>
      <c r="B273" s="191">
        <f>'Données projet'!D246</f>
        <v>182</v>
      </c>
      <c r="C273" s="204">
        <v>8</v>
      </c>
      <c r="D273" s="189">
        <f t="shared" si="14"/>
        <v>1456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43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49</v>
      </c>
      <c r="B275" s="191">
        <f>'Données projet'!D248</f>
        <v>100</v>
      </c>
      <c r="C275" s="204">
        <v>10</v>
      </c>
      <c r="D275" s="189">
        <f t="shared" si="14"/>
        <v>1000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50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56</v>
      </c>
      <c r="B277" s="191">
        <f>'Données projet'!D250</f>
        <v>79</v>
      </c>
      <c r="C277" s="204">
        <v>15</v>
      </c>
      <c r="D277" s="189">
        <f t="shared" si="14"/>
        <v>1185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57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63</v>
      </c>
      <c r="B279" s="191">
        <f>'Données projet'!D252</f>
        <v>79</v>
      </c>
      <c r="C279" s="204">
        <v>20</v>
      </c>
      <c r="D279" s="189">
        <f t="shared" si="14"/>
        <v>1580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64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71</v>
      </c>
      <c r="B281" s="191">
        <f>'Données projet'!D254</f>
        <v>91</v>
      </c>
      <c r="C281" s="204">
        <v>25</v>
      </c>
      <c r="D281" s="189">
        <f t="shared" si="14"/>
        <v>2275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72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79</v>
      </c>
      <c r="B283" s="191">
        <f>'Données projet'!D256</f>
        <v>88</v>
      </c>
      <c r="C283" s="204">
        <v>30</v>
      </c>
      <c r="D283" s="189">
        <f t="shared" si="14"/>
        <v>2640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80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87</v>
      </c>
      <c r="B285" s="191">
        <f>'Données projet'!D258</f>
        <v>89</v>
      </c>
      <c r="C285" s="204">
        <v>35</v>
      </c>
      <c r="D285" s="189">
        <f t="shared" si="14"/>
        <v>3115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88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94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95</v>
      </c>
      <c r="B288" s="191">
        <f>'Données projet'!D261</f>
        <v>269</v>
      </c>
      <c r="C288" s="204">
        <v>40</v>
      </c>
      <c r="D288" s="189">
        <f t="shared" si="14"/>
        <v>10760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96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105</v>
      </c>
      <c r="B290" s="191">
        <f>'Données projet'!D263</f>
        <v>357</v>
      </c>
      <c r="C290" s="204">
        <v>50</v>
      </c>
      <c r="D290" s="189">
        <f t="shared" si="14"/>
        <v>17850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>Peuplier Flevo</v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16</v>
      </c>
      <c r="B302" s="191">
        <f>'Données projet'!D270</f>
        <v>300</v>
      </c>
      <c r="C302" s="202">
        <v>50</v>
      </c>
      <c r="D302" s="192">
        <f>B302*C302</f>
        <v>15000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2025-04-18T09:25:37Z</dcterms:modified>
</cp:coreProperties>
</file>