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Beaumarché (32) - Banakas Pascale\"/>
    </mc:Choice>
  </mc:AlternateContent>
  <xr:revisionPtr revIDLastSave="0" documentId="13_ncr:1_{D5FD403D-9329-4A36-AB38-1C0A17BBE595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BC38" i="2" a="1"/>
  <c r="BC3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7" i="2" l="1" a="1"/>
  <c r="BC117" i="2" s="1"/>
  <c r="BC164" i="2" a="1"/>
  <c r="BC164" i="2" s="1"/>
  <c r="BC55" i="2" a="1"/>
  <c r="BC55" i="2" s="1"/>
  <c r="BC192" i="2" a="1"/>
  <c r="BC192" i="2" s="1"/>
  <c r="BC18" i="2" a="1"/>
  <c r="BC18" i="2" s="1"/>
  <c r="BC151" i="2" a="1"/>
  <c r="BC151" i="2" s="1"/>
  <c r="BC65" i="2" a="1"/>
  <c r="BC65" i="2" s="1"/>
  <c r="BC31" i="2" a="1"/>
  <c r="BC31" i="2" s="1"/>
  <c r="BC114" i="2" a="1"/>
  <c r="BC114" i="2" s="1"/>
  <c r="BC84" i="2" a="1"/>
  <c r="BC84" i="2" s="1"/>
  <c r="BC32" i="2" a="1"/>
  <c r="BC32" i="2" s="1"/>
  <c r="BC181" i="2" a="1"/>
  <c r="BC181" i="2" s="1"/>
  <c r="BC82" i="2" a="1"/>
  <c r="BC82" i="2" s="1"/>
  <c r="BC47" i="2" a="1"/>
  <c r="BC47" i="2" s="1"/>
  <c r="BC130" i="2" a="1"/>
  <c r="BC130" i="2" s="1"/>
  <c r="AH199" i="2" a="1"/>
  <c r="AH199" i="2" s="1"/>
  <c r="BC143" i="2" a="1"/>
  <c r="BC143" i="2" s="1"/>
  <c r="BC126" i="2" a="1"/>
  <c r="BC126" i="2" s="1"/>
  <c r="BC68" i="2" a="1"/>
  <c r="BC68" i="2" s="1"/>
  <c r="BC58" i="2" a="1"/>
  <c r="BC58" i="2" s="1"/>
  <c r="BC7" i="2" a="1"/>
  <c r="BC7" i="2" s="1"/>
  <c r="BC185" i="2" a="1"/>
  <c r="BC185" i="2" s="1"/>
  <c r="BC34" i="2" a="1"/>
  <c r="BC34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0" i="2" l="1"/>
  <c r="CD55" i="2"/>
  <c r="CD57" i="2"/>
  <c r="CD170" i="2"/>
  <c r="CD145" i="2"/>
  <c r="CD201" i="2"/>
  <c r="CD168" i="2"/>
  <c r="CD7" i="2"/>
  <c r="CD149" i="2"/>
  <c r="CD78" i="2"/>
  <c r="CD50" i="2"/>
  <c r="CD110" i="2"/>
  <c r="CD5" i="2"/>
  <c r="CD13" i="2"/>
  <c r="CD125" i="2"/>
  <c r="CD188" i="2"/>
  <c r="CD136" i="2"/>
  <c r="CD159" i="2"/>
  <c r="CD74" i="2"/>
  <c r="CD69" i="2"/>
  <c r="CD79" i="2"/>
  <c r="CD172" i="2"/>
  <c r="CD194" i="2"/>
  <c r="CD4" i="2"/>
  <c r="CD118" i="2"/>
  <c r="CD35" i="2"/>
  <c r="CD177" i="2"/>
  <c r="CD41" i="2"/>
  <c r="CD195" i="2"/>
  <c r="CD95" i="2"/>
  <c r="CD26" i="2"/>
  <c r="CD164" i="2"/>
  <c r="CD127" i="2"/>
  <c r="CD147" i="2"/>
  <c r="CD176" i="2"/>
  <c r="CD113" i="2"/>
  <c r="CD12" i="2"/>
  <c r="CD70" i="2"/>
  <c r="CD157" i="2"/>
  <c r="CD71" i="2"/>
  <c r="CD114" i="2"/>
  <c r="CD87" i="2"/>
  <c r="CD92" i="2"/>
  <c r="CD45" i="2"/>
  <c r="CD192" i="2"/>
  <c r="CD48" i="2"/>
  <c r="CD62" i="2"/>
  <c r="CD64" i="2"/>
  <c r="CD119" i="2"/>
  <c r="CD75" i="2"/>
  <c r="CD97" i="2"/>
  <c r="CD17" i="2"/>
  <c r="CD88" i="2"/>
  <c r="CD179" i="2"/>
  <c r="CD144" i="2"/>
  <c r="CD63" i="2"/>
  <c r="CD189" i="2"/>
  <c r="CD190" i="2"/>
  <c r="CD73" i="2"/>
  <c r="CD19" i="2"/>
  <c r="CD27" i="2"/>
  <c r="CD68" i="2"/>
  <c r="CD30" i="2"/>
  <c r="CD181" i="2"/>
  <c r="CD29" i="2"/>
  <c r="CD59" i="2"/>
  <c r="CD36" i="2"/>
  <c r="CD120" i="2"/>
  <c r="CD178" i="2"/>
  <c r="CD52" i="2"/>
  <c r="CD76" i="2"/>
  <c r="CD47" i="2"/>
  <c r="CD18" i="2"/>
  <c r="CD129" i="2"/>
  <c r="CD169" i="2"/>
  <c r="CD82" i="2"/>
  <c r="CD150" i="2"/>
  <c r="CD167" i="2"/>
  <c r="CD6" i="2"/>
  <c r="CD111" i="2"/>
  <c r="CD3" i="2"/>
  <c r="C9" i="4" s="1"/>
  <c r="E9" i="4" s="1"/>
  <c r="F9" i="4" s="1"/>
  <c r="G9" i="4" s="1"/>
  <c r="L9" i="4" s="1"/>
  <c r="CD104" i="2"/>
  <c r="CD56" i="2"/>
  <c r="CD16" i="2"/>
  <c r="CD122" i="2"/>
  <c r="CD143" i="2"/>
  <c r="CD162" i="2"/>
  <c r="CD128" i="2"/>
  <c r="CD186" i="2"/>
  <c r="CD11" i="2"/>
  <c r="CD77" i="2"/>
  <c r="CD85" i="2"/>
  <c r="CD43" i="2"/>
  <c r="CD138" i="2"/>
  <c r="CD42" i="2"/>
  <c r="CD193" i="2"/>
  <c r="CD133" i="2"/>
  <c r="CD140" i="2"/>
  <c r="CD91" i="2"/>
  <c r="CD44" i="2"/>
  <c r="CD53" i="2"/>
  <c r="CD131" i="2"/>
  <c r="CD171" i="2"/>
  <c r="CD9" i="2"/>
  <c r="CD106" i="2"/>
  <c r="CD152" i="2"/>
  <c r="CD116" i="2"/>
  <c r="CD121" i="2"/>
  <c r="CD15" i="2"/>
  <c r="CD148" i="2"/>
  <c r="CD174" i="2"/>
  <c r="CD198" i="2"/>
  <c r="CD105" i="2"/>
  <c r="CD135" i="2"/>
  <c r="CD155" i="2"/>
  <c r="CD202" i="2"/>
  <c r="CD65" i="2"/>
  <c r="CD163" i="2"/>
  <c r="CD107" i="2"/>
  <c r="CD184" i="2"/>
  <c r="CD200" i="2"/>
  <c r="CD173" i="2"/>
  <c r="CD153" i="2"/>
  <c r="CD187" i="2"/>
  <c r="CD90" i="2"/>
  <c r="CD154" i="2"/>
  <c r="CD156" i="2"/>
  <c r="CD165" i="2"/>
  <c r="CD25" i="2"/>
  <c r="CD126" i="2"/>
  <c r="CD83" i="2"/>
  <c r="CD61" i="2"/>
  <c r="CD180" i="2"/>
  <c r="CD196" i="2"/>
  <c r="CD100" i="2"/>
  <c r="CD112" i="2"/>
  <c r="CD38" i="2"/>
  <c r="CD160" i="2"/>
  <c r="CD102" i="2"/>
  <c r="CD151" i="2"/>
  <c r="CD8" i="2"/>
  <c r="CD158" i="2"/>
  <c r="CD49" i="2"/>
  <c r="CD197" i="2"/>
  <c r="CD123" i="2"/>
  <c r="CD93" i="2"/>
  <c r="CD66" i="2"/>
  <c r="CD161" i="2"/>
  <c r="CD98" i="2"/>
  <c r="CD146" i="2"/>
  <c r="CD109" i="2"/>
  <c r="CD132" i="2"/>
  <c r="CD139" i="2"/>
  <c r="CD58" i="2"/>
  <c r="CD96" i="2"/>
  <c r="CD182" i="2"/>
  <c r="CD203" i="2"/>
  <c r="CD99" i="2"/>
  <c r="CD130" i="2"/>
  <c r="CD166" i="2"/>
  <c r="CD32" i="2"/>
  <c r="CD46" i="2"/>
  <c r="CD108" i="2"/>
  <c r="CD31" i="2"/>
  <c r="CD175" i="2"/>
  <c r="CD14" i="2"/>
  <c r="CD23" i="2"/>
  <c r="CD72" i="2"/>
  <c r="CD22" i="2"/>
  <c r="CD28" i="2"/>
  <c r="CD86" i="2"/>
  <c r="CD54" i="2"/>
  <c r="CD84" i="2"/>
  <c r="CD103" i="2"/>
  <c r="CD20" i="2"/>
  <c r="CD81" i="2"/>
  <c r="CD21" i="2"/>
  <c r="CD137" i="2"/>
  <c r="CD33" i="2"/>
  <c r="CD134" i="2"/>
  <c r="CD124" i="2"/>
  <c r="CD67" i="2"/>
  <c r="CD51" i="2"/>
  <c r="CD191" i="2"/>
  <c r="CD142" i="2"/>
  <c r="CD40" i="2"/>
  <c r="CD89" i="2"/>
  <c r="CD37" i="2"/>
  <c r="CD185" i="2"/>
  <c r="CD94" i="2"/>
  <c r="CD34" i="2"/>
  <c r="CD24" i="2"/>
  <c r="CD199" i="2"/>
  <c r="CD115" i="2"/>
  <c r="CD80" i="2"/>
  <c r="CD183" i="2"/>
  <c r="CD117" i="2"/>
  <c r="CD39" i="2"/>
  <c r="CD10" i="2"/>
  <c r="CD101" i="2"/>
  <c r="CD141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5" i="2" l="1"/>
  <c r="BI133" i="2"/>
  <c r="BI68" i="2"/>
  <c r="BI9" i="2"/>
  <c r="BI181" i="2"/>
  <c r="BI71" i="2"/>
  <c r="BI163" i="2"/>
  <c r="BI47" i="2"/>
  <c r="BI60" i="2"/>
  <c r="BI140" i="2"/>
  <c r="BI196" i="2"/>
  <c r="BI162" i="2"/>
  <c r="BI101" i="2"/>
  <c r="BI123" i="2"/>
  <c r="BI173" i="2"/>
  <c r="BI15" i="2"/>
  <c r="BI49" i="2"/>
  <c r="BI50" i="2"/>
  <c r="BI41" i="2"/>
  <c r="BI132" i="2"/>
  <c r="BI3" i="2"/>
  <c r="C8" i="4" s="1"/>
  <c r="E8" i="4" s="1"/>
  <c r="F8" i="4" s="1"/>
  <c r="G8" i="4" s="1"/>
  <c r="L8" i="4" s="1"/>
  <c r="BI116" i="2"/>
  <c r="BI19" i="2"/>
  <c r="BI147" i="2"/>
  <c r="BI166" i="2"/>
  <c r="BI39" i="2"/>
  <c r="BI203" i="2"/>
  <c r="BI176" i="2"/>
  <c r="BI14" i="2"/>
  <c r="BI171" i="2"/>
  <c r="BI87" i="2"/>
  <c r="BI145" i="2"/>
  <c r="BI7" i="2"/>
  <c r="BI115" i="2"/>
  <c r="BI52" i="2"/>
  <c r="BI12" i="2"/>
  <c r="BI27" i="2"/>
  <c r="BI125" i="2"/>
  <c r="BI103" i="2"/>
  <c r="BI88" i="2"/>
  <c r="BI45" i="2"/>
  <c r="BI29" i="2"/>
  <c r="BI143" i="2"/>
  <c r="BI43" i="2"/>
  <c r="BI117" i="2"/>
  <c r="BI102" i="2"/>
  <c r="BI55" i="2"/>
  <c r="BI90" i="2"/>
  <c r="BI201" i="2"/>
  <c r="BI75" i="2"/>
  <c r="BI202" i="2"/>
  <c r="BI161" i="2"/>
  <c r="BI113" i="2"/>
  <c r="BI199" i="2"/>
  <c r="BI135" i="2"/>
  <c r="BI104" i="2"/>
  <c r="BI141" i="2"/>
  <c r="BI91" i="2"/>
  <c r="BI78" i="2"/>
  <c r="BI58" i="2"/>
  <c r="BI175" i="2"/>
  <c r="BI79" i="2"/>
  <c r="BI197" i="2"/>
  <c r="BI146" i="2"/>
  <c r="BI155" i="2"/>
  <c r="BI4" i="2"/>
  <c r="BI188" i="2"/>
  <c r="BI177" i="2"/>
  <c r="BI89" i="2"/>
  <c r="BI70" i="2"/>
  <c r="BI182" i="2"/>
  <c r="BI83" i="2"/>
  <c r="BI144" i="2"/>
  <c r="BI127" i="2"/>
  <c r="BI134" i="2"/>
  <c r="BI157" i="2"/>
  <c r="BI24" i="2"/>
  <c r="BI114" i="2"/>
  <c r="BI150" i="2"/>
  <c r="BI122" i="2"/>
  <c r="BI36" i="2"/>
  <c r="BI84" i="2"/>
  <c r="BI80" i="2"/>
  <c r="BI120" i="2"/>
  <c r="BI121" i="2"/>
  <c r="BI28" i="2"/>
  <c r="BI37" i="2"/>
  <c r="BI31" i="2"/>
  <c r="BI25" i="2"/>
  <c r="BI112" i="2"/>
  <c r="BI67" i="2"/>
  <c r="BI44" i="2"/>
  <c r="BI183" i="2"/>
  <c r="BI185" i="2"/>
  <c r="BI51" i="2"/>
  <c r="BI198" i="2"/>
  <c r="BI156" i="2"/>
  <c r="BI139" i="2"/>
  <c r="BI10" i="2"/>
  <c r="BI77" i="2"/>
  <c r="BI191" i="2"/>
  <c r="BI110" i="2"/>
  <c r="BI142" i="2"/>
  <c r="BI74" i="2"/>
  <c r="BI33" i="2"/>
  <c r="BI100" i="2"/>
  <c r="BI190" i="2"/>
  <c r="BI194" i="2"/>
  <c r="BI186" i="2"/>
  <c r="BI92" i="2"/>
  <c r="BI48" i="2"/>
  <c r="BI165" i="2"/>
  <c r="BI38" i="2"/>
  <c r="BI20" i="2"/>
  <c r="BI34" i="2"/>
  <c r="BI148" i="2"/>
  <c r="BI119" i="2"/>
  <c r="BI35" i="2"/>
  <c r="BI6" i="2"/>
  <c r="BI178" i="2"/>
  <c r="BI106" i="2"/>
  <c r="BI85" i="2"/>
  <c r="BI200" i="2"/>
  <c r="BI8" i="2"/>
  <c r="BI169" i="2"/>
  <c r="BI30" i="2"/>
  <c r="BI179" i="2"/>
  <c r="BI170" i="2"/>
  <c r="BI109" i="2"/>
  <c r="BI59" i="2"/>
  <c r="BI46" i="2"/>
  <c r="BI22" i="2"/>
  <c r="BI72" i="2"/>
  <c r="BI149" i="2"/>
  <c r="BI96" i="2"/>
  <c r="BI64" i="2"/>
  <c r="BI94" i="2"/>
  <c r="BI81" i="2"/>
  <c r="BI32" i="2"/>
  <c r="BI21" i="2"/>
  <c r="BI61" i="2"/>
  <c r="BI105" i="2"/>
  <c r="BI151" i="2"/>
  <c r="BI11" i="2"/>
  <c r="BI42" i="2"/>
  <c r="BI130" i="2"/>
  <c r="BI164" i="2"/>
  <c r="BI57" i="2"/>
  <c r="BI195" i="2"/>
  <c r="BI136" i="2"/>
  <c r="BI69" i="2"/>
  <c r="BI187" i="2"/>
  <c r="BI23" i="2"/>
  <c r="BI189" i="2"/>
  <c r="BI26" i="2"/>
  <c r="BI124" i="2"/>
  <c r="BI111" i="2"/>
  <c r="BI17" i="2"/>
  <c r="BI126" i="2"/>
  <c r="BI154" i="2"/>
  <c r="BI160" i="2"/>
  <c r="BI107" i="2"/>
  <c r="BI99" i="2"/>
  <c r="BI40" i="2"/>
  <c r="BI18" i="2"/>
  <c r="BI192" i="2"/>
  <c r="BI56" i="2"/>
  <c r="BI62" i="2"/>
  <c r="BI138" i="2"/>
  <c r="BI184" i="2"/>
  <c r="BI54" i="2"/>
  <c r="BI53" i="2"/>
  <c r="BI65" i="2"/>
  <c r="BI66" i="2"/>
  <c r="BI129" i="2"/>
  <c r="BI118" i="2"/>
  <c r="BI128" i="2"/>
  <c r="BI13" i="2"/>
  <c r="BI137" i="2"/>
  <c r="BI76" i="2"/>
  <c r="BI174" i="2"/>
  <c r="BI95" i="2"/>
  <c r="BI63" i="2"/>
  <c r="BI168" i="2"/>
  <c r="BI158" i="2"/>
  <c r="BI108" i="2"/>
  <c r="BI167" i="2"/>
  <c r="BI193" i="2"/>
  <c r="BI153" i="2"/>
  <c r="BI172" i="2"/>
  <c r="BI82" i="2"/>
  <c r="BI86" i="2"/>
  <c r="BI98" i="2"/>
  <c r="BI97" i="2"/>
  <c r="BI152" i="2"/>
  <c r="BI16" i="2"/>
  <c r="BI180" i="2"/>
  <c r="BI131" i="2"/>
  <c r="BI73" i="2"/>
  <c r="BI159" i="2"/>
  <c r="BI9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<sst xmlns="http://schemas.openxmlformats.org/spreadsheetml/2006/main" count="1172" uniqueCount="324">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</sst>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45.976451369424893</c:v>
                </c:pt>
                <c:pt idx="22">
                  <c:v>61.195253174133917</c:v>
                </c:pt>
                <c:pt idx="23">
                  <c:v>76.314953891111699</c:v>
                </c:pt>
                <c:pt idx="24">
                  <c:v>91.358114590501202</c:v>
                </c:pt>
                <c:pt idx="25">
                  <c:v>106.33917221071198</c:v>
                </c:pt>
                <c:pt idx="26">
                  <c:v>93.28198944103697</c:v>
                </c:pt>
                <c:pt idx="27">
                  <c:v>107.10595572323882</c:v>
                </c:pt>
                <c:pt idx="28">
                  <c:v>120.88592545349094</c:v>
                </c:pt>
                <c:pt idx="29">
                  <c:v>134.62762855321992</c:v>
                </c:pt>
                <c:pt idx="30">
                  <c:v>148.33552588657844</c:v>
                </c:pt>
                <c:pt idx="31">
                  <c:v>134.24638938649042</c:v>
                </c:pt>
                <c:pt idx="32">
                  <c:v>146.81397834828729</c:v>
                </c:pt>
                <c:pt idx="33">
                  <c:v>159.35586286360191</c:v>
                </c:pt>
                <c:pt idx="34">
                  <c:v>171.87435267338165</c:v>
                </c:pt>
                <c:pt idx="35">
                  <c:v>184.37139305479846</c:v>
                </c:pt>
                <c:pt idx="36">
                  <c:v>168.8416056097681</c:v>
                </c:pt>
                <c:pt idx="37">
                  <c:v>179.829386330098</c:v>
                </c:pt>
                <c:pt idx="38">
                  <c:v>190.80144399249431</c:v>
                </c:pt>
                <c:pt idx="39">
                  <c:v>201.75881092692779</c:v>
                </c:pt>
                <c:pt idx="40">
                  <c:v>212.70239804910184</c:v>
                </c:pt>
                <c:pt idx="41">
                  <c:v>195.33725403815257</c:v>
                </c:pt>
                <c:pt idx="42">
                  <c:v>204.40159586063604</c:v>
                </c:pt>
                <c:pt idx="43">
                  <c:v>213.45664137520589</c:v>
                </c:pt>
                <c:pt idx="44">
                  <c:v>222.50284096633968</c:v>
                </c:pt>
                <c:pt idx="45">
                  <c:v>231.54060536306474</c:v>
                </c:pt>
                <c:pt idx="46">
                  <c:v>213.07952740360659</c:v>
                </c:pt>
                <c:pt idx="47">
                  <c:v>220.99573745004457</c:v>
                </c:pt>
                <c:pt idx="48">
                  <c:v>228.90543935922884</c:v>
                </c:pt>
                <c:pt idx="49">
                  <c:v>236.80889001154424</c:v>
                </c:pt>
                <c:pt idx="50">
                  <c:v>244.70632771903044</c:v>
                </c:pt>
                <c:pt idx="51">
                  <c:v>230.78777111964928</c:v>
                </c:pt>
                <c:pt idx="52">
                  <c:v>237.56128239156058</c:v>
                </c:pt>
                <c:pt idx="53">
                  <c:v>244.3303922732961</c:v>
                </c:pt>
                <c:pt idx="54">
                  <c:v>251.0952400785371</c:v>
                </c:pt>
                <c:pt idx="55">
                  <c:v>257.85595699105755</c:v>
                </c:pt>
                <c:pt idx="56">
                  <c:v>246.58580846713619</c:v>
                </c:pt>
                <c:pt idx="57">
                  <c:v>252.22230966781112</c:v>
                </c:pt>
                <c:pt idx="58">
                  <c:v>257.85595699105755</c:v>
                </c:pt>
                <c:pt idx="59">
                  <c:v>263.4868216859382</c:v>
                </c:pt>
                <c:pt idx="60">
                  <c:v>269.11497170292421</c:v>
                </c:pt>
                <c:pt idx="61">
                  <c:v>260.85942671475163</c:v>
                </c:pt>
                <c:pt idx="62">
                  <c:v>265.73840375453756</c:v>
                </c:pt>
                <c:pt idx="63">
                  <c:v>270.61536157536983</c:v>
                </c:pt>
                <c:pt idx="64">
                  <c:v>275.49034176419684</c:v>
                </c:pt>
                <c:pt idx="65">
                  <c:v>280.36338431358678</c:v>
                </c:pt>
                <c:pt idx="66">
                  <c:v>272.86559571589561</c:v>
                </c:pt>
                <c:pt idx="67">
                  <c:v>276.61506059958811</c:v>
                </c:pt>
                <c:pt idx="68">
                  <c:v>280.36338431358678</c:v>
                </c:pt>
                <c:pt idx="69">
                  <c:v>284.11058429716269</c:v>
                </c:pt>
                <c:pt idx="70">
                  <c:v>287.85667749117096</c:v>
                </c:pt>
                <c:pt idx="71">
                  <c:v>282.23712370144068</c:v>
                </c:pt>
                <c:pt idx="72">
                  <c:v>285.98376820295493</c:v>
                </c:pt>
                <c:pt idx="73">
                  <c:v>289.72931420493518</c:v>
                </c:pt>
                <c:pt idx="74">
                  <c:v>293.47377793906486</c:v>
                </c:pt>
                <c:pt idx="75">
                  <c:v>297.21717518827535</c:v>
                </c:pt>
                <c:pt idx="76">
                  <c:v>292.72497100977256</c:v>
                </c:pt>
                <c:pt idx="77">
                  <c:v>295.71994327479496</c:v>
                </c:pt>
                <c:pt idx="78">
                  <c:v>298.71423892515395</c:v>
                </c:pt>
                <c:pt idx="79">
                  <c:v>301.70786571384548</c:v>
                </c:pt>
                <c:pt idx="80">
                  <c:v>304.70083122716051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2.8961771307666808</c:v>
                </c:pt>
                <c:pt idx="2">
                  <c:v>3.3019859536147678</c:v>
                </c:pt>
                <c:pt idx="3">
                  <c:v>3.7648576951805075</c:v>
                </c:pt>
                <c:pt idx="4">
                  <c:v>4.2928430413877097</c:v>
                </c:pt>
                <c:pt idx="5">
                  <c:v>4.8951320478758467</c:v>
                </c:pt>
                <c:pt idx="6">
                  <c:v>5.5822158563811621</c:v>
                </c:pt>
                <c:pt idx="7">
                  <c:v>6.3660714258299462</c:v>
                </c:pt>
                <c:pt idx="8">
                  <c:v>7.2603725615561814</c:v>
                </c:pt>
                <c:pt idx="9">
                  <c:v>8.2807309955415942</c:v>
                </c:pt>
                <c:pt idx="10">
                  <c:v>9.4449718073300684</c:v>
                </c:pt>
                <c:pt idx="11">
                  <c:v>10.773448088946672</c:v>
                </c:pt>
                <c:pt idx="12">
                  <c:v>12.289400458798582</c:v>
                </c:pt>
                <c:pt idx="13">
                  <c:v>14.019367831784123</c:v>
                </c:pt>
                <c:pt idx="14">
                  <c:v>15.993656770136946</c:v>
                </c:pt>
                <c:pt idx="15">
                  <c:v>18.246877788414086</c:v>
                </c:pt>
                <c:pt idx="16">
                  <c:v>20.818558185406825</c:v>
                </c:pt>
                <c:pt idx="17">
                  <c:v>23.75384234724072</c:v>
                </c:pt>
                <c:pt idx="18">
                  <c:v>27.104292034277432</c:v>
                </c:pt>
                <c:pt idx="19">
                  <c:v>30.928800957941164</c:v>
                </c:pt>
                <c:pt idx="20">
                  <c:v>35.294640004645778</c:v>
                </c:pt>
                <c:pt idx="21">
                  <c:v>40.278651809638959</c:v>
                </c:pt>
                <c:pt idx="22">
                  <c:v>45.968616066186307</c:v>
                </c:pt>
                <c:pt idx="23">
                  <c:v>52.464810023576398</c:v>
                </c:pt>
                <c:pt idx="24">
                  <c:v>59.881792136408279</c:v>
                </c:pt>
                <c:pt idx="25">
                  <c:v>68.350440840992832</c:v>
                </c:pt>
                <c:pt idx="26">
                  <c:v>78.964964478197544</c:v>
                </c:pt>
                <c:pt idx="27">
                  <c:v>89.543246141249099</c:v>
                </c:pt>
                <c:pt idx="28">
                  <c:v>100.09018128242467</c:v>
                </c:pt>
                <c:pt idx="29">
                  <c:v>110.60954503100668</c:v>
                </c:pt>
                <c:pt idx="30">
                  <c:v>121.10433338993421</c:v>
                </c:pt>
                <c:pt idx="31">
                  <c:v>132.01288994230126</c:v>
                </c:pt>
                <c:pt idx="32">
                  <c:v>142.89968505029853</c:v>
                </c:pt>
                <c:pt idx="33">
                  <c:v>153.76661212101567</c:v>
                </c:pt>
                <c:pt idx="34">
                  <c:v>164.61527459906236</c:v>
                </c:pt>
                <c:pt idx="35">
                  <c:v>175.44704698546437</c:v>
                </c:pt>
                <c:pt idx="36">
                  <c:v>158.97616013715961</c:v>
                </c:pt>
                <c:pt idx="37">
                  <c:v>170.683067921874</c:v>
                </c:pt>
                <c:pt idx="38">
                  <c:v>182.37107382631726</c:v>
                </c:pt>
                <c:pt idx="39">
                  <c:v>194.04156088484294</c:v>
                </c:pt>
                <c:pt idx="40">
                  <c:v>205.69573198483525</c:v>
                </c:pt>
                <c:pt idx="41">
                  <c:v>187.56004452662785</c:v>
                </c:pt>
                <c:pt idx="42">
                  <c:v>199.65479696514799</c:v>
                </c:pt>
                <c:pt idx="43">
                  <c:v>211.73256599717897</c:v>
                </c:pt>
                <c:pt idx="44">
                  <c:v>223.79445748130729</c:v>
                </c:pt>
                <c:pt idx="45">
                  <c:v>235.84144823137373</c:v>
                </c:pt>
                <c:pt idx="46">
                  <c:v>217.76543262779288</c:v>
                </c:pt>
                <c:pt idx="47">
                  <c:v>229.81975883085656</c:v>
                </c:pt>
                <c:pt idx="48">
                  <c:v>241.8596310668822</c:v>
                </c:pt>
                <c:pt idx="49">
                  <c:v>253.88587061369637</c:v>
                </c:pt>
                <c:pt idx="50">
                  <c:v>265.89921453765214</c:v>
                </c:pt>
                <c:pt idx="51">
                  <c:v>247.87440704039236</c:v>
                </c:pt>
                <c:pt idx="52">
                  <c:v>259.89411140327809</c:v>
                </c:pt>
                <c:pt idx="53">
                  <c:v>271.9012609806943</c:v>
                </c:pt>
                <c:pt idx="54">
                  <c:v>283.89648855794513</c:v>
                </c:pt>
                <c:pt idx="55">
                  <c:v>295.88036905328909</c:v>
                </c:pt>
                <c:pt idx="56">
                  <c:v>277.90032782489612</c:v>
                </c:pt>
                <c:pt idx="57">
                  <c:v>289.88981330557948</c:v>
                </c:pt>
                <c:pt idx="58">
                  <c:v>301.86821984910245</c:v>
                </c:pt>
                <c:pt idx="59">
                  <c:v>313.83604918967245</c:v>
                </c:pt>
                <c:pt idx="60">
                  <c:v>325.79376165566788</c:v>
                </c:pt>
                <c:pt idx="61">
                  <c:v>306.99855700209656</c:v>
                </c:pt>
                <c:pt idx="62">
                  <c:v>318.10779941827195</c:v>
                </c:pt>
                <c:pt idx="63">
                  <c:v>329.20845287578493</c:v>
                </c:pt>
                <c:pt idx="64">
                  <c:v>340.30084792807554</c:v>
                </c:pt>
                <c:pt idx="65">
                  <c:v>351.38529181133816</c:v>
                </c:pt>
                <c:pt idx="66">
                  <c:v>332.62236240126646</c:v>
                </c:pt>
                <c:pt idx="67">
                  <c:v>343.7122792334419</c:v>
                </c:pt>
                <c:pt idx="68">
                  <c:v>354.79433511108573</c:v>
                </c:pt>
                <c:pt idx="69">
                  <c:v>365.86881026774455</c:v>
                </c:pt>
                <c:pt idx="70">
                  <c:v>376.93596658184924</c:v>
                </c:pt>
                <c:pt idx="71">
                  <c:v>357.35064625082174</c:v>
                </c:pt>
                <c:pt idx="72">
                  <c:v>367.57191975139949</c:v>
                </c:pt>
                <c:pt idx="73">
                  <c:v>377.78699028708593</c:v>
                </c:pt>
                <c:pt idx="74">
                  <c:v>387.99604929412607</c:v>
                </c:pt>
                <c:pt idx="75">
                  <c:v>398.19927730859035</c:v>
                </c:pt>
                <c:pt idx="76">
                  <c:v>378.2124864803132</c:v>
                </c:pt>
                <c:pt idx="77">
                  <c:v>387.99604929412607</c:v>
                </c:pt>
                <c:pt idx="78">
                  <c:v>397.77425697061261</c:v>
                </c:pt>
                <c:pt idx="79">
                  <c:v>407.54725976477238</c:v>
                </c:pt>
                <c:pt idx="80">
                  <c:v>417.31520013463069</c:v>
                </c:pt>
                <c:pt idx="81">
                  <c:v>396.92418676900951</c:v>
                </c:pt>
                <c:pt idx="82">
                  <c:v>406.27281033369195</c:v>
                </c:pt>
                <c:pt idx="83">
                  <c:v>415.61678554670061</c:v>
                </c:pt>
                <c:pt idx="84">
                  <c:v>424.95623169130653</c:v>
                </c:pt>
                <c:pt idx="85">
                  <c:v>434.29126237791087</c:v>
                </c:pt>
                <c:pt idx="86">
                  <c:v>413.49355670530707</c:v>
                </c:pt>
                <c:pt idx="87">
                  <c:v>422.40955259308924</c:v>
                </c:pt>
                <c:pt idx="88">
                  <c:v>431.32149760152305</c:v>
                </c:pt>
                <c:pt idx="89">
                  <c:v>440.22948726728572</c:v>
                </c:pt>
                <c:pt idx="90">
                  <c:v>449.13361294375363</c:v>
                </c:pt>
                <c:pt idx="91">
                  <c:v>427.50258239731966</c:v>
                </c:pt>
                <c:pt idx="92">
                  <c:v>435.56388503822274</c:v>
                </c:pt>
                <c:pt idx="93">
                  <c:v>443.62198593260979</c:v>
                </c:pt>
                <c:pt idx="94">
                  <c:v>451.67695146856249</c:v>
                </c:pt>
                <c:pt idx="95">
                  <c:v>459.72884547202892</c:v>
                </c:pt>
                <c:pt idx="96">
                  <c:v>437.68474556682236</c:v>
                </c:pt>
                <c:pt idx="97">
                  <c:v>445.31802652910511</c:v>
                </c:pt>
                <c:pt idx="98">
                  <c:v>452.94850575135803</c:v>
                </c:pt>
                <c:pt idx="99">
                  <c:v>460.57623711354859</c:v>
                </c:pt>
                <c:pt idx="100">
                  <c:v>468.20127256453412</c:v>
                </c:pt>
                <c:pt idx="101">
                  <c:v>447.86182820601539</c:v>
                </c:pt>
                <c:pt idx="102">
                  <c:v>455.06759339862265</c:v>
                </c:pt>
                <c:pt idx="103">
                  <c:v>462.27092062343576</c:v>
                </c:pt>
                <c:pt idx="104">
                  <c:v>469.47185324887147</c:v>
                </c:pt>
                <c:pt idx="105">
                  <c:v>476.67043320372539</c:v>
                </c:pt>
                <c:pt idx="106">
                  <c:v>455.4913855857551</c:v>
                </c:pt>
                <c:pt idx="107">
                  <c:v>461.84726219579608</c:v>
                </c:pt>
                <c:pt idx="108">
                  <c:v>468.20127256453424</c:v>
                </c:pt>
                <c:pt idx="109">
                  <c:v>474.55344560757004</c:v>
                </c:pt>
                <c:pt idx="110">
                  <c:v>480.90380940277959</c:v>
                </c:pt>
                <c:pt idx="111">
                  <c:v>459.30513714899706</c:v>
                </c:pt>
                <c:pt idx="112">
                  <c:v>465.23629811002075</c:v>
                </c:pt>
                <c:pt idx="113">
                  <c:v>471.16584690222788</c:v>
                </c:pt>
                <c:pt idx="114">
                  <c:v>477.09380669036199</c:v>
                </c:pt>
                <c:pt idx="115">
                  <c:v>483.02020001617825</c:v>
                </c:pt>
                <c:pt idx="116">
                  <c:v>460.57623711354881</c:v>
                </c:pt>
                <c:pt idx="117">
                  <c:v>465.65989049624068</c:v>
                </c:pt>
                <c:pt idx="118">
                  <c:v>470.7423606700952</c:v>
                </c:pt>
                <c:pt idx="119">
                  <c:v>475.82366222228615</c:v>
                </c:pt>
                <c:pt idx="120">
                  <c:v>480.9038094027797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1.9746416049804285</c:v>
                </c:pt>
                <c:pt idx="2">
                  <c:v>2.2509696987730163</c:v>
                </c:pt>
                <c:pt idx="3">
                  <c:v>2.566106407367668</c:v>
                </c:pt>
                <c:pt idx="4">
                  <c:v>2.9255207530290543</c:v>
                </c:pt>
                <c:pt idx="5">
                  <c:v>3.3354549320675164</c:v>
                </c:pt>
                <c:pt idx="6">
                  <c:v>3.8030339464912619</c:v>
                </c:pt>
                <c:pt idx="7">
                  <c:v>4.3363908236525202</c:v>
                </c:pt>
                <c:pt idx="8">
                  <c:v>4.9448096458951891</c:v>
                </c:pt>
                <c:pt idx="9">
                  <c:v>5.6388889296865754</c:v>
                </c:pt>
                <c:pt idx="10">
                  <c:v>6.4307282566472246</c:v>
                </c:pt>
                <c:pt idx="11">
                  <c:v>7.3341414738014095</c:v>
                </c:pt>
                <c:pt idx="12">
                  <c:v>8.3649002547148612</c:v>
                </c:pt>
                <c:pt idx="13">
                  <c:v>9.5410123554957611</c:v>
                </c:pt>
                <c:pt idx="14">
                  <c:v>10.883039519666218</c:v>
                </c:pt>
                <c:pt idx="15">
                  <c:v>12.414460694823878</c:v>
                </c:pt>
                <c:pt idx="16">
                  <c:v>14.162087034570909</c:v>
                </c:pt>
                <c:pt idx="17">
                  <c:v>16.15653608599067</c:v>
                </c:pt>
                <c:pt idx="18">
                  <c:v>18.432773622701795</c:v>
                </c:pt>
                <c:pt idx="19">
                  <c:v>21.030732795318858</c:v>
                </c:pt>
                <c:pt idx="20">
                  <c:v>23.996021656852246</c:v>
                </c:pt>
                <c:pt idx="21">
                  <c:v>27.380731705185912</c:v>
                </c:pt>
                <c:pt idx="22">
                  <c:v>31.244361896879429</c:v>
                </c:pt>
                <c:pt idx="23">
                  <c:v>35.654874658866753</c:v>
                </c:pt>
                <c:pt idx="24">
                  <c:v>40.689902794596783</c:v>
                </c:pt>
                <c:pt idx="25">
                  <c:v>46.438128891600911</c:v>
                </c:pt>
                <c:pt idx="26">
                  <c:v>53.641954591289988</c:v>
                </c:pt>
                <c:pt idx="27">
                  <c:v>60.820276546495258</c:v>
                </c:pt>
                <c:pt idx="28">
                  <c:v>67.976539723086475</c:v>
                </c:pt>
                <c:pt idx="29">
                  <c:v>75.113400707379952</c:v>
                </c:pt>
                <c:pt idx="30">
                  <c:v>82.232967808738451</c:v>
                </c:pt>
                <c:pt idx="31">
                  <c:v>89.632636103290338</c:v>
                </c:pt>
                <c:pt idx="32">
                  <c:v>97.016990708955873</c:v>
                </c:pt>
                <c:pt idx="33">
                  <c:v>104.38736403026746</c:v>
                </c:pt>
                <c:pt idx="34">
                  <c:v>111.74488442302163</c:v>
                </c:pt>
                <c:pt idx="35">
                  <c:v>119.09051913372679</c:v>
                </c:pt>
                <c:pt idx="36">
                  <c:v>107.92051495671598</c:v>
                </c:pt>
                <c:pt idx="37">
                  <c:v>115.85984782918003</c:v>
                </c:pt>
                <c:pt idx="38">
                  <c:v>123.78587930910233</c:v>
                </c:pt>
                <c:pt idx="39">
                  <c:v>131.6995826479569</c:v>
                </c:pt>
                <c:pt idx="40">
                  <c:v>139.60180432646686</c:v>
                </c:pt>
                <c:pt idx="41">
                  <c:v>127.30454982664817</c:v>
                </c:pt>
                <c:pt idx="42">
                  <c:v>135.50574130628803</c:v>
                </c:pt>
                <c:pt idx="43">
                  <c:v>143.69498143753455</c:v>
                </c:pt>
                <c:pt idx="44">
                  <c:v>151.87304842123052</c:v>
                </c:pt>
                <c:pt idx="45">
                  <c:v>160.04062964847927</c:v>
                </c:pt>
                <c:pt idx="46">
                  <c:v>147.78536667282091</c:v>
                </c:pt>
                <c:pt idx="47">
                  <c:v>155.95810991244028</c:v>
                </c:pt>
                <c:pt idx="48">
                  <c:v>164.12068178886196</c:v>
                </c:pt>
                <c:pt idx="49">
                  <c:v>172.27366024134895</c:v>
                </c:pt>
                <c:pt idx="50">
                  <c:v>180.4175639489298</c:v>
                </c:pt>
                <c:pt idx="51">
                  <c:v>168.19833649533192</c:v>
                </c:pt>
                <c:pt idx="52">
                  <c:v>176.34671609069377</c:v>
                </c:pt>
                <c:pt idx="53">
                  <c:v>184.48626079093347</c:v>
                </c:pt>
                <c:pt idx="54">
                  <c:v>192.6174158917361</c:v>
                </c:pt>
                <c:pt idx="55">
                  <c:v>200.74058596732002</c:v>
                </c:pt>
                <c:pt idx="56">
                  <c:v>188.55286086725974</c:v>
                </c:pt>
                <c:pt idx="57">
                  <c:v>196.67997521236182</c:v>
                </c:pt>
                <c:pt idx="58">
                  <c:v>204.79929322768081</c:v>
                </c:pt>
                <c:pt idx="59">
                  <c:v>212.91116798727833</c:v>
                </c:pt>
                <c:pt idx="60">
                  <c:v>221.01592342762945</c:v>
                </c:pt>
                <c:pt idx="61">
                  <c:v>208.27670288557758</c:v>
                </c:pt>
                <c:pt idx="62">
                  <c:v>215.80652476655166</c:v>
                </c:pt>
                <c:pt idx="63">
                  <c:v>223.3303025339743</c:v>
                </c:pt>
                <c:pt idx="64">
                  <c:v>230.84826880073911</c:v>
                </c:pt>
                <c:pt idx="65">
                  <c:v>238.36063977122171</c:v>
                </c:pt>
                <c:pt idx="66">
                  <c:v>225.64413155603947</c:v>
                </c:pt>
                <c:pt idx="67">
                  <c:v>233.16035388103322</c:v>
                </c:pt>
                <c:pt idx="68">
                  <c:v>240.67104439435124</c:v>
                </c:pt>
                <c:pt idx="69">
                  <c:v>248.17640029840672</c:v>
                </c:pt>
                <c:pt idx="70">
                  <c:v>255.67660587898308</c:v>
                </c:pt>
                <c:pt idx="71">
                  <c:v>242.40351617973022</c:v>
                </c:pt>
                <c:pt idx="72">
                  <c:v>249.33060885818895</c:v>
                </c:pt>
                <c:pt idx="73">
                  <c:v>256.25333646450889</c:v>
                </c:pt>
                <c:pt idx="74">
                  <c:v>263.17183371378752</c:v>
                </c:pt>
                <c:pt idx="75">
                  <c:v>270.08622765058885</c:v>
                </c:pt>
                <c:pt idx="76">
                  <c:v>256.54169073764297</c:v>
                </c:pt>
                <c:pt idx="77">
                  <c:v>263.17183371378752</c:v>
                </c:pt>
                <c:pt idx="78">
                  <c:v>269.79820824030321</c:v>
                </c:pt>
                <c:pt idx="79">
                  <c:v>276.42092005274134</c:v>
                </c:pt>
                <c:pt idx="80">
                  <c:v>283.04006939986493</c:v>
                </c:pt>
                <c:pt idx="81">
                  <c:v>269.22214864231609</c:v>
                </c:pt>
                <c:pt idx="82">
                  <c:v>275.55729219724816</c:v>
                </c:pt>
                <c:pt idx="83">
                  <c:v>281.88916467282746</c:v>
                </c:pt>
                <c:pt idx="84">
                  <c:v>288.21785000957146</c:v>
                </c:pt>
                <c:pt idx="85">
                  <c:v>294.54342815595732</c:v>
                </c:pt>
                <c:pt idx="86">
                  <c:v>280.45038555869695</c:v>
                </c:pt>
                <c:pt idx="87">
                  <c:v>286.49215636284219</c:v>
                </c:pt>
                <c:pt idx="88">
                  <c:v>292.53107653331614</c:v>
                </c:pt>
                <c:pt idx="89">
                  <c:v>298.56721329998305</c:v>
                </c:pt>
                <c:pt idx="90">
                  <c:v>304.60063094888767</c:v>
                </c:pt>
                <c:pt idx="91">
                  <c:v>289.94331256428501</c:v>
                </c:pt>
                <c:pt idx="92">
                  <c:v>295.40577049938889</c:v>
                </c:pt>
                <c:pt idx="93">
                  <c:v>300.86597534185779</c:v>
                </c:pt>
                <c:pt idx="94">
                  <c:v>306.3239738094739</c:v>
                </c:pt>
                <c:pt idx="95">
                  <c:v>311.77981081702814</c:v>
                </c:pt>
                <c:pt idx="96">
                  <c:v>296.84288301434083</c:v>
                </c:pt>
                <c:pt idx="97">
                  <c:v>302.01520947361507</c:v>
                </c:pt>
                <c:pt idx="98">
                  <c:v>307.18556432776842</c:v>
                </c:pt>
                <c:pt idx="99">
                  <c:v>312.35398549253119</c:v>
                </c:pt>
                <c:pt idx="100">
                  <c:v>317.52050952469767</c:v>
                </c:pt>
                <c:pt idx="101">
                  <c:v>303.73887825775068</c:v>
                </c:pt>
                <c:pt idx="102">
                  <c:v>308.62142925305045</c:v>
                </c:pt>
                <c:pt idx="103">
                  <c:v>313.50226463243433</c:v>
                </c:pt>
                <c:pt idx="104">
                  <c:v>318.38141491457719</c:v>
                </c:pt>
                <c:pt idx="105">
                  <c:v>323.25890960508121</c:v>
                </c:pt>
                <c:pt idx="106">
                  <c:v>308.90858440452911</c:v>
                </c:pt>
                <c:pt idx="107">
                  <c:v>313.21520360849729</c:v>
                </c:pt>
                <c:pt idx="108">
                  <c:v>317.52050952469773</c:v>
                </c:pt>
                <c:pt idx="109">
                  <c:v>321.82452250125181</c:v>
                </c:pt>
                <c:pt idx="110">
                  <c:v>326.12726229676804</c:v>
                </c:pt>
                <c:pt idx="111">
                  <c:v>311.49271468133554</c:v>
                </c:pt>
                <c:pt idx="112">
                  <c:v>315.51152888688654</c:v>
                </c:pt>
                <c:pt idx="113">
                  <c:v>319.52920859735212</c:v>
                </c:pt>
                <c:pt idx="114">
                  <c:v>323.54577011393309</c:v>
                </c:pt>
                <c:pt idx="115">
                  <c:v>327.56122929942904</c:v>
                </c:pt>
                <c:pt idx="116">
                  <c:v>312.35398549253131</c:v>
                </c:pt>
                <c:pt idx="117">
                  <c:v>315.79854343698958</c:v>
                </c:pt>
                <c:pt idx="118">
                  <c:v>319.24226874866315</c:v>
                </c:pt>
                <c:pt idx="119">
                  <c:v>322.68517169265391</c:v>
                </c:pt>
                <c:pt idx="120">
                  <c:v>326.12726229676815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D8" sqref="D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1.7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0.75</v>
      </c>
      <c r="D9" s="36">
        <f t="shared" ref="D9:D18" si="0">C9*$C$5</f>
        <v>1.2749999999999999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21</v>
      </c>
      <c r="C10" s="35">
        <v>8.3000000000000004E-2</v>
      </c>
      <c r="D10" s="36">
        <f t="shared" si="0"/>
        <v>0.1411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15</v>
      </c>
      <c r="C11" s="35">
        <v>8.3000000000000004E-2</v>
      </c>
      <c r="D11" s="36">
        <f t="shared" si="0"/>
        <v>0.1411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50</v>
      </c>
      <c r="C12" s="35">
        <v>8.3000000000000004E-2</v>
      </c>
      <c r="D12" s="36">
        <f t="shared" si="0"/>
        <v>0.1411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0.99899999999999989</v>
      </c>
      <c r="D19" s="41">
        <f>SUM(D9:D18)</f>
        <v>1.6982999999999999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30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54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35</v>
      </c>
      <c r="B38" s="63">
        <v>79</v>
      </c>
      <c r="C38" s="63">
        <v>3</v>
      </c>
      <c r="D38" s="63">
        <v>13</v>
      </c>
      <c r="E38" s="54"/>
      <c r="F38" s="54"/>
      <c r="G38" s="54"/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40</v>
      </c>
      <c r="B39" s="63">
        <v>93</v>
      </c>
      <c r="C39" s="63">
        <v>4</v>
      </c>
      <c r="D39" s="63">
        <v>14</v>
      </c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45</v>
      </c>
      <c r="B40" s="63">
        <v>107</v>
      </c>
      <c r="C40" s="63">
        <v>5</v>
      </c>
      <c r="D40" s="63">
        <v>14</v>
      </c>
      <c r="E40" s="54"/>
      <c r="F40" s="54"/>
      <c r="G40" s="54"/>
      <c r="H40" s="54"/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50</v>
      </c>
      <c r="B41" s="63">
        <v>121</v>
      </c>
      <c r="C41" s="63">
        <v>6</v>
      </c>
      <c r="D41" s="63">
        <v>14</v>
      </c>
      <c r="E41" s="54"/>
      <c r="F41" s="54"/>
      <c r="G41" s="54"/>
      <c r="H41" s="54"/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55</v>
      </c>
      <c r="B42" s="63">
        <v>135</v>
      </c>
      <c r="C42" s="63">
        <v>7</v>
      </c>
      <c r="D42" s="63">
        <v>14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60</v>
      </c>
      <c r="B43" s="63">
        <v>149</v>
      </c>
      <c r="C43" s="63">
        <v>8</v>
      </c>
      <c r="D43" s="63">
        <v>14</v>
      </c>
      <c r="E43" s="54"/>
      <c r="F43" s="54"/>
      <c r="G43" s="54"/>
      <c r="H43" s="54"/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65</v>
      </c>
      <c r="B44" s="63">
        <v>161</v>
      </c>
      <c r="C44" s="63">
        <v>9</v>
      </c>
      <c r="D44" s="63">
        <v>14</v>
      </c>
      <c r="E44" s="54"/>
      <c r="F44" s="54"/>
      <c r="G44" s="54"/>
      <c r="H44" s="54"/>
      <c r="I44" s="52">
        <f t="shared" si="1"/>
        <v>5.2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70</v>
      </c>
      <c r="B45" s="63">
        <v>173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5.2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75</v>
      </c>
      <c r="B46" s="63">
        <v>183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4.8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80</v>
      </c>
      <c r="B47" s="63">
        <v>192</v>
      </c>
      <c r="C47" s="63">
        <v>12</v>
      </c>
      <c r="D47" s="63">
        <v>14</v>
      </c>
      <c r="E47" s="54"/>
      <c r="F47" s="54"/>
      <c r="G47" s="54"/>
      <c r="H47" s="54"/>
      <c r="I47" s="52">
        <f t="shared" si="1"/>
        <v>4.5999999999999996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85</v>
      </c>
      <c r="B48" s="63">
        <v>200</v>
      </c>
      <c r="C48" s="63">
        <v>13</v>
      </c>
      <c r="D48" s="63">
        <v>14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90</v>
      </c>
      <c r="B49" s="63">
        <v>207</v>
      </c>
      <c r="C49" s="63">
        <v>14</v>
      </c>
      <c r="D49" s="63">
        <v>14</v>
      </c>
      <c r="E49" s="54"/>
      <c r="F49" s="54"/>
      <c r="G49" s="54"/>
      <c r="H49" s="54"/>
      <c r="I49" s="52">
        <f t="shared" si="1"/>
        <v>4.2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95</v>
      </c>
      <c r="B50" s="53">
        <v>212</v>
      </c>
      <c r="C50" s="53">
        <v>15</v>
      </c>
      <c r="D50" s="53">
        <v>14</v>
      </c>
      <c r="E50" s="54"/>
      <c r="F50" s="54"/>
      <c r="G50" s="54"/>
      <c r="H50" s="54"/>
      <c r="I50" s="52">
        <f t="shared" si="1"/>
        <v>3.8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100</v>
      </c>
      <c r="B51" s="53">
        <v>216</v>
      </c>
      <c r="C51" s="53">
        <v>16</v>
      </c>
      <c r="D51" s="53">
        <v>13</v>
      </c>
      <c r="E51" s="54"/>
      <c r="F51" s="54"/>
      <c r="G51" s="54"/>
      <c r="H51" s="54"/>
      <c r="I51" s="52">
        <f t="shared" si="1"/>
        <v>3.6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105</v>
      </c>
      <c r="B52" s="53">
        <v>220</v>
      </c>
      <c r="C52" s="53">
        <v>17</v>
      </c>
      <c r="D52" s="53">
        <v>13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110</v>
      </c>
      <c r="B53" s="53">
        <v>222</v>
      </c>
      <c r="C53" s="53">
        <v>18</v>
      </c>
      <c r="D53" s="53">
        <v>13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115</v>
      </c>
      <c r="B54" s="53">
        <v>223</v>
      </c>
      <c r="C54" s="53">
        <v>19</v>
      </c>
      <c r="D54" s="53">
        <v>13</v>
      </c>
      <c r="E54" s="54"/>
      <c r="F54" s="54"/>
      <c r="G54" s="54"/>
      <c r="H54" s="54"/>
      <c r="I54" s="52">
        <f t="shared" si="1"/>
        <v>2.8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120</v>
      </c>
      <c r="B55" s="53">
        <v>222</v>
      </c>
      <c r="C55" s="53">
        <v>20</v>
      </c>
      <c r="D55" s="53">
        <v>222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Erable champêtre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18</v>
      </c>
      <c r="C62" s="63">
        <v>1</v>
      </c>
      <c r="D62" s="63">
        <v>3</v>
      </c>
      <c r="E62" s="54"/>
      <c r="F62" s="54"/>
      <c r="G62" s="54">
        <v>1</v>
      </c>
      <c r="H62" s="54">
        <v>0</v>
      </c>
      <c r="I62" s="56">
        <f>IFERROR(B62/A62,"")</f>
        <v>0.9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54</v>
      </c>
      <c r="C63" s="63">
        <v>2</v>
      </c>
      <c r="D63" s="63">
        <v>14</v>
      </c>
      <c r="E63" s="54"/>
      <c r="F63" s="54">
        <v>0.3</v>
      </c>
      <c r="G63" s="54">
        <v>0.7</v>
      </c>
      <c r="H63" s="54"/>
      <c r="I63" s="52">
        <f>IF(A63&lt;&gt;0,(B63-(B62-D62))/(A63-A62),"")</f>
        <v>7.8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76</v>
      </c>
      <c r="C64" s="63">
        <v>3</v>
      </c>
      <c r="D64" s="63">
        <v>14</v>
      </c>
      <c r="E64" s="54"/>
      <c r="F64" s="54">
        <v>0.5</v>
      </c>
      <c r="G64" s="54">
        <v>0.5</v>
      </c>
      <c r="H64" s="54"/>
      <c r="I64" s="52">
        <f>IF(A64&lt;&gt;0,(B64-(B63-D63))/(A64-A63),"")</f>
        <v>7.2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95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6.6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110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120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4.8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127</v>
      </c>
      <c r="C68" s="63">
        <v>7</v>
      </c>
      <c r="D68" s="63">
        <v>11</v>
      </c>
      <c r="E68" s="54"/>
      <c r="F68" s="54"/>
      <c r="G68" s="54"/>
      <c r="H68" s="54"/>
      <c r="I68" s="52">
        <f t="shared" si="2"/>
        <v>4.2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134</v>
      </c>
      <c r="C69" s="53">
        <v>8</v>
      </c>
      <c r="D69" s="53">
        <v>9</v>
      </c>
      <c r="E69" s="54"/>
      <c r="F69" s="54"/>
      <c r="G69" s="54"/>
      <c r="H69" s="54"/>
      <c r="I69" s="52">
        <f t="shared" si="2"/>
        <v>3.6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140</v>
      </c>
      <c r="C70" s="53">
        <v>9</v>
      </c>
      <c r="D70" s="53">
        <v>7</v>
      </c>
      <c r="E70" s="54"/>
      <c r="F70" s="54"/>
      <c r="G70" s="54"/>
      <c r="H70" s="54"/>
      <c r="I70" s="52">
        <f t="shared" si="2"/>
        <v>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146</v>
      </c>
      <c r="C71" s="53">
        <v>10</v>
      </c>
      <c r="D71" s="53">
        <v>6</v>
      </c>
      <c r="E71" s="54"/>
      <c r="F71" s="54"/>
      <c r="G71" s="54"/>
      <c r="H71" s="54"/>
      <c r="I71" s="52">
        <f t="shared" si="2"/>
        <v>2.6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150</v>
      </c>
      <c r="C72" s="53">
        <v>11</v>
      </c>
      <c r="D72" s="53">
        <v>5</v>
      </c>
      <c r="E72" s="54"/>
      <c r="F72" s="54"/>
      <c r="G72" s="54"/>
      <c r="H72" s="54"/>
      <c r="I72" s="52">
        <f t="shared" si="2"/>
        <v>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155</v>
      </c>
      <c r="C73" s="53">
        <v>12</v>
      </c>
      <c r="D73" s="53">
        <v>4</v>
      </c>
      <c r="E73" s="54"/>
      <c r="F73" s="54"/>
      <c r="G73" s="54"/>
      <c r="H73" s="54"/>
      <c r="I73" s="52">
        <f t="shared" si="2"/>
        <v>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159</v>
      </c>
      <c r="C74" s="53">
        <v>13</v>
      </c>
      <c r="D74" s="53">
        <v>159</v>
      </c>
      <c r="E74" s="54"/>
      <c r="F74" s="54"/>
      <c r="G74" s="54"/>
      <c r="H74" s="54"/>
      <c r="I74" s="52">
        <f t="shared" si="2"/>
        <v>1.6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tauzin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25</v>
      </c>
      <c r="B88" s="63">
        <v>30</v>
      </c>
      <c r="C88" s="63">
        <v>1</v>
      </c>
      <c r="D88" s="63">
        <v>0</v>
      </c>
      <c r="E88" s="54"/>
      <c r="F88" s="54"/>
      <c r="G88" s="54"/>
      <c r="H88" s="54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3">
        <v>54</v>
      </c>
      <c r="C89" s="63">
        <v>2</v>
      </c>
      <c r="D89" s="63">
        <v>0</v>
      </c>
      <c r="E89" s="54"/>
      <c r="F89" s="54"/>
      <c r="G89" s="54"/>
      <c r="H89" s="54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35</v>
      </c>
      <c r="B90" s="63">
        <v>79</v>
      </c>
      <c r="C90" s="63">
        <v>3</v>
      </c>
      <c r="D90" s="63">
        <v>13</v>
      </c>
      <c r="E90" s="54"/>
      <c r="F90" s="54">
        <v>0.5</v>
      </c>
      <c r="G90" s="54">
        <v>0.5</v>
      </c>
      <c r="H90" s="54"/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40</v>
      </c>
      <c r="B91" s="63">
        <v>93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45</v>
      </c>
      <c r="B92" s="63">
        <v>107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50</v>
      </c>
      <c r="B93" s="63">
        <v>121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55</v>
      </c>
      <c r="B94" s="63">
        <v>135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60</v>
      </c>
      <c r="B95" s="63">
        <v>149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65</v>
      </c>
      <c r="B96" s="63">
        <v>161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70</v>
      </c>
      <c r="B97" s="63">
        <v>173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75</v>
      </c>
      <c r="B98" s="63">
        <v>183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4.8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80</v>
      </c>
      <c r="B99" s="63">
        <v>192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85</v>
      </c>
      <c r="B100" s="63">
        <v>200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90</v>
      </c>
      <c r="B101" s="63">
        <v>207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95</v>
      </c>
      <c r="B102" s="53">
        <v>212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100</v>
      </c>
      <c r="B103" s="53">
        <v>216</v>
      </c>
      <c r="C103" s="63">
        <v>16</v>
      </c>
      <c r="D103" s="53">
        <v>13</v>
      </c>
      <c r="E103" s="57"/>
      <c r="F103" s="57"/>
      <c r="G103" s="57"/>
      <c r="H103" s="57"/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105</v>
      </c>
      <c r="B104" s="53">
        <v>220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110</v>
      </c>
      <c r="B105" s="53">
        <v>222</v>
      </c>
      <c r="C105" s="53">
        <v>18</v>
      </c>
      <c r="D105" s="53">
        <v>13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115</v>
      </c>
      <c r="B106" s="53">
        <v>223</v>
      </c>
      <c r="C106" s="53">
        <v>19</v>
      </c>
      <c r="D106" s="53">
        <v>13</v>
      </c>
      <c r="E106" s="57"/>
      <c r="F106" s="57"/>
      <c r="G106" s="57"/>
      <c r="H106" s="57"/>
      <c r="I106" s="56">
        <f t="shared" si="3"/>
        <v>2.8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120</v>
      </c>
      <c r="B107" s="53">
        <v>222</v>
      </c>
      <c r="C107" s="53">
        <v>20</v>
      </c>
      <c r="D107" s="53">
        <v>222</v>
      </c>
      <c r="E107" s="57"/>
      <c r="F107" s="57"/>
      <c r="G107" s="57"/>
      <c r="H107" s="57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Tilleul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25</v>
      </c>
      <c r="B114" s="63">
        <v>30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v>54</v>
      </c>
      <c r="C115" s="53">
        <v>2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35</v>
      </c>
      <c r="B116" s="63">
        <v>79</v>
      </c>
      <c r="C116" s="53">
        <v>3</v>
      </c>
      <c r="D116" s="63">
        <v>13</v>
      </c>
      <c r="E116" s="54"/>
      <c r="F116" s="54">
        <v>0.5</v>
      </c>
      <c r="G116" s="54">
        <v>0.5</v>
      </c>
      <c r="H116" s="54"/>
      <c r="I116" s="56">
        <f t="shared" si="4"/>
        <v>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40</v>
      </c>
      <c r="B117" s="63">
        <v>93</v>
      </c>
      <c r="C117" s="53">
        <v>4</v>
      </c>
      <c r="D117" s="63">
        <v>14</v>
      </c>
      <c r="E117" s="54"/>
      <c r="F117" s="54"/>
      <c r="G117" s="54"/>
      <c r="H117" s="54"/>
      <c r="I117" s="56">
        <f t="shared" si="4"/>
        <v>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45</v>
      </c>
      <c r="B118" s="63">
        <v>107</v>
      </c>
      <c r="C118" s="53">
        <v>5</v>
      </c>
      <c r="D118" s="63">
        <v>14</v>
      </c>
      <c r="E118" s="54"/>
      <c r="F118" s="54"/>
      <c r="G118" s="54"/>
      <c r="H118" s="54"/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50</v>
      </c>
      <c r="B119" s="63">
        <v>121</v>
      </c>
      <c r="C119" s="53">
        <v>6</v>
      </c>
      <c r="D119" s="63">
        <v>14</v>
      </c>
      <c r="E119" s="54"/>
      <c r="F119" s="54"/>
      <c r="G119" s="54"/>
      <c r="H119" s="54"/>
      <c r="I119" s="56">
        <f t="shared" si="4"/>
        <v>5.6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55</v>
      </c>
      <c r="B120" s="63">
        <v>135</v>
      </c>
      <c r="C120" s="63">
        <v>7</v>
      </c>
      <c r="D120" s="63">
        <v>14</v>
      </c>
      <c r="E120" s="93"/>
      <c r="F120" s="93"/>
      <c r="G120" s="93"/>
      <c r="H120" s="93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60</v>
      </c>
      <c r="B121" s="63">
        <v>149</v>
      </c>
      <c r="C121" s="63">
        <v>8</v>
      </c>
      <c r="D121" s="63">
        <v>14</v>
      </c>
      <c r="E121" s="93"/>
      <c r="F121" s="93"/>
      <c r="G121" s="93"/>
      <c r="H121" s="93"/>
      <c r="I121" s="56">
        <f t="shared" si="4"/>
        <v>5.6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65</v>
      </c>
      <c r="B122" s="63">
        <v>161</v>
      </c>
      <c r="C122" s="63">
        <v>9</v>
      </c>
      <c r="D122" s="63">
        <v>14</v>
      </c>
      <c r="E122" s="93"/>
      <c r="F122" s="93"/>
      <c r="G122" s="93"/>
      <c r="H122" s="93"/>
      <c r="I122" s="56">
        <f t="shared" si="4"/>
        <v>5.2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70</v>
      </c>
      <c r="B123" s="63">
        <v>173</v>
      </c>
      <c r="C123" s="63">
        <v>10</v>
      </c>
      <c r="D123" s="63">
        <v>14</v>
      </c>
      <c r="E123" s="93"/>
      <c r="F123" s="93"/>
      <c r="G123" s="93"/>
      <c r="H123" s="93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75</v>
      </c>
      <c r="B124" s="63">
        <v>183</v>
      </c>
      <c r="C124" s="63">
        <v>11</v>
      </c>
      <c r="D124" s="63">
        <v>14</v>
      </c>
      <c r="E124" s="93"/>
      <c r="F124" s="93"/>
      <c r="G124" s="93"/>
      <c r="H124" s="93"/>
      <c r="I124" s="56">
        <f t="shared" si="4"/>
        <v>4.8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80</v>
      </c>
      <c r="B125" s="63">
        <v>192</v>
      </c>
      <c r="C125" s="63">
        <v>12</v>
      </c>
      <c r="D125" s="63">
        <v>14</v>
      </c>
      <c r="E125" s="93"/>
      <c r="F125" s="93"/>
      <c r="G125" s="93"/>
      <c r="H125" s="93"/>
      <c r="I125" s="56">
        <f t="shared" si="4"/>
        <v>4.5999999999999996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85</v>
      </c>
      <c r="B126" s="63">
        <v>200</v>
      </c>
      <c r="C126" s="63">
        <v>13</v>
      </c>
      <c r="D126" s="63">
        <v>14</v>
      </c>
      <c r="E126" s="68"/>
      <c r="F126" s="68"/>
      <c r="G126" s="68"/>
      <c r="H126" s="68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90</v>
      </c>
      <c r="B127" s="63">
        <v>207</v>
      </c>
      <c r="C127" s="63">
        <v>14</v>
      </c>
      <c r="D127" s="63">
        <v>14</v>
      </c>
      <c r="E127" s="68"/>
      <c r="F127" s="68"/>
      <c r="G127" s="68"/>
      <c r="H127" s="68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95</v>
      </c>
      <c r="B128" s="53">
        <v>212</v>
      </c>
      <c r="C128" s="53">
        <v>15</v>
      </c>
      <c r="D128" s="53">
        <v>14</v>
      </c>
      <c r="E128" s="57"/>
      <c r="F128" s="57"/>
      <c r="G128" s="57"/>
      <c r="H128" s="57"/>
      <c r="I128" s="56">
        <f t="shared" si="4"/>
        <v>3.8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100</v>
      </c>
      <c r="B129" s="53">
        <v>216</v>
      </c>
      <c r="C129" s="53">
        <v>16</v>
      </c>
      <c r="D129" s="53">
        <v>13</v>
      </c>
      <c r="E129" s="57"/>
      <c r="F129" s="57"/>
      <c r="G129" s="57"/>
      <c r="H129" s="57"/>
      <c r="I129" s="56">
        <f t="shared" si="4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105</v>
      </c>
      <c r="B130" s="53">
        <v>220</v>
      </c>
      <c r="C130" s="53">
        <v>17</v>
      </c>
      <c r="D130" s="53">
        <v>13</v>
      </c>
      <c r="E130" s="57"/>
      <c r="F130" s="57"/>
      <c r="G130" s="57"/>
      <c r="H130" s="57"/>
      <c r="I130" s="56">
        <f t="shared" si="4"/>
        <v>3.4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110</v>
      </c>
      <c r="B131" s="53">
        <v>222</v>
      </c>
      <c r="C131" s="53">
        <v>18</v>
      </c>
      <c r="D131" s="53">
        <v>13</v>
      </c>
      <c r="E131" s="57"/>
      <c r="F131" s="57"/>
      <c r="G131" s="57"/>
      <c r="H131" s="57"/>
      <c r="I131" s="56">
        <f t="shared" si="4"/>
        <v>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115</v>
      </c>
      <c r="B132" s="53">
        <v>223</v>
      </c>
      <c r="C132" s="53">
        <v>19</v>
      </c>
      <c r="D132" s="53">
        <v>13</v>
      </c>
      <c r="E132" s="57"/>
      <c r="F132" s="57"/>
      <c r="G132" s="57"/>
      <c r="H132" s="57"/>
      <c r="I132" s="56">
        <f t="shared" si="4"/>
        <v>2.8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120</v>
      </c>
      <c r="B133" s="53">
        <v>222</v>
      </c>
      <c r="C133" s="53">
        <v>20</v>
      </c>
      <c r="D133" s="53">
        <v>222</v>
      </c>
      <c r="E133" s="57"/>
      <c r="F133" s="57"/>
      <c r="G133" s="57"/>
      <c r="H133" s="57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12" sqref="C1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pubescent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Erable champêtre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tauzin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Tilleul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345.67675698621832</v>
      </c>
      <c r="T3" s="62">
        <f>IF('Données projet'!E9&gt;30,$R$33-$H$33,LOOKUP('Données projet'!$E$9,$A$3:$A$203,R3:R203)-LOOKUP('Données projet'!$E$9,$A$3:$A$203,$H$3:$H$203))</f>
        <v>178.72086185623849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219.21539650048186</v>
      </c>
      <c r="AO3" s="62">
        <f>IF('Données projet'!E10&gt;30,$AM$33-$H$33,LOOKUP('Données projet'!$E$10,$A$3:$A$203,AM3:AM203)-LOOKUP('Données projet'!$E$10,$A$3:$A$203,$H$3:$H$203))</f>
        <v>204.10961748628708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341.48836779133632</v>
      </c>
      <c r="BJ3" s="62">
        <f>IF('Données projet'!E11&gt;30,$BH$33-$H$33,LOOKUP('Données projet'!$E$11,$A$3:$A$203,BH3:BH203)-LOOKUP('Données projet'!$E$11,$A$3:$A$203,$H$3:$H$203))</f>
        <v>176.87842498964287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253.16238957399855</v>
      </c>
      <c r="CE3" s="62">
        <f>IF('Données projet'!E12&gt;30,$CC$33-$H$33,LOOKUP('Données projet'!$E$12,$A$3:$A$203,CC3:CC203)-LOOKUP('Données projet'!$E$12,$A$3:$A$203,$H$3:$H$203))</f>
        <v>138.00705940844708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1.161777082395637</v>
      </c>
      <c r="P4" s="14">
        <f>EXP(-1.0587+0.8836*LN(O4)+0.284)</f>
        <v>0.52613182870286601</v>
      </c>
      <c r="Q4" s="22">
        <f t="shared" ref="Q4:Q34" si="2">(O4+P4)*0.475*44/12</f>
        <v>2.9397746868298928</v>
      </c>
      <c r="R4" s="62">
        <f t="shared" si="0"/>
        <v>170.75220863975375</v>
      </c>
      <c r="S4" s="62">
        <f ca="1">AVERAGE(OFFSET($R$3,0,0,'Données projet'!$E$9+1,1))-AVERAGE(OFFSET($H$3,0,0,'Données projet'!$E$9+1,1))</f>
        <v>345.67675698621832</v>
      </c>
      <c r="T4" s="62">
        <f>$T$3</f>
        <v>178.72086185623849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0.9</v>
      </c>
      <c r="AI4" s="14">
        <f>IF('Données projet'!$A$62&gt;35,AI3+AH4-AQ3,IF(A4&lt;'Données projet'!$A$62,$AF$205^A4,IF(A4='Données projet'!$A$62,'Données projet'!$B$62,AI3+AH4-AQ3)))</f>
        <v>1.1554831727638066</v>
      </c>
      <c r="AJ4" s="14">
        <f>AI4*VLOOKUP('Données projet'!$B$10,Paramètres!$A$1:$I$89,3,0)*VLOOKUP('Données projet'!$B$10,Paramètres!$A$1:$I$89,5,0)</f>
        <v>1.0094300997264616</v>
      </c>
      <c r="AK4" s="14">
        <f>EXP(-1.0587+0.8836*LN(AJ4)+0.284)</f>
        <v>0.46467984937949935</v>
      </c>
      <c r="AL4" s="22">
        <f t="shared" ref="AL4:AL67" si="4">(AJ4+AK4)*0.475*44/12</f>
        <v>2.5674081613595483</v>
      </c>
      <c r="AM4" s="62">
        <f t="shared" ref="AM4:AM67" si="5">AL4+(AD4+AE4)*44/12</f>
        <v>170.37984211428338</v>
      </c>
      <c r="AN4" s="62">
        <f ca="1">AVERAGE(OFFSET($AM$3,0,0,'Données projet'!$E$10+1,1))-AVERAGE(OFFSET($H$3,0,0,'Données projet'!$E$10+1,1))</f>
        <v>219.21539650048186</v>
      </c>
      <c r="AO4" s="62">
        <f>$AO$3</f>
        <v>204.10961748628708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1.1439035888203195</v>
      </c>
      <c r="BF4" s="14">
        <f>EXP(-1.0587+0.8836*LN(BE4)+0.284)</f>
        <v>0.51897323267251172</v>
      </c>
      <c r="BG4" s="22">
        <f t="shared" ref="BG4:BG67" si="7">(BE4+BF4)*0.475*44/12</f>
        <v>2.8961771307666808</v>
      </c>
      <c r="BH4" s="62">
        <f t="shared" ref="BH4:BH67" si="8">BG4+(AY4+AZ4)*44/12</f>
        <v>170.70861108369053</v>
      </c>
      <c r="BI4" s="62">
        <f ca="1">AVERAGE(OFFSET($BH$3,0,0,'Données projet'!$E$11+1,1))-AVERAGE(OFFSET($H$3,0,0,'Données projet'!$E$11+1,1))</f>
        <v>341.48836779133632</v>
      </c>
      <c r="BJ4" s="62">
        <f>$BJ$3</f>
        <v>176.87842498964287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>
        <f>BY4*VLOOKUP('Données projet'!$B$12,Paramètres!$A$1:$I$89,3,0)*VLOOKUP('Données projet'!$B$12,Paramètres!$A$1:$I$89,5,0)</f>
        <v>0.76856022373865229</v>
      </c>
      <c r="CA4" s="14">
        <f>EXP(-1.0587+0.8836*LN(BZ4)+0.284)</f>
        <v>0.36520529108264627</v>
      </c>
      <c r="CB4" s="22">
        <f t="shared" ref="CB4:CB67" si="10">(BZ4+CA4)*0.475*44/12</f>
        <v>1.9746416049804285</v>
      </c>
      <c r="CC4" s="62">
        <f t="shared" ref="CC4:CC67" si="11">CB4+(BT4+BU4)*44/12</f>
        <v>169.78707555790427</v>
      </c>
      <c r="CD4" s="62">
        <f ca="1">AVERAGE(OFFSET($CC$3,0,0,'Données projet'!$E$12+1,1))-AVERAGE(OFFSET($H$3,0,0,'Données projet'!$E$12+1,1))</f>
        <v>253.16238957399855</v>
      </c>
      <c r="CE4" s="62">
        <f>$CE$3</f>
        <v>138.00705940844708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1.3310907191121488</v>
      </c>
      <c r="P5" s="14">
        <f t="shared" ref="P5:P68" si="33">EXP(-1.0587+0.8836*LN(O5)+0.284)</f>
        <v>0.59333770733536928</v>
      </c>
      <c r="Q5" s="22">
        <f t="shared" si="2"/>
        <v>3.3517128427294267</v>
      </c>
      <c r="R5" s="62">
        <f t="shared" si="0"/>
        <v>173.94899413023026</v>
      </c>
      <c r="S5" s="62">
        <f ca="1">AVERAGE(OFFSET($R$3,0,0,'Données projet'!$E$9+1,1))-AVERAGE(OFFSET($H$3,0,0,'Données projet'!$E$9+1,1))</f>
        <v>345.67675698621832</v>
      </c>
      <c r="T5" s="62">
        <f t="shared" ref="T5:T68" si="34">$T$3</f>
        <v>178.72086185623849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0.9</v>
      </c>
      <c r="AI5" s="14">
        <f>IF('Données projet'!$A$62&gt;35,AI4+AH5-AQ4,IF(A5&lt;'Données projet'!$A$62,$AF$205^A5,IF(A5='Données projet'!$A$62,'Données projet'!$B$62,AI4+AH5-AQ4)))</f>
        <v>1.335141362540313</v>
      </c>
      <c r="AJ5" s="14">
        <f>AI5*VLOOKUP('Données projet'!$B$10,Paramètres!$A$1:$I$89,3,0)*VLOOKUP('Données projet'!$B$10,Paramètres!$A$1:$I$89,5,0)</f>
        <v>1.1663794943152175</v>
      </c>
      <c r="AK5" s="14">
        <f t="shared" ref="AK5:AK68" si="35">EXP(-1.0587+0.8836*LN(AJ5)+0.284)</f>
        <v>0.52797307958445927</v>
      </c>
      <c r="AL5" s="22">
        <f t="shared" si="4"/>
        <v>2.9509973995419365</v>
      </c>
      <c r="AM5" s="62">
        <f t="shared" si="5"/>
        <v>173.54827868704277</v>
      </c>
      <c r="AN5" s="62">
        <f ca="1">AVERAGE(OFFSET($AM$3,0,0,'Données projet'!$E$10+1,1))-AVERAGE(OFFSET($H$3,0,0,'Données projet'!$E$10+1,1))</f>
        <v>219.21539650048186</v>
      </c>
      <c r="AO5" s="62">
        <f t="shared" ref="AO5:AO68" si="36">$AO$3</f>
        <v>204.10961748628708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1.3106124003565773</v>
      </c>
      <c r="BF5" s="14">
        <f t="shared" ref="BF5:BF68" si="37">EXP(-1.0587+0.8836*LN(BE5)+0.284)</f>
        <v>0.58526470219735627</v>
      </c>
      <c r="BG5" s="22">
        <f t="shared" si="7"/>
        <v>3.3019859536147678</v>
      </c>
      <c r="BH5" s="62">
        <f t="shared" si="8"/>
        <v>173.89926724111561</v>
      </c>
      <c r="BI5" s="62">
        <f ca="1">AVERAGE(OFFSET($BH$3,0,0,'Données projet'!$E$11+1,1))-AVERAGE(OFFSET($H$3,0,0,'Données projet'!$E$11+1,1))</f>
        <v>341.48836779133632</v>
      </c>
      <c r="BJ5" s="62">
        <f t="shared" ref="BJ5:BJ68" si="38">$BJ$3</f>
        <v>176.87842498964287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>
        <f>BY5*VLOOKUP('Données projet'!$B$12,Paramètres!$A$1:$I$89,3,0)*VLOOKUP('Données projet'!$B$12,Paramètres!$A$1:$I$89,5,0)</f>
        <v>0.88056770648957527</v>
      </c>
      <c r="CA5" s="14">
        <f t="shared" ref="CA5:CA68" si="39">EXP(-1.0587+0.8836*LN(BZ5)+0.284)</f>
        <v>0.41185508706430995</v>
      </c>
      <c r="CB5" s="22">
        <f t="shared" si="10"/>
        <v>2.2509696987730163</v>
      </c>
      <c r="CC5" s="62">
        <f t="shared" si="11"/>
        <v>172.84825098627385</v>
      </c>
      <c r="CD5" s="62">
        <f ca="1">AVERAGE(OFFSET($CC$3,0,0,'Données projet'!$E$12+1,1))-AVERAGE(OFFSET($H$3,0,0,'Données projet'!$E$12+1,1))</f>
        <v>253.16238957399855</v>
      </c>
      <c r="CE5" s="62">
        <f t="shared" ref="CE5:CE68" si="40">$CE$3</f>
        <v>138.00705940844708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1.525079577962547</v>
      </c>
      <c r="P6" s="14">
        <f t="shared" si="33"/>
        <v>0.6691281837366525</v>
      </c>
      <c r="Q6" s="22">
        <f t="shared" si="2"/>
        <v>3.8215785182927724</v>
      </c>
      <c r="R6" s="62">
        <f t="shared" si="0"/>
        <v>177.17659908817765</v>
      </c>
      <c r="S6" s="62">
        <f ca="1">AVERAGE(OFFSET($R$3,0,0,'Données projet'!$E$9+1,1))-AVERAGE(OFFSET($H$3,0,0,'Données projet'!$E$9+1,1))</f>
        <v>345.67675698621832</v>
      </c>
      <c r="T6" s="62">
        <f t="shared" si="34"/>
        <v>178.72086185623849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0.9</v>
      </c>
      <c r="AI6" s="14">
        <f>IF('Données projet'!$A$62&gt;35,AI5+AH6-AQ5,IF(A6&lt;'Données projet'!$A$62,$AF$205^A6,IF(A6='Données projet'!$A$62,'Données projet'!$B$62,AI5+AH6-AQ5)))</f>
        <v>1.5427333776762726</v>
      </c>
      <c r="AJ6" s="14">
        <f>AI6*VLOOKUP('Données projet'!$B$10,Paramètres!$A$1:$I$89,3,0)*VLOOKUP('Données projet'!$B$10,Paramètres!$A$1:$I$89,5,0)</f>
        <v>1.3477318787379919</v>
      </c>
      <c r="AK6" s="14">
        <f t="shared" si="35"/>
        <v>0.59988737006377257</v>
      </c>
      <c r="AL6" s="22">
        <f t="shared" si="4"/>
        <v>3.3921035249964064</v>
      </c>
      <c r="AM6" s="62">
        <f t="shared" si="5"/>
        <v>176.74712409488129</v>
      </c>
      <c r="AN6" s="62">
        <f ca="1">AVERAGE(OFFSET($AM$3,0,0,'Données projet'!$E$10+1,1))-AVERAGE(OFFSET($H$3,0,0,'Données projet'!$E$10+1,1))</f>
        <v>219.21539650048186</v>
      </c>
      <c r="AO6" s="62">
        <f t="shared" si="36"/>
        <v>204.10961748628708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1.5016168152246616</v>
      </c>
      <c r="BF6" s="14">
        <f t="shared" si="37"/>
        <v>0.66002396669716124</v>
      </c>
      <c r="BG6" s="22">
        <f t="shared" si="7"/>
        <v>3.7648576951805075</v>
      </c>
      <c r="BH6" s="62">
        <f t="shared" si="8"/>
        <v>177.11987826506538</v>
      </c>
      <c r="BI6" s="62">
        <f ca="1">AVERAGE(OFFSET($BH$3,0,0,'Données projet'!$E$11+1,1))-AVERAGE(OFFSET($H$3,0,0,'Données projet'!$E$11+1,1))</f>
        <v>341.48836779133632</v>
      </c>
      <c r="BJ6" s="62">
        <f t="shared" si="38"/>
        <v>176.87842498964287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>
        <f>BY6*VLOOKUP('Données projet'!$B$12,Paramètres!$A$1:$I$89,3,0)*VLOOKUP('Données projet'!$B$12,Paramètres!$A$1:$I$89,5,0)</f>
        <v>1.0088987977290695</v>
      </c>
      <c r="CA6" s="14">
        <f t="shared" si="39"/>
        <v>0.46446373281696007</v>
      </c>
      <c r="CB6" s="22">
        <f t="shared" si="10"/>
        <v>2.566106407367668</v>
      </c>
      <c r="CC6" s="62">
        <f t="shared" si="11"/>
        <v>175.92112697725256</v>
      </c>
      <c r="CD6" s="62">
        <f ca="1">AVERAGE(OFFSET($CC$3,0,0,'Données projet'!$E$12+1,1))-AVERAGE(OFFSET($H$3,0,0,'Données projet'!$E$12+1,1))</f>
        <v>253.16238957399855</v>
      </c>
      <c r="CE6" s="62">
        <f t="shared" si="40"/>
        <v>138.00705940844708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1.7473397460616347</v>
      </c>
      <c r="P7" s="14">
        <f t="shared" si="33"/>
        <v>0.7545998185105095</v>
      </c>
      <c r="Q7" s="22">
        <f t="shared" si="2"/>
        <v>4.3575447416298188</v>
      </c>
      <c r="R7" s="62">
        <f t="shared" si="0"/>
        <v>180.44366680580677</v>
      </c>
      <c r="S7" s="62">
        <f ca="1">AVERAGE(OFFSET($R$3,0,0,'Données projet'!$E$9+1,1))-AVERAGE(OFFSET($H$3,0,0,'Données projet'!$E$9+1,1))</f>
        <v>345.67675698621832</v>
      </c>
      <c r="T7" s="62">
        <f t="shared" si="34"/>
        <v>178.72086185623849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0.9</v>
      </c>
      <c r="AI7" s="14">
        <f>IF('Données projet'!$A$62&gt;35,AI6+AH7-AQ6,IF(A7&lt;'Données projet'!$A$62,$AF$205^A7,IF(A7='Données projet'!$A$62,'Données projet'!$B$62,AI6+AH7-AQ6)))</f>
        <v>1.7826024579660036</v>
      </c>
      <c r="AJ7" s="14">
        <f>AI7*VLOOKUP('Données projet'!$B$10,Paramètres!$A$1:$I$89,3,0)*VLOOKUP('Données projet'!$B$10,Paramètres!$A$1:$I$89,5,0)</f>
        <v>1.5572815072791011</v>
      </c>
      <c r="AK7" s="14">
        <f t="shared" si="35"/>
        <v>0.68159698037116012</v>
      </c>
      <c r="AL7" s="22">
        <f t="shared" si="4"/>
        <v>3.8993800326575379</v>
      </c>
      <c r="AM7" s="62">
        <f t="shared" si="5"/>
        <v>179.98550209683449</v>
      </c>
      <c r="AN7" s="62">
        <f ca="1">AVERAGE(OFFSET($AM$3,0,0,'Données projet'!$E$10+1,1))-AVERAGE(OFFSET($H$3,0,0,'Données projet'!$E$10+1,1))</f>
        <v>219.21539650048186</v>
      </c>
      <c r="AO7" s="62">
        <f t="shared" si="36"/>
        <v>204.10961748628708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1.7204575961222248</v>
      </c>
      <c r="BF7" s="14">
        <f t="shared" si="37"/>
        <v>0.74433266687550348</v>
      </c>
      <c r="BG7" s="22">
        <f t="shared" si="7"/>
        <v>4.2928430413877097</v>
      </c>
      <c r="BH7" s="62">
        <f t="shared" si="8"/>
        <v>180.37896510556465</v>
      </c>
      <c r="BI7" s="62">
        <f ca="1">AVERAGE(OFFSET($BH$3,0,0,'Données projet'!$E$11+1,1))-AVERAGE(OFFSET($H$3,0,0,'Données projet'!$E$11+1,1))</f>
        <v>341.48836779133632</v>
      </c>
      <c r="BJ7" s="62">
        <f t="shared" si="38"/>
        <v>176.87842498964287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>
        <f>BY7*VLOOKUP('Données projet'!$B$12,Paramètres!$A$1:$I$89,3,0)*VLOOKUP('Données projet'!$B$12,Paramètres!$A$1:$I$89,5,0)</f>
        <v>1.1559324473946198</v>
      </c>
      <c r="CA7" s="14">
        <f t="shared" si="39"/>
        <v>0.5237923868804355</v>
      </c>
      <c r="CB7" s="22">
        <f t="shared" si="10"/>
        <v>2.9255207530290543</v>
      </c>
      <c r="CC7" s="62">
        <f t="shared" si="11"/>
        <v>179.011642817206</v>
      </c>
      <c r="CD7" s="62">
        <f ca="1">AVERAGE(OFFSET($CC$3,0,0,'Données projet'!$E$12+1,1))-AVERAGE(OFFSET($H$3,0,0,'Données projet'!$E$12+1,1))</f>
        <v>253.16238957399855</v>
      </c>
      <c r="CE7" s="62">
        <f t="shared" si="40"/>
        <v>138.00705940844708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2.0019913926365076</v>
      </c>
      <c r="P8" s="14">
        <f t="shared" si="33"/>
        <v>0.85098924232460604</v>
      </c>
      <c r="Q8" s="22">
        <f t="shared" si="2"/>
        <v>4.9689412725572728</v>
      </c>
      <c r="R8" s="62">
        <f t="shared" si="0"/>
        <v>183.75998914900461</v>
      </c>
      <c r="S8" s="62">
        <f ca="1">AVERAGE(OFFSET($R$3,0,0,'Données projet'!$E$9+1,1))-AVERAGE(OFFSET($H$3,0,0,'Données projet'!$E$9+1,1))</f>
        <v>345.67675698621832</v>
      </c>
      <c r="T8" s="62">
        <f t="shared" si="34"/>
        <v>178.72086185623849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0.9</v>
      </c>
      <c r="AI8" s="14">
        <f>IF('Données projet'!$A$62&gt;35,AI7+AH8-AQ7,IF(A8&lt;'Données projet'!$A$62,$AF$205^A8,IF(A8='Données projet'!$A$62,'Données projet'!$B$62,AI7+AH8-AQ7)))</f>
        <v>2.0597671439071181</v>
      </c>
      <c r="AJ8" s="14">
        <f>AI8*VLOOKUP('Données projet'!$B$10,Paramètres!$A$1:$I$89,3,0)*VLOOKUP('Données projet'!$B$10,Paramètres!$A$1:$I$89,5,0)</f>
        <v>1.7994125769172586</v>
      </c>
      <c r="AK8" s="14">
        <f t="shared" si="35"/>
        <v>0.77443611390200762</v>
      </c>
      <c r="AL8" s="22">
        <f t="shared" si="4"/>
        <v>4.4827864698435551</v>
      </c>
      <c r="AM8" s="62">
        <f t="shared" si="5"/>
        <v>183.2738343462909</v>
      </c>
      <c r="AN8" s="62">
        <f ca="1">AVERAGE(OFFSET($AM$3,0,0,'Données projet'!$E$10+1,1))-AVERAGE(OFFSET($H$3,0,0,'Données projet'!$E$10+1,1))</f>
        <v>219.21539650048186</v>
      </c>
      <c r="AO8" s="62">
        <f t="shared" si="36"/>
        <v>204.10961748628708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1.9711915250574847</v>
      </c>
      <c r="BF8" s="14">
        <f t="shared" si="37"/>
        <v>0.83941060769419773</v>
      </c>
      <c r="BG8" s="22">
        <f t="shared" si="7"/>
        <v>4.8951320478758467</v>
      </c>
      <c r="BH8" s="62">
        <f t="shared" si="8"/>
        <v>183.6861799243232</v>
      </c>
      <c r="BI8" s="62">
        <f ca="1">AVERAGE(OFFSET($BH$3,0,0,'Données projet'!$E$11+1,1))-AVERAGE(OFFSET($H$3,0,0,'Données projet'!$E$11+1,1))</f>
        <v>341.48836779133632</v>
      </c>
      <c r="BJ8" s="62">
        <f t="shared" si="38"/>
        <v>176.87842498964287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>
        <f>BY8*VLOOKUP('Données projet'!$B$12,Paramètres!$A$1:$I$89,3,0)*VLOOKUP('Données projet'!$B$12,Paramètres!$A$1:$I$89,5,0)</f>
        <v>1.3243943058979974</v>
      </c>
      <c r="CA8" s="14">
        <f t="shared" si="39"/>
        <v>0.59069943500201205</v>
      </c>
      <c r="CB8" s="22">
        <f t="shared" si="10"/>
        <v>3.3354549320675164</v>
      </c>
      <c r="CC8" s="62">
        <f t="shared" si="11"/>
        <v>182.12650280851486</v>
      </c>
      <c r="CD8" s="62">
        <f ca="1">AVERAGE(OFFSET($CC$3,0,0,'Données projet'!$E$12+1,1))-AVERAGE(OFFSET($H$3,0,0,'Données projet'!$E$12+1,1))</f>
        <v>253.16238957399855</v>
      </c>
      <c r="CE8" s="62">
        <f t="shared" si="40"/>
        <v>138.00705940844708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2.2937551470595863</v>
      </c>
      <c r="P9" s="14">
        <f t="shared" si="33"/>
        <v>0.95969104787443238</v>
      </c>
      <c r="Q9" s="22">
        <f t="shared" si="2"/>
        <v>5.6664187895100824</v>
      </c>
      <c r="R9" s="62">
        <f t="shared" si="0"/>
        <v>187.13667088576906</v>
      </c>
      <c r="S9" s="62">
        <f ca="1">AVERAGE(OFFSET($R$3,0,0,'Données projet'!$E$9+1,1))-AVERAGE(OFFSET($H$3,0,0,'Données projet'!$E$9+1,1))</f>
        <v>345.67675698621832</v>
      </c>
      <c r="T9" s="62">
        <f t="shared" si="34"/>
        <v>178.72086185623849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0.9</v>
      </c>
      <c r="AI9" s="14">
        <f>IF('Données projet'!$A$62&gt;35,AI8+AH9-AQ8,IF(A9&lt;'Données projet'!$A$62,$AF$205^A9,IF(A9='Données projet'!$A$62,'Données projet'!$B$62,AI8+AH9-AQ8)))</f>
        <v>2.3800262745964411</v>
      </c>
      <c r="AJ9" s="14">
        <f>AI9*VLOOKUP('Données projet'!$B$10,Paramètres!$A$1:$I$89,3,0)*VLOOKUP('Données projet'!$B$10,Paramètres!$A$1:$I$89,5,0)</f>
        <v>2.0791909534874513</v>
      </c>
      <c r="AK9" s="14">
        <f t="shared" si="35"/>
        <v>0.87992070356451979</v>
      </c>
      <c r="AL9" s="22">
        <f t="shared" si="4"/>
        <v>5.1537861360321822</v>
      </c>
      <c r="AM9" s="62">
        <f t="shared" si="5"/>
        <v>186.62403823229116</v>
      </c>
      <c r="AN9" s="62">
        <f ca="1">AVERAGE(OFFSET($AM$3,0,0,'Données projet'!$E$10+1,1))-AVERAGE(OFFSET($H$3,0,0,'Données projet'!$E$10+1,1))</f>
        <v>219.21539650048186</v>
      </c>
      <c r="AO9" s="62">
        <f t="shared" si="36"/>
        <v>204.10961748628708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2.2584666063355923</v>
      </c>
      <c r="BF9" s="14">
        <f t="shared" si="37"/>
        <v>0.94663340689761111</v>
      </c>
      <c r="BG9" s="22">
        <f t="shared" si="7"/>
        <v>5.5822158563811621</v>
      </c>
      <c r="BH9" s="62">
        <f t="shared" si="8"/>
        <v>187.05246795264014</v>
      </c>
      <c r="BI9" s="62">
        <f ca="1">AVERAGE(OFFSET($BH$3,0,0,'Données projet'!$E$11+1,1))-AVERAGE(OFFSET($H$3,0,0,'Données projet'!$E$11+1,1))</f>
        <v>341.48836779133632</v>
      </c>
      <c r="BJ9" s="62">
        <f t="shared" si="38"/>
        <v>176.87842498964287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>
        <f>BY9*VLOOKUP('Données projet'!$B$12,Paramètres!$A$1:$I$89,3,0)*VLOOKUP('Données projet'!$B$12,Paramètres!$A$1:$I$89,5,0)</f>
        <v>1.517407251131726</v>
      </c>
      <c r="CA9" s="14">
        <f t="shared" si="39"/>
        <v>0.66615290953311335</v>
      </c>
      <c r="CB9" s="22">
        <f t="shared" si="10"/>
        <v>3.8030339464912619</v>
      </c>
      <c r="CC9" s="62">
        <f t="shared" si="11"/>
        <v>185.27328604275024</v>
      </c>
      <c r="CD9" s="62">
        <f ca="1">AVERAGE(OFFSET($CC$3,0,0,'Données projet'!$E$12+1,1))-AVERAGE(OFFSET($H$3,0,0,'Données projet'!$E$12+1,1))</f>
        <v>253.16238957399855</v>
      </c>
      <c r="CE9" s="62">
        <f t="shared" si="40"/>
        <v>138.00705940844708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2.6280396079692911</v>
      </c>
      <c r="P10" s="14">
        <f t="shared" si="33"/>
        <v>1.082277967291873</v>
      </c>
      <c r="Q10" s="22">
        <f t="shared" si="2"/>
        <v>6.4621364435798609</v>
      </c>
      <c r="R10" s="62">
        <f t="shared" si="0"/>
        <v>190.58631737931609</v>
      </c>
      <c r="S10" s="62">
        <f ca="1">AVERAGE(OFFSET($R$3,0,0,'Données projet'!$E$9+1,1))-AVERAGE(OFFSET($H$3,0,0,'Données projet'!$E$9+1,1))</f>
        <v>345.67675698621832</v>
      </c>
      <c r="T10" s="62">
        <f t="shared" si="34"/>
        <v>178.72086185623849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0.9</v>
      </c>
      <c r="AI10" s="14">
        <f>IF('Données projet'!$A$62&gt;35,AI9+AH10-AQ9,IF(A10&lt;'Données projet'!$A$62,$AF$205^A10,IF(A10='Données projet'!$A$62,'Données projet'!$B$62,AI9+AH10-AQ9)))</f>
        <v>2.7500803110319185</v>
      </c>
      <c r="AJ10" s="14">
        <f>AI10*VLOOKUP('Données projet'!$B$10,Paramètres!$A$1:$I$89,3,0)*VLOOKUP('Données projet'!$B$10,Paramètres!$A$1:$I$89,5,0)</f>
        <v>2.4024701597174842</v>
      </c>
      <c r="AK10" s="14">
        <f t="shared" si="35"/>
        <v>0.9997731648390682</v>
      </c>
      <c r="AL10" s="22">
        <f t="shared" si="4"/>
        <v>5.9255737902693291</v>
      </c>
      <c r="AM10" s="62">
        <f t="shared" si="5"/>
        <v>190.04975472600557</v>
      </c>
      <c r="AN10" s="62">
        <f ca="1">AVERAGE(OFFSET($AM$3,0,0,'Données projet'!$E$10+1,1))-AVERAGE(OFFSET($H$3,0,0,'Données projet'!$E$10+1,1))</f>
        <v>219.21539650048186</v>
      </c>
      <c r="AO10" s="62">
        <f t="shared" si="36"/>
        <v>204.10961748628708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2.5876082293851481</v>
      </c>
      <c r="BF10" s="14">
        <f t="shared" si="37"/>
        <v>1.0675523978856341</v>
      </c>
      <c r="BG10" s="22">
        <f t="shared" si="7"/>
        <v>6.3660714258299462</v>
      </c>
      <c r="BH10" s="62">
        <f t="shared" si="8"/>
        <v>190.49025236156618</v>
      </c>
      <c r="BI10" s="62">
        <f ca="1">AVERAGE(OFFSET($BH$3,0,0,'Données projet'!$E$11+1,1))-AVERAGE(OFFSET($H$3,0,0,'Données projet'!$E$11+1,1))</f>
        <v>341.48836779133632</v>
      </c>
      <c r="BJ10" s="62">
        <f t="shared" si="38"/>
        <v>176.87842498964287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>
        <f>BY10*VLOOKUP('Données projet'!$B$12,Paramètres!$A$1:$I$89,3,0)*VLOOKUP('Données projet'!$B$12,Paramètres!$A$1:$I$89,5,0)</f>
        <v>1.7385492791181465</v>
      </c>
      <c r="CA10" s="14">
        <f t="shared" si="39"/>
        <v>0.75124449522779846</v>
      </c>
      <c r="CB10" s="22">
        <f t="shared" si="10"/>
        <v>4.3363908236525202</v>
      </c>
      <c r="CC10" s="62">
        <f t="shared" si="11"/>
        <v>188.46057175938876</v>
      </c>
      <c r="CD10" s="62">
        <f ca="1">AVERAGE(OFFSET($CC$3,0,0,'Données projet'!$E$12+1,1))-AVERAGE(OFFSET($H$3,0,0,'Données projet'!$E$12+1,1))</f>
        <v>253.16238957399855</v>
      </c>
      <c r="CE10" s="62">
        <f t="shared" si="40"/>
        <v>138.00705940844708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3.0110416056871174</v>
      </c>
      <c r="P11" s="14">
        <f t="shared" si="33"/>
        <v>1.2205236269315363</v>
      </c>
      <c r="Q11" s="22">
        <f t="shared" si="2"/>
        <v>7.3699761134774882</v>
      </c>
      <c r="R11" s="62">
        <f t="shared" si="0"/>
        <v>194.12324897969805</v>
      </c>
      <c r="S11" s="62">
        <f ca="1">AVERAGE(OFFSET($R$3,0,0,'Données projet'!$E$9+1,1))-AVERAGE(OFFSET($H$3,0,0,'Données projet'!$E$9+1,1))</f>
        <v>345.67675698621832</v>
      </c>
      <c r="T11" s="62">
        <f t="shared" si="34"/>
        <v>178.72086185623849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0.9</v>
      </c>
      <c r="AI11" s="14">
        <f>IF('Données projet'!$A$62&gt;35,AI10+AH11-AQ10,IF(A11&lt;'Données projet'!$A$62,$AF$205^A11,IF(A11='Données projet'!$A$62,'Données projet'!$B$62,AI10+AH11-AQ10)))</f>
        <v>3.1776715231464374</v>
      </c>
      <c r="AJ11" s="14">
        <f>AI11*VLOOKUP('Données projet'!$B$10,Paramètres!$A$1:$I$89,3,0)*VLOOKUP('Données projet'!$B$10,Paramètres!$A$1:$I$89,5,0)</f>
        <v>2.7760138426207281</v>
      </c>
      <c r="AK11" s="14">
        <f t="shared" si="35"/>
        <v>1.135950520408497</v>
      </c>
      <c r="AL11" s="22">
        <f t="shared" si="4"/>
        <v>6.8133379322758998</v>
      </c>
      <c r="AM11" s="62">
        <f t="shared" si="5"/>
        <v>193.56661079849647</v>
      </c>
      <c r="AN11" s="62">
        <f ca="1">AVERAGE(OFFSET($AM$3,0,0,'Données projet'!$E$10+1,1))-AVERAGE(OFFSET($H$3,0,0,'Données projet'!$E$10+1,1))</f>
        <v>219.21539650048186</v>
      </c>
      <c r="AO11" s="62">
        <f t="shared" si="36"/>
        <v>204.10961748628708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2.9647178886765464</v>
      </c>
      <c r="BF11" s="14">
        <f t="shared" si="37"/>
        <v>1.2039170748963808</v>
      </c>
      <c r="BG11" s="22">
        <f t="shared" si="7"/>
        <v>7.2603725615561814</v>
      </c>
      <c r="BH11" s="62">
        <f t="shared" si="8"/>
        <v>194.01364542777674</v>
      </c>
      <c r="BI11" s="62">
        <f ca="1">AVERAGE(OFFSET($BH$3,0,0,'Données projet'!$E$11+1,1))-AVERAGE(OFFSET($H$3,0,0,'Données projet'!$E$11+1,1))</f>
        <v>341.48836779133632</v>
      </c>
      <c r="BJ11" s="62">
        <f t="shared" si="38"/>
        <v>176.87842498964287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>
        <f>BY11*VLOOKUP('Données projet'!$B$12,Paramètres!$A$1:$I$89,3,0)*VLOOKUP('Données projet'!$B$12,Paramètres!$A$1:$I$89,5,0)</f>
        <v>1.9919198314545545</v>
      </c>
      <c r="CA11" s="14">
        <f t="shared" si="39"/>
        <v>0.84720532408335292</v>
      </c>
      <c r="CB11" s="22">
        <f t="shared" si="10"/>
        <v>4.9448096458951891</v>
      </c>
      <c r="CC11" s="62">
        <f t="shared" si="11"/>
        <v>191.69808251211575</v>
      </c>
      <c r="CD11" s="62">
        <f ca="1">AVERAGE(OFFSET($CC$3,0,0,'Données projet'!$E$12+1,1))-AVERAGE(OFFSET($H$3,0,0,'Données projet'!$E$12+1,1))</f>
        <v>253.16238957399855</v>
      </c>
      <c r="CE11" s="62">
        <f t="shared" si="40"/>
        <v>138.00705940844708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3.4498610765552797</v>
      </c>
      <c r="P12" s="14">
        <f t="shared" si="33"/>
        <v>1.3764282087582862</v>
      </c>
      <c r="Q12" s="22">
        <f t="shared" si="2"/>
        <v>8.4057871719211263</v>
      </c>
      <c r="R12" s="62">
        <f t="shared" si="0"/>
        <v>197.76374592447721</v>
      </c>
      <c r="S12" s="62">
        <f ca="1">AVERAGE(OFFSET($R$3,0,0,'Données projet'!$E$9+1,1))-AVERAGE(OFFSET($H$3,0,0,'Données projet'!$E$9+1,1))</f>
        <v>345.67675698621832</v>
      </c>
      <c r="T12" s="62">
        <f t="shared" si="34"/>
        <v>178.72086185623849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0.9</v>
      </c>
      <c r="AI12" s="14">
        <f>IF('Données projet'!$A$62&gt;35,AI11+AH12-AQ11,IF(A12&lt;'Données projet'!$A$62,$AF$205^A12,IF(A12='Données projet'!$A$62,'Données projet'!$B$62,AI11+AH12-AQ11)))</f>
        <v>3.6717459735664435</v>
      </c>
      <c r="AJ12" s="14">
        <f>AI12*VLOOKUP('Données projet'!$B$10,Paramètres!$A$1:$I$89,3,0)*VLOOKUP('Données projet'!$B$10,Paramètres!$A$1:$I$89,5,0)</f>
        <v>3.2076372825076458</v>
      </c>
      <c r="AK12" s="14">
        <f t="shared" si="35"/>
        <v>1.290676355595167</v>
      </c>
      <c r="AL12" s="22">
        <f t="shared" si="4"/>
        <v>7.834562919695732</v>
      </c>
      <c r="AM12" s="62">
        <f t="shared" si="5"/>
        <v>197.19252167225181</v>
      </c>
      <c r="AN12" s="62">
        <f ca="1">AVERAGE(OFFSET($AM$3,0,0,'Données projet'!$E$10+1,1))-AVERAGE(OFFSET($H$3,0,0,'Données projet'!$E$10+1,1))</f>
        <v>219.21539650048186</v>
      </c>
      <c r="AO12" s="62">
        <f t="shared" si="36"/>
        <v>204.10961748628708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3.396786290762122</v>
      </c>
      <c r="BF12" s="14">
        <f t="shared" si="37"/>
        <v>1.3577004052426216</v>
      </c>
      <c r="BG12" s="22">
        <f t="shared" si="7"/>
        <v>8.2807309955415942</v>
      </c>
      <c r="BH12" s="62">
        <f t="shared" si="8"/>
        <v>197.63868974809768</v>
      </c>
      <c r="BI12" s="62">
        <f ca="1">AVERAGE(OFFSET($BH$3,0,0,'Données projet'!$E$11+1,1))-AVERAGE(OFFSET($H$3,0,0,'Données projet'!$E$11+1,1))</f>
        <v>341.48836779133632</v>
      </c>
      <c r="BJ12" s="62">
        <f t="shared" si="38"/>
        <v>176.87842498964287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>
        <f>BY12*VLOOKUP('Données projet'!$B$12,Paramètres!$A$1:$I$89,3,0)*VLOOKUP('Données projet'!$B$12,Paramètres!$A$1:$I$89,5,0)</f>
        <v>2.2822157891058001</v>
      </c>
      <c r="CA12" s="14">
        <f t="shared" si="39"/>
        <v>0.95542378774773573</v>
      </c>
      <c r="CB12" s="22">
        <f t="shared" si="10"/>
        <v>5.6388889296865754</v>
      </c>
      <c r="CC12" s="62">
        <f t="shared" si="11"/>
        <v>194.99684768224265</v>
      </c>
      <c r="CD12" s="62">
        <f ca="1">AVERAGE(OFFSET($CC$3,0,0,'Données projet'!$E$12+1,1))-AVERAGE(OFFSET($H$3,0,0,'Données projet'!$E$12+1,1))</f>
        <v>253.16238957399855</v>
      </c>
      <c r="CE12" s="62">
        <f t="shared" si="40"/>
        <v>138.00705940844708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3.9526326786890178</v>
      </c>
      <c r="P13" s="14">
        <f t="shared" si="33"/>
        <v>1.552247389613062</v>
      </c>
      <c r="Q13" s="22">
        <f t="shared" si="2"/>
        <v>9.5876661189594543</v>
      </c>
      <c r="R13" s="62">
        <f t="shared" si="0"/>
        <v>201.52632810400434</v>
      </c>
      <c r="S13" s="62">
        <f ca="1">AVERAGE(OFFSET($R$3,0,0,'Données projet'!$E$9+1,1))-AVERAGE(OFFSET($H$3,0,0,'Données projet'!$E$9+1,1))</f>
        <v>345.67675698621832</v>
      </c>
      <c r="T13" s="62">
        <f t="shared" si="34"/>
        <v>178.72086185623849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0.9</v>
      </c>
      <c r="AI13" s="14">
        <f>IF('Données projet'!$A$62&gt;35,AI12+AH13-AQ12,IF(A13&lt;'Données projet'!$A$62,$AF$205^A13,IF(A13='Données projet'!$A$62,'Données projet'!$B$62,AI12+AH13-AQ12)))</f>
        <v>4.2426406871192865</v>
      </c>
      <c r="AJ13" s="14">
        <f>AI13*VLOOKUP('Données projet'!$B$10,Paramètres!$A$1:$I$89,3,0)*VLOOKUP('Données projet'!$B$10,Paramètres!$A$1:$I$89,5,0)</f>
        <v>3.7063709042674091</v>
      </c>
      <c r="AK13" s="14">
        <f t="shared" si="35"/>
        <v>1.4664771263922398</v>
      </c>
      <c r="AL13" s="22">
        <f t="shared" si="4"/>
        <v>9.0093769867322209</v>
      </c>
      <c r="AM13" s="62">
        <f t="shared" si="5"/>
        <v>200.94803897177712</v>
      </c>
      <c r="AN13" s="62">
        <f ca="1">AVERAGE(OFFSET($AM$3,0,0,'Données projet'!$E$10+1,1))-AVERAGE(OFFSET($H$3,0,0,'Données projet'!$E$10+1,1))</f>
        <v>219.21539650048186</v>
      </c>
      <c r="AO13" s="62">
        <f t="shared" si="36"/>
        <v>204.10961748628708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3.8918229451707251</v>
      </c>
      <c r="BF13" s="14">
        <f t="shared" si="37"/>
        <v>1.5311273748274004</v>
      </c>
      <c r="BG13" s="22">
        <f t="shared" si="7"/>
        <v>9.4449718073300684</v>
      </c>
      <c r="BH13" s="62">
        <f t="shared" si="8"/>
        <v>201.38363379237495</v>
      </c>
      <c r="BI13" s="62">
        <f ca="1">AVERAGE(OFFSET($BH$3,0,0,'Données projet'!$E$11+1,1))-AVERAGE(OFFSET($H$3,0,0,'Données projet'!$E$11+1,1))</f>
        <v>341.48836779133632</v>
      </c>
      <c r="BJ13" s="62">
        <f t="shared" si="38"/>
        <v>176.87842498964287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>
        <f>BY13*VLOOKUP('Données projet'!$B$12,Paramètres!$A$1:$I$89,3,0)*VLOOKUP('Données projet'!$B$12,Paramètres!$A$1:$I$89,5,0)</f>
        <v>2.614818541286581</v>
      </c>
      <c r="CA13" s="14">
        <f t="shared" si="39"/>
        <v>1.0774656252094335</v>
      </c>
      <c r="CB13" s="22">
        <f t="shared" si="10"/>
        <v>6.4307282566472246</v>
      </c>
      <c r="CC13" s="62">
        <f t="shared" si="11"/>
        <v>198.36939024169212</v>
      </c>
      <c r="CD13" s="62">
        <f ca="1">AVERAGE(OFFSET($CC$3,0,0,'Données projet'!$E$12+1,1))-AVERAGE(OFFSET($H$3,0,0,'Données projet'!$E$12+1,1))</f>
        <v>253.16238957399855</v>
      </c>
      <c r="CE13" s="62">
        <f t="shared" si="40"/>
        <v>138.00705940844708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4.5286765889832141</v>
      </c>
      <c r="P14" s="14">
        <f t="shared" si="33"/>
        <v>1.7505249770594407</v>
      </c>
      <c r="Q14" s="22">
        <f t="shared" si="2"/>
        <v>10.936276060857622</v>
      </c>
      <c r="R14" s="62">
        <f t="shared" si="0"/>
        <v>205.43207466997177</v>
      </c>
      <c r="S14" s="62">
        <f ca="1">AVERAGE(OFFSET($R$3,0,0,'Données projet'!$E$9+1,1))-AVERAGE(OFFSET($H$3,0,0,'Données projet'!$E$9+1,1))</f>
        <v>345.67675698621832</v>
      </c>
      <c r="T14" s="62">
        <f t="shared" si="34"/>
        <v>178.72086185623849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0.9</v>
      </c>
      <c r="AI14" s="14">
        <f>IF('Données projet'!$A$62&gt;35,AI13+AH14-AQ13,IF(A14&lt;'Données projet'!$A$62,$AF$205^A14,IF(A14='Données projet'!$A$62,'Données projet'!$B$62,AI13+AH14-AQ13)))</f>
        <v>4.9022999220494095</v>
      </c>
      <c r="AJ14" s="14">
        <f>AI14*VLOOKUP('Données projet'!$B$10,Paramètres!$A$1:$I$89,3,0)*VLOOKUP('Données projet'!$B$10,Paramètres!$A$1:$I$89,5,0)</f>
        <v>4.2826492119023651</v>
      </c>
      <c r="AK14" s="14">
        <f t="shared" si="35"/>
        <v>1.6662234129484463</v>
      </c>
      <c r="AL14" s="22">
        <f t="shared" si="4"/>
        <v>10.360953154948495</v>
      </c>
      <c r="AM14" s="62">
        <f t="shared" si="5"/>
        <v>204.85675176406264</v>
      </c>
      <c r="AN14" s="62">
        <f ca="1">AVERAGE(OFFSET($AM$3,0,0,'Données projet'!$E$10+1,1))-AVERAGE(OFFSET($H$3,0,0,'Données projet'!$E$10+1,1))</f>
        <v>219.21539650048186</v>
      </c>
      <c r="AO14" s="62">
        <f t="shared" si="36"/>
        <v>204.10961748628708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4.4590046414603952</v>
      </c>
      <c r="BF14" s="14">
        <f t="shared" si="37"/>
        <v>1.7267071799443934</v>
      </c>
      <c r="BG14" s="22">
        <f t="shared" si="7"/>
        <v>10.773448088946672</v>
      </c>
      <c r="BH14" s="62">
        <f t="shared" si="8"/>
        <v>205.26924669806081</v>
      </c>
      <c r="BI14" s="62">
        <f ca="1">AVERAGE(OFFSET($BH$3,0,0,'Données projet'!$E$11+1,1))-AVERAGE(OFFSET($H$3,0,0,'Données projet'!$E$11+1,1))</f>
        <v>341.48836779133632</v>
      </c>
      <c r="BJ14" s="62">
        <f t="shared" si="38"/>
        <v>176.87842498964287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>
        <f>BY14*VLOOKUP('Données projet'!$B$12,Paramètres!$A$1:$I$89,3,0)*VLOOKUP('Données projet'!$B$12,Paramètres!$A$1:$I$89,5,0)</f>
        <v>2.995893743481203</v>
      </c>
      <c r="CA14" s="14">
        <f t="shared" si="39"/>
        <v>1.2150965764047741</v>
      </c>
      <c r="CB14" s="22">
        <f t="shared" si="10"/>
        <v>7.3341414738014095</v>
      </c>
      <c r="CC14" s="62">
        <f t="shared" si="11"/>
        <v>201.82994008291553</v>
      </c>
      <c r="CD14" s="62">
        <f ca="1">AVERAGE(OFFSET($CC$3,0,0,'Données projet'!$E$12+1,1))-AVERAGE(OFFSET($H$3,0,0,'Données projet'!$E$12+1,1))</f>
        <v>253.16238957399855</v>
      </c>
      <c r="CE14" s="62">
        <f t="shared" si="40"/>
        <v>138.00705940844708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5.1886712767873213</v>
      </c>
      <c r="P15" s="14">
        <f t="shared" si="33"/>
        <v>1.9741297139966976</v>
      </c>
      <c r="Q15" s="22">
        <f t="shared" si="2"/>
        <v>12.4752117256155</v>
      </c>
      <c r="R15" s="62">
        <f t="shared" si="0"/>
        <v>209.50498917834838</v>
      </c>
      <c r="S15" s="62">
        <f ca="1">AVERAGE(OFFSET($R$3,0,0,'Données projet'!$E$9+1,1))-AVERAGE(OFFSET($H$3,0,0,'Données projet'!$E$9+1,1))</f>
        <v>345.67675698621832</v>
      </c>
      <c r="T15" s="62">
        <f t="shared" si="34"/>
        <v>178.72086185623849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0.9</v>
      </c>
      <c r="AI15" s="14">
        <f>IF('Données projet'!$A$62&gt;35,AI14+AH15-AQ14,IF(A15&lt;'Données projet'!$A$62,$AF$205^A15,IF(A15='Données projet'!$A$62,'Données projet'!$B$62,AI14+AH15-AQ14)))</f>
        <v>5.6645250677694134</v>
      </c>
      <c r="AJ15" s="14">
        <f>AI15*VLOOKUP('Données projet'!$B$10,Paramètres!$A$1:$I$89,3,0)*VLOOKUP('Données projet'!$B$10,Paramètres!$A$1:$I$89,5,0)</f>
        <v>4.9485290992033608</v>
      </c>
      <c r="AK15" s="14">
        <f t="shared" si="35"/>
        <v>1.8931767921179217</v>
      </c>
      <c r="AL15" s="22">
        <f t="shared" si="4"/>
        <v>11.915971094051232</v>
      </c>
      <c r="AM15" s="62">
        <f t="shared" si="5"/>
        <v>208.9457485467841</v>
      </c>
      <c r="AN15" s="62">
        <f ca="1">AVERAGE(OFFSET($AM$3,0,0,'Données projet'!$E$10+1,1))-AVERAGE(OFFSET($H$3,0,0,'Données projet'!$E$10+1,1))</f>
        <v>219.21539650048186</v>
      </c>
      <c r="AO15" s="62">
        <f t="shared" si="36"/>
        <v>204.10961748628708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5.1088455648367468</v>
      </c>
      <c r="BF15" s="14">
        <f t="shared" si="37"/>
        <v>1.9472695311241608</v>
      </c>
      <c r="BG15" s="22">
        <f t="shared" si="7"/>
        <v>12.289400458798582</v>
      </c>
      <c r="BH15" s="62">
        <f t="shared" si="8"/>
        <v>209.31917791153145</v>
      </c>
      <c r="BI15" s="62">
        <f ca="1">AVERAGE(OFFSET($BH$3,0,0,'Données projet'!$E$11+1,1))-AVERAGE(OFFSET($H$3,0,0,'Données projet'!$E$11+1,1))</f>
        <v>341.48836779133632</v>
      </c>
      <c r="BJ15" s="62">
        <f t="shared" si="38"/>
        <v>176.87842498964287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>
        <f>BY15*VLOOKUP('Données projet'!$B$12,Paramètres!$A$1:$I$89,3,0)*VLOOKUP('Données projet'!$B$12,Paramètres!$A$1:$I$89,5,0)</f>
        <v>3.4325056138746892</v>
      </c>
      <c r="CA15" s="14">
        <f t="shared" si="39"/>
        <v>1.3703079295022655</v>
      </c>
      <c r="CB15" s="22">
        <f t="shared" si="10"/>
        <v>8.3649002547148612</v>
      </c>
      <c r="CC15" s="62">
        <f t="shared" si="11"/>
        <v>205.39467770744773</v>
      </c>
      <c r="CD15" s="62">
        <f ca="1">AVERAGE(OFFSET($CC$3,0,0,'Données projet'!$E$12+1,1))-AVERAGE(OFFSET($H$3,0,0,'Données projet'!$E$12+1,1))</f>
        <v>253.16238957399855</v>
      </c>
      <c r="CE15" s="62">
        <f t="shared" si="40"/>
        <v>138.00705940844708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5.9448514570572168</v>
      </c>
      <c r="P16" s="14">
        <f t="shared" si="33"/>
        <v>2.2262967845401667</v>
      </c>
      <c r="Q16" s="22">
        <f t="shared" si="2"/>
        <v>14.231416520782107</v>
      </c>
      <c r="R16" s="62">
        <f t="shared" si="0"/>
        <v>213.77241677240093</v>
      </c>
      <c r="S16" s="62">
        <f ca="1">AVERAGE(OFFSET($R$3,0,0,'Données projet'!$E$9+1,1))-AVERAGE(OFFSET($H$3,0,0,'Données projet'!$E$9+1,1))</f>
        <v>345.67675698621832</v>
      </c>
      <c r="T16" s="62">
        <f t="shared" si="34"/>
        <v>178.72086185623849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0.9</v>
      </c>
      <c r="AI16" s="14">
        <f>IF('Données projet'!$A$62&gt;35,AI15+AH16-AQ15,IF(A16&lt;'Données projet'!$A$62,$AF$205^A16,IF(A16='Données projet'!$A$62,'Données projet'!$B$62,AI15+AH16-AQ15)))</f>
        <v>6.5452633975063188</v>
      </c>
      <c r="AJ16" s="14">
        <f>AI16*VLOOKUP('Données projet'!$B$10,Paramètres!$A$1:$I$89,3,0)*VLOOKUP('Données projet'!$B$10,Paramètres!$A$1:$I$89,5,0)</f>
        <v>5.717942104061521</v>
      </c>
      <c r="AK16" s="14">
        <f t="shared" si="35"/>
        <v>2.1510430944381391</v>
      </c>
      <c r="AL16" s="22">
        <f t="shared" si="4"/>
        <v>13.705149220720239</v>
      </c>
      <c r="AM16" s="62">
        <f t="shared" si="5"/>
        <v>213.24614947233906</v>
      </c>
      <c r="AN16" s="62">
        <f ca="1">AVERAGE(OFFSET($AM$3,0,0,'Données projet'!$E$10+1,1))-AVERAGE(OFFSET($H$3,0,0,'Données projet'!$E$10+1,1))</f>
        <v>219.21539650048186</v>
      </c>
      <c r="AO16" s="62">
        <f t="shared" si="36"/>
        <v>204.10961748628708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5.8533922038717217</v>
      </c>
      <c r="BF16" s="14">
        <f t="shared" si="37"/>
        <v>2.1960055942818411</v>
      </c>
      <c r="BG16" s="22">
        <f t="shared" si="7"/>
        <v>14.019367831784123</v>
      </c>
      <c r="BH16" s="62">
        <f t="shared" si="8"/>
        <v>213.56036808340292</v>
      </c>
      <c r="BI16" s="62">
        <f ca="1">AVERAGE(OFFSET($BH$3,0,0,'Données projet'!$E$11+1,1))-AVERAGE(OFFSET($H$3,0,0,'Données projet'!$E$11+1,1))</f>
        <v>341.48836779133632</v>
      </c>
      <c r="BJ16" s="62">
        <f t="shared" si="38"/>
        <v>176.87842498964287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>
        <f>BY16*VLOOKUP('Données projet'!$B$12,Paramètres!$A$1:$I$89,3,0)*VLOOKUP('Données projet'!$B$12,Paramètres!$A$1:$I$89,5,0)</f>
        <v>3.9327478869763128</v>
      </c>
      <c r="CA16" s="14">
        <f t="shared" si="39"/>
        <v>1.5453453314901533</v>
      </c>
      <c r="CB16" s="22">
        <f t="shared" si="10"/>
        <v>9.5410123554957611</v>
      </c>
      <c r="CC16" s="62">
        <f t="shared" si="11"/>
        <v>209.08201260711456</v>
      </c>
      <c r="CD16" s="62">
        <f ca="1">AVERAGE(OFFSET($CC$3,0,0,'Données projet'!$E$12+1,1))-AVERAGE(OFFSET($H$3,0,0,'Données projet'!$E$12+1,1))</f>
        <v>253.16238957399855</v>
      </c>
      <c r="CE16" s="62">
        <f t="shared" si="40"/>
        <v>138.00705940844708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6.8112348925595523</v>
      </c>
      <c r="P17" s="14">
        <f t="shared" si="33"/>
        <v>2.5106746216891089</v>
      </c>
      <c r="Q17" s="22">
        <f t="shared" si="2"/>
        <v>16.235659070649749</v>
      </c>
      <c r="R17" s="62">
        <f t="shared" si="0"/>
        <v>218.26552084292294</v>
      </c>
      <c r="S17" s="62">
        <f ca="1">AVERAGE(OFFSET($R$3,0,0,'Données projet'!$E$9+1,1))-AVERAGE(OFFSET($H$3,0,0,'Données projet'!$E$9+1,1))</f>
        <v>345.67675698621832</v>
      </c>
      <c r="T17" s="62">
        <f t="shared" si="34"/>
        <v>178.72086185623849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0.9</v>
      </c>
      <c r="AI17" s="14">
        <f>IF('Données projet'!$A$62&gt;35,AI16+AH17-AQ16,IF(A17&lt;'Données projet'!$A$62,$AF$205^A17,IF(A17='Données projet'!$A$62,'Données projet'!$B$62,AI16+AH17-AQ16)))</f>
        <v>7.5629417171254145</v>
      </c>
      <c r="AJ17" s="14">
        <f>AI17*VLOOKUP('Données projet'!$B$10,Paramètres!$A$1:$I$89,3,0)*VLOOKUP('Données projet'!$B$10,Paramètres!$A$1:$I$89,5,0)</f>
        <v>6.6069858840807631</v>
      </c>
      <c r="AK17" s="14">
        <f t="shared" si="35"/>
        <v>2.4440329151477385</v>
      </c>
      <c r="AL17" s="22">
        <f t="shared" si="4"/>
        <v>15.763857741989639</v>
      </c>
      <c r="AM17" s="62">
        <f t="shared" si="5"/>
        <v>217.79371951426282</v>
      </c>
      <c r="AN17" s="62">
        <f ca="1">AVERAGE(OFFSET($AM$3,0,0,'Données projet'!$E$10+1,1))-AVERAGE(OFFSET($H$3,0,0,'Données projet'!$E$10+1,1))</f>
        <v>219.21539650048186</v>
      </c>
      <c r="AO17" s="62">
        <f t="shared" si="36"/>
        <v>204.10961748628708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6.7064466634432511</v>
      </c>
      <c r="BF17" s="14">
        <f t="shared" si="37"/>
        <v>2.4765141615157615</v>
      </c>
      <c r="BG17" s="22">
        <f t="shared" si="7"/>
        <v>15.993656770136946</v>
      </c>
      <c r="BH17" s="62">
        <f t="shared" si="8"/>
        <v>218.02351854241013</v>
      </c>
      <c r="BI17" s="62">
        <f ca="1">AVERAGE(OFFSET($BH$3,0,0,'Données projet'!$E$11+1,1))-AVERAGE(OFFSET($H$3,0,0,'Données projet'!$E$11+1,1))</f>
        <v>341.48836779133632</v>
      </c>
      <c r="BJ17" s="62">
        <f t="shared" si="38"/>
        <v>176.87842498964287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>
        <f>BY17*VLOOKUP('Données projet'!$B$12,Paramètres!$A$1:$I$89,3,0)*VLOOKUP('Données projet'!$B$12,Paramètres!$A$1:$I$89,5,0)</f>
        <v>4.5058938520009342</v>
      </c>
      <c r="CA17" s="14">
        <f t="shared" si="39"/>
        <v>1.7427412789078978</v>
      </c>
      <c r="CB17" s="22">
        <f t="shared" si="10"/>
        <v>10.883039519666218</v>
      </c>
      <c r="CC17" s="62">
        <f t="shared" si="11"/>
        <v>212.91290129193942</v>
      </c>
      <c r="CD17" s="62">
        <f ca="1">AVERAGE(OFFSET($CC$3,0,0,'Données projet'!$E$12+1,1))-AVERAGE(OFFSET($H$3,0,0,'Données projet'!$E$12+1,1))</f>
        <v>253.16238957399855</v>
      </c>
      <c r="CE17" s="62">
        <f t="shared" si="40"/>
        <v>138.00705940844708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7.8038822494962501</v>
      </c>
      <c r="P18" s="14">
        <f t="shared" si="33"/>
        <v>2.8313776940102406</v>
      </c>
      <c r="Q18" s="22">
        <f t="shared" si="2"/>
        <v>18.523077734940472</v>
      </c>
      <c r="R18" s="62">
        <f t="shared" si="0"/>
        <v>223.01982766782152</v>
      </c>
      <c r="S18" s="62">
        <f ca="1">AVERAGE(OFFSET($R$3,0,0,'Données projet'!$E$9+1,1))-AVERAGE(OFFSET($H$3,0,0,'Données projet'!$E$9+1,1))</f>
        <v>345.67675698621832</v>
      </c>
      <c r="T18" s="62">
        <f t="shared" si="34"/>
        <v>178.72086185623849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0.9</v>
      </c>
      <c r="AI18" s="14">
        <f>IF('Données projet'!$A$62&gt;35,AI17+AH18-AQ17,IF(A18&lt;'Données projet'!$A$62,$AF$205^A18,IF(A18='Données projet'!$A$62,'Données projet'!$B$62,AI17+AH18-AQ17)))</f>
        <v>8.7388518907318247</v>
      </c>
      <c r="AJ18" s="14">
        <f>AI18*VLOOKUP('Données projet'!$B$10,Paramètres!$A$1:$I$89,3,0)*VLOOKUP('Données projet'!$B$10,Paramètres!$A$1:$I$89,5,0)</f>
        <v>7.6342610117433241</v>
      </c>
      <c r="AK18" s="14">
        <f t="shared" si="35"/>
        <v>2.7769303673043324</v>
      </c>
      <c r="AL18" s="22">
        <f t="shared" si="4"/>
        <v>18.132824985174668</v>
      </c>
      <c r="AM18" s="62">
        <f t="shared" si="5"/>
        <v>222.62957491805571</v>
      </c>
      <c r="AN18" s="62">
        <f ca="1">AVERAGE(OFFSET($AM$3,0,0,'Données projet'!$E$10+1,1))-AVERAGE(OFFSET($H$3,0,0,'Données projet'!$E$10+1,1))</f>
        <v>219.21539650048186</v>
      </c>
      <c r="AO18" s="62">
        <f t="shared" si="36"/>
        <v>204.10961748628708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7.6838225225809236</v>
      </c>
      <c r="BF18" s="14">
        <f t="shared" si="37"/>
        <v>2.7928537195707062</v>
      </c>
      <c r="BG18" s="22">
        <f t="shared" si="7"/>
        <v>18.246877788414086</v>
      </c>
      <c r="BH18" s="62">
        <f t="shared" si="8"/>
        <v>222.74362772129513</v>
      </c>
      <c r="BI18" s="62">
        <f ca="1">AVERAGE(OFFSET($BH$3,0,0,'Données projet'!$E$11+1,1))-AVERAGE(OFFSET($H$3,0,0,'Données projet'!$E$11+1,1))</f>
        <v>341.48836779133632</v>
      </c>
      <c r="BJ18" s="62">
        <f t="shared" si="38"/>
        <v>176.87842498964287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>
        <f>BY18*VLOOKUP('Données projet'!$B$12,Paramètres!$A$1:$I$89,3,0)*VLOOKUP('Données projet'!$B$12,Paramètres!$A$1:$I$89,5,0)</f>
        <v>5.1625682573590579</v>
      </c>
      <c r="CA18" s="14">
        <f t="shared" si="39"/>
        <v>1.9653517588077616</v>
      </c>
      <c r="CB18" s="22">
        <f t="shared" si="10"/>
        <v>12.414460694823878</v>
      </c>
      <c r="CC18" s="62">
        <f t="shared" si="11"/>
        <v>216.91121062770492</v>
      </c>
      <c r="CD18" s="62">
        <f ca="1">AVERAGE(OFFSET($CC$3,0,0,'Données projet'!$E$12+1,1))-AVERAGE(OFFSET($H$3,0,0,'Données projet'!$E$12+1,1))</f>
        <v>253.16238957399855</v>
      </c>
      <c r="CE18" s="62">
        <f t="shared" si="40"/>
        <v>138.00705940844708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8.9411948236477841</v>
      </c>
      <c r="P19" s="14">
        <f t="shared" si="33"/>
        <v>3.1930460350713803</v>
      </c>
      <c r="Q19" s="22">
        <f t="shared" si="2"/>
        <v>21.133802828935874</v>
      </c>
      <c r="R19" s="62">
        <f t="shared" si="0"/>
        <v>228.07584875104993</v>
      </c>
      <c r="S19" s="62">
        <f ca="1">AVERAGE(OFFSET($R$3,0,0,'Données projet'!$E$9+1,1))-AVERAGE(OFFSET($H$3,0,0,'Données projet'!$E$9+1,1))</f>
        <v>345.67675698621832</v>
      </c>
      <c r="T19" s="62">
        <f t="shared" si="34"/>
        <v>178.72086185623849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0.9</v>
      </c>
      <c r="AI19" s="14">
        <f>IF('Données projet'!$A$62&gt;35,AI18+AH19-AQ18,IF(A19&lt;'Données projet'!$A$62,$AF$205^A19,IF(A19='Données projet'!$A$62,'Données projet'!$B$62,AI18+AH19-AQ18)))</f>
        <v>10.097596309015799</v>
      </c>
      <c r="AJ19" s="14">
        <f>AI19*VLOOKUP('Données projet'!$B$10,Paramètres!$A$1:$I$89,3,0)*VLOOKUP('Données projet'!$B$10,Paramètres!$A$1:$I$89,5,0)</f>
        <v>8.8212601355562033</v>
      </c>
      <c r="AK19" s="14">
        <f t="shared" si="35"/>
        <v>3.1551711996443523</v>
      </c>
      <c r="AL19" s="22">
        <f t="shared" si="4"/>
        <v>20.858951242140964</v>
      </c>
      <c r="AM19" s="62">
        <f t="shared" si="5"/>
        <v>227.80099716425502</v>
      </c>
      <c r="AN19" s="62">
        <f ca="1">AVERAGE(OFFSET($AM$3,0,0,'Données projet'!$E$10+1,1))-AVERAGE(OFFSET($H$3,0,0,'Données projet'!$E$10+1,1))</f>
        <v>219.21539650048186</v>
      </c>
      <c r="AO19" s="62">
        <f t="shared" si="36"/>
        <v>204.10961748628708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8.8036379802070499</v>
      </c>
      <c r="BF19" s="14">
        <f t="shared" si="37"/>
        <v>3.1496011693088315</v>
      </c>
      <c r="BG19" s="22">
        <f t="shared" si="7"/>
        <v>20.818558185406825</v>
      </c>
      <c r="BH19" s="62">
        <f t="shared" si="8"/>
        <v>227.76060410752089</v>
      </c>
      <c r="BI19" s="62">
        <f ca="1">AVERAGE(OFFSET($BH$3,0,0,'Données projet'!$E$11+1,1))-AVERAGE(OFFSET($H$3,0,0,'Données projet'!$E$11+1,1))</f>
        <v>341.48836779133632</v>
      </c>
      <c r="BJ19" s="62">
        <f t="shared" si="38"/>
        <v>176.87842498964287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>
        <f>BY19*VLOOKUP('Données projet'!$B$12,Paramètres!$A$1:$I$89,3,0)*VLOOKUP('Données projet'!$B$12,Paramètres!$A$1:$I$89,5,0)</f>
        <v>5.9149442679516113</v>
      </c>
      <c r="CA19" s="14">
        <f t="shared" si="39"/>
        <v>2.2163975700795318</v>
      </c>
      <c r="CB19" s="22">
        <f t="shared" si="10"/>
        <v>14.162087034570909</v>
      </c>
      <c r="CC19" s="62">
        <f t="shared" si="11"/>
        <v>221.10413295668496</v>
      </c>
      <c r="CD19" s="62">
        <f ca="1">AVERAGE(OFFSET($CC$3,0,0,'Données projet'!$E$12+1,1))-AVERAGE(OFFSET($H$3,0,0,'Données projet'!$E$12+1,1))</f>
        <v>253.16238957399855</v>
      </c>
      <c r="CE19" s="62">
        <f t="shared" si="40"/>
        <v>138.00705940844708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10.244255656162224</v>
      </c>
      <c r="P20" s="14">
        <f t="shared" si="33"/>
        <v>3.6009123769158946</v>
      </c>
      <c r="Q20" s="22">
        <f t="shared" si="2"/>
        <v>24.113667657611057</v>
      </c>
      <c r="R20" s="62">
        <f t="shared" si="0"/>
        <v>233.47979197348377</v>
      </c>
      <c r="S20" s="62">
        <f ca="1">AVERAGE(OFFSET($R$3,0,0,'Données projet'!$E$9+1,1))-AVERAGE(OFFSET($H$3,0,0,'Données projet'!$E$9+1,1))</f>
        <v>345.67675698621832</v>
      </c>
      <c r="T20" s="62">
        <f t="shared" si="34"/>
        <v>178.72086185623849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0.9</v>
      </c>
      <c r="AI20" s="14">
        <f>IF('Données projet'!$A$62&gt;35,AI19+AH20-AQ19,IF(A20&lt;'Données projet'!$A$62,$AF$205^A20,IF(A20='Données projet'!$A$62,'Données projet'!$B$62,AI19+AH20-AQ19)))</f>
        <v>11.667602620429678</v>
      </c>
      <c r="AJ20" s="14">
        <f>AI20*VLOOKUP('Données projet'!$B$10,Paramètres!$A$1:$I$89,3,0)*VLOOKUP('Données projet'!$B$10,Paramètres!$A$1:$I$89,5,0)</f>
        <v>10.192817649207369</v>
      </c>
      <c r="AK20" s="14">
        <f t="shared" si="35"/>
        <v>3.5849315547400531</v>
      </c>
      <c r="AL20" s="22">
        <f t="shared" si="4"/>
        <v>23.996246530208428</v>
      </c>
      <c r="AM20" s="62">
        <f t="shared" si="5"/>
        <v>233.36237084608115</v>
      </c>
      <c r="AN20" s="62">
        <f ca="1">AVERAGE(OFFSET($AM$3,0,0,'Données projet'!$E$10+1,1))-AVERAGE(OFFSET($H$3,0,0,'Données projet'!$E$10+1,1))</f>
        <v>219.21539650048186</v>
      </c>
      <c r="AO20" s="62">
        <f t="shared" si="36"/>
        <v>204.10961748628708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10.086651722990498</v>
      </c>
      <c r="BF20" s="14">
        <f t="shared" si="37"/>
        <v>3.5519180457601549</v>
      </c>
      <c r="BG20" s="22">
        <f t="shared" si="7"/>
        <v>23.75384234724072</v>
      </c>
      <c r="BH20" s="62">
        <f t="shared" si="8"/>
        <v>233.11996666311344</v>
      </c>
      <c r="BI20" s="62">
        <f ca="1">AVERAGE(OFFSET($BH$3,0,0,'Données projet'!$E$11+1,1))-AVERAGE(OFFSET($H$3,0,0,'Données projet'!$E$11+1,1))</f>
        <v>341.48836779133632</v>
      </c>
      <c r="BJ20" s="62">
        <f t="shared" si="38"/>
        <v>176.87842498964287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>
        <f>BY20*VLOOKUP('Données projet'!$B$12,Paramètres!$A$1:$I$89,3,0)*VLOOKUP('Données projet'!$B$12,Paramètres!$A$1:$I$89,5,0)</f>
        <v>6.7769691263842402</v>
      </c>
      <c r="CA20" s="14">
        <f t="shared" si="39"/>
        <v>2.4995109229883949</v>
      </c>
      <c r="CB20" s="22">
        <f t="shared" si="10"/>
        <v>16.15653608599067</v>
      </c>
      <c r="CC20" s="62">
        <f t="shared" si="11"/>
        <v>225.52266040186339</v>
      </c>
      <c r="CD20" s="62">
        <f ca="1">AVERAGE(OFFSET($CC$3,0,0,'Données projet'!$E$12+1,1))-AVERAGE(OFFSET($H$3,0,0,'Données projet'!$E$12+1,1))</f>
        <v>253.16238957399855</v>
      </c>
      <c r="CE20" s="62">
        <f t="shared" si="40"/>
        <v>138.00705940844708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11.737220362456757</v>
      </c>
      <c r="P21" s="14">
        <f t="shared" si="33"/>
        <v>4.0608778588863084</v>
      </c>
      <c r="Q21" s="22">
        <f t="shared" si="2"/>
        <v>27.515021068839172</v>
      </c>
      <c r="R21" s="62">
        <f t="shared" si="0"/>
        <v>239.28437426084227</v>
      </c>
      <c r="S21" s="62">
        <f ca="1">AVERAGE(OFFSET($R$3,0,0,'Données projet'!$E$9+1,1))-AVERAGE(OFFSET($H$3,0,0,'Données projet'!$E$9+1,1))</f>
        <v>345.67675698621832</v>
      </c>
      <c r="T21" s="62">
        <f t="shared" si="34"/>
        <v>178.72086185623849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0.9</v>
      </c>
      <c r="AI21" s="14">
        <f>IF('Données projet'!$A$62&gt;35,AI20+AH21-AQ20,IF(A21&lt;'Données projet'!$A$62,$AF$205^A21,IF(A21='Données projet'!$A$62,'Données projet'!$B$62,AI20+AH21-AQ20)))</f>
        <v>13.48171849440139</v>
      </c>
      <c r="AJ21" s="14">
        <f>AI21*VLOOKUP('Données projet'!$B$10,Paramètres!$A$1:$I$89,3,0)*VLOOKUP('Données projet'!$B$10,Paramètres!$A$1:$I$89,5,0)</f>
        <v>11.777629276709055</v>
      </c>
      <c r="AK21" s="14">
        <f t="shared" si="35"/>
        <v>4.0732288167499631</v>
      </c>
      <c r="AL21" s="22">
        <f t="shared" si="4"/>
        <v>27.606911179441123</v>
      </c>
      <c r="AM21" s="62">
        <f t="shared" si="5"/>
        <v>239.37626437144422</v>
      </c>
      <c r="AN21" s="62">
        <f ca="1">AVERAGE(OFFSET($AM$3,0,0,'Données projet'!$E$10+1,1))-AVERAGE(OFFSET($H$3,0,0,'Données projet'!$E$10+1,1))</f>
        <v>219.21539650048186</v>
      </c>
      <c r="AO21" s="62">
        <f t="shared" si="36"/>
        <v>204.10961748628708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11.556647741495885</v>
      </c>
      <c r="BF21" s="14">
        <f t="shared" si="37"/>
        <v>4.0056251968452248</v>
      </c>
      <c r="BG21" s="22">
        <f t="shared" si="7"/>
        <v>27.104292034277432</v>
      </c>
      <c r="BH21" s="62">
        <f t="shared" si="8"/>
        <v>238.87364522628053</v>
      </c>
      <c r="BI21" s="62">
        <f ca="1">AVERAGE(OFFSET($BH$3,0,0,'Données projet'!$E$11+1,1))-AVERAGE(OFFSET($H$3,0,0,'Données projet'!$E$11+1,1))</f>
        <v>341.48836779133632</v>
      </c>
      <c r="BJ21" s="62">
        <f t="shared" si="38"/>
        <v>176.87842498964287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>
        <f>BY21*VLOOKUP('Données projet'!$B$12,Paramètres!$A$1:$I$89,3,0)*VLOOKUP('Données projet'!$B$12,Paramètres!$A$1:$I$89,5,0)</f>
        <v>7.7646227013175473</v>
      </c>
      <c r="CA21" s="14">
        <f t="shared" si="39"/>
        <v>2.8187879911428144</v>
      </c>
      <c r="CB21" s="22">
        <f t="shared" si="10"/>
        <v>18.432773622701795</v>
      </c>
      <c r="CC21" s="62">
        <f t="shared" si="11"/>
        <v>230.20212681470491</v>
      </c>
      <c r="CD21" s="62">
        <f ca="1">AVERAGE(OFFSET($CC$3,0,0,'Données projet'!$E$12+1,1))-AVERAGE(OFFSET($H$3,0,0,'Données projet'!$E$12+1,1))</f>
        <v>253.16238957399855</v>
      </c>
      <c r="CE21" s="62">
        <f t="shared" si="40"/>
        <v>138.00705940844708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13.447764919260033</v>
      </c>
      <c r="P22" s="14">
        <f t="shared" si="33"/>
        <v>4.5795974071762906</v>
      </c>
      <c r="Q22" s="22">
        <f t="shared" si="2"/>
        <v>31.397656051876599</v>
      </c>
      <c r="R22" s="62">
        <f t="shared" si="0"/>
        <v>245.54975029490012</v>
      </c>
      <c r="S22" s="62">
        <f ca="1">AVERAGE(OFFSET($R$3,0,0,'Données projet'!$E$9+1,1))-AVERAGE(OFFSET($H$3,0,0,'Données projet'!$E$9+1,1))</f>
        <v>345.67675698621832</v>
      </c>
      <c r="T22" s="62">
        <f t="shared" si="34"/>
        <v>178.72086185623849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0.9</v>
      </c>
      <c r="AI22" s="14">
        <f>IF('Données projet'!$A$62&gt;35,AI21+AH22-AQ21,IF(A22&lt;'Données projet'!$A$62,$AF$205^A22,IF(A22='Données projet'!$A$62,'Données projet'!$B$62,AI21+AH22-AQ21)))</f>
        <v>15.577898860219406</v>
      </c>
      <c r="AJ22" s="14">
        <f>AI22*VLOOKUP('Données projet'!$B$10,Paramètres!$A$1:$I$89,3,0)*VLOOKUP('Données projet'!$B$10,Paramètres!$A$1:$I$89,5,0)</f>
        <v>13.608852444287676</v>
      </c>
      <c r="AK22" s="14">
        <f t="shared" si="35"/>
        <v>4.6280361954652021</v>
      </c>
      <c r="AL22" s="22">
        <f t="shared" si="4"/>
        <v>31.762581047569586</v>
      </c>
      <c r="AM22" s="62">
        <f t="shared" si="5"/>
        <v>245.91467529059312</v>
      </c>
      <c r="AN22" s="62">
        <f ca="1">AVERAGE(OFFSET($AM$3,0,0,'Données projet'!$E$10+1,1))-AVERAGE(OFFSET($H$3,0,0,'Données projet'!$E$10+1,1))</f>
        <v>219.21539650048186</v>
      </c>
      <c r="AO22" s="62">
        <f t="shared" si="36"/>
        <v>204.10961748628708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13.240876228194493</v>
      </c>
      <c r="BF22" s="14">
        <f t="shared" si="37"/>
        <v>4.5172870012454078</v>
      </c>
      <c r="BG22" s="22">
        <f t="shared" si="7"/>
        <v>30.928800957941164</v>
      </c>
      <c r="BH22" s="62">
        <f t="shared" si="8"/>
        <v>245.08089520096468</v>
      </c>
      <c r="BI22" s="62">
        <f ca="1">AVERAGE(OFFSET($BH$3,0,0,'Données projet'!$E$11+1,1))-AVERAGE(OFFSET($H$3,0,0,'Données projet'!$E$11+1,1))</f>
        <v>341.48836779133632</v>
      </c>
      <c r="BJ22" s="62">
        <f t="shared" si="38"/>
        <v>176.87842498964287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>
        <f>BY22*VLOOKUP('Données projet'!$B$12,Paramètres!$A$1:$I$89,3,0)*VLOOKUP('Données projet'!$B$12,Paramètres!$A$1:$I$89,5,0)</f>
        <v>8.8962137158181758</v>
      </c>
      <c r="CA22" s="14">
        <f t="shared" si="39"/>
        <v>3.1788481762309284</v>
      </c>
      <c r="CB22" s="22">
        <f t="shared" si="10"/>
        <v>21.030732795318858</v>
      </c>
      <c r="CC22" s="62">
        <f t="shared" si="11"/>
        <v>235.1828270383424</v>
      </c>
      <c r="CD22" s="62">
        <f ca="1">AVERAGE(OFFSET($CC$3,0,0,'Données projet'!$E$12+1,1))-AVERAGE(OFFSET($H$3,0,0,'Données projet'!$E$12+1,1))</f>
        <v>253.16238957399855</v>
      </c>
      <c r="CE22" s="62">
        <f t="shared" si="40"/>
        <v>138.00705940844708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15.407598710690648</v>
      </c>
      <c r="P23" s="14">
        <f t="shared" si="33"/>
        <v>5.1645760204094255</v>
      </c>
      <c r="Q23" s="22">
        <f t="shared" si="2"/>
        <v>35.829870989999293</v>
      </c>
      <c r="R23" s="62">
        <f t="shared" si="0"/>
        <v>252.34457387689503</v>
      </c>
      <c r="S23" s="62">
        <f ca="1">AVERAGE(OFFSET($R$3,0,0,'Données projet'!$E$9+1,1))-AVERAGE(OFFSET($H$3,0,0,'Données projet'!$E$9+1,1))</f>
        <v>345.67675698621832</v>
      </c>
      <c r="T23" s="62">
        <f t="shared" si="34"/>
        <v>178.72086185623849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18</v>
      </c>
      <c r="AG23" s="13">
        <f>VLOOKUP(A23,'Données projet'!$A$61:$I$81,9,0)</f>
        <v>0.9</v>
      </c>
      <c r="AH23" s="13">
        <f t="array" ref="AH23">INDEX(AG:AG,MIN(IF(ISNUMBER(AG23:AG219),ROW(AG23:AG219),"")))</f>
        <v>0.9</v>
      </c>
      <c r="AI23" s="14">
        <f>IF('Données projet'!$A$62&gt;35,AI22+AH23-AQ22,IF(A23&lt;'Données projet'!$A$62,$AF$205^A23,IF(A23='Données projet'!$A$62,'Données projet'!$B$62,AI22+AH23-AQ22)))</f>
        <v>18</v>
      </c>
      <c r="AJ23" s="14">
        <f>AI23*VLOOKUP('Données projet'!$B$10,Paramètres!$A$1:$I$89,3,0)*VLOOKUP('Données projet'!$B$10,Paramètres!$A$1:$I$89,5,0)</f>
        <v>15.724800000000004</v>
      </c>
      <c r="AK23" s="14">
        <f t="shared" si="35"/>
        <v>5.2584129176484753</v>
      </c>
      <c r="AL23" s="22">
        <f t="shared" si="4"/>
        <v>36.545762498237771</v>
      </c>
      <c r="AM23" s="62">
        <f t="shared" si="5"/>
        <v>253.06046538513348</v>
      </c>
      <c r="AN23" s="62">
        <f ca="1">AVERAGE(OFFSET($AM$3,0,0,'Données projet'!$E$10+1,1))-AVERAGE(OFFSET($H$3,0,0,'Données projet'!$E$10+1,1))</f>
        <v>219.21539650048186</v>
      </c>
      <c r="AO23" s="62">
        <f t="shared" si="36"/>
        <v>204.10961748628708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2.4727953377978018</v>
      </c>
      <c r="AX23" s="23">
        <f t="shared" si="6"/>
        <v>2.4727953377978018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15.170558730526178</v>
      </c>
      <c r="BF23" s="14">
        <f t="shared" si="37"/>
        <v>5.0943063439115894</v>
      </c>
      <c r="BG23" s="22">
        <f t="shared" si="7"/>
        <v>35.294640004645778</v>
      </c>
      <c r="BH23" s="62">
        <f t="shared" si="8"/>
        <v>251.80934289154149</v>
      </c>
      <c r="BI23" s="62">
        <f ca="1">AVERAGE(OFFSET($BH$3,0,0,'Données projet'!$E$11+1,1))-AVERAGE(OFFSET($H$3,0,0,'Données projet'!$E$11+1,1))</f>
        <v>341.48836779133632</v>
      </c>
      <c r="BJ23" s="62">
        <f t="shared" si="38"/>
        <v>176.87842498964287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>
        <f>BY23*VLOOKUP('Données projet'!$B$12,Paramètres!$A$1:$I$89,3,0)*VLOOKUP('Données projet'!$B$12,Paramètres!$A$1:$I$89,5,0)</f>
        <v>10.192719147072275</v>
      </c>
      <c r="CA23" s="14">
        <f t="shared" si="39"/>
        <v>3.5849009429864291</v>
      </c>
      <c r="CB23" s="22">
        <f t="shared" si="10"/>
        <v>23.996021656852246</v>
      </c>
      <c r="CC23" s="62">
        <f t="shared" si="11"/>
        <v>240.51072454374795</v>
      </c>
      <c r="CD23" s="62">
        <f ca="1">AVERAGE(OFFSET($CC$3,0,0,'Données projet'!$E$12+1,1))-AVERAGE(OFFSET($H$3,0,0,'Données projet'!$E$12+1,1))</f>
        <v>253.16238957399855</v>
      </c>
      <c r="CE23" s="62">
        <f t="shared" si="40"/>
        <v>138.00705940844708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17.653052344012782</v>
      </c>
      <c r="P24" s="14">
        <f t="shared" si="33"/>
        <v>5.8242773543349813</v>
      </c>
      <c r="Q24" s="22">
        <f t="shared" si="2"/>
        <v>40.889682557955688</v>
      </c>
      <c r="R24" s="62">
        <f t="shared" si="0"/>
        <v>259.74721093383005</v>
      </c>
      <c r="S24" s="62">
        <f ca="1">AVERAGE(OFFSET($R$3,0,0,'Données projet'!$E$9+1,1))-AVERAGE(OFFSET($H$3,0,0,'Données projet'!$E$9+1,1))</f>
        <v>345.67675698621832</v>
      </c>
      <c r="T24" s="62">
        <f t="shared" si="34"/>
        <v>178.72086185623849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7.8</v>
      </c>
      <c r="AI24" s="14">
        <f>IF('Données projet'!$A$62&gt;35,AI23+AH24-AQ23,IF(A24&lt;'Données projet'!$A$62,$AF$205^A24,IF(A24='Données projet'!$A$62,'Données projet'!$B$62,AI23+AH24-AQ23)))</f>
        <v>22.8</v>
      </c>
      <c r="AJ24" s="14">
        <f>AI24*VLOOKUP('Données projet'!$B$10,Paramètres!$A$1:$I$89,3,0)*VLOOKUP('Données projet'!$B$10,Paramètres!$A$1:$I$89,5,0)</f>
        <v>19.918080000000003</v>
      </c>
      <c r="AK24" s="14">
        <f t="shared" si="35"/>
        <v>6.4798825087607046</v>
      </c>
      <c r="AL24" s="22">
        <f t="shared" si="4"/>
        <v>45.976451369424893</v>
      </c>
      <c r="AM24" s="62">
        <f t="shared" si="5"/>
        <v>264.8339797452993</v>
      </c>
      <c r="AN24" s="62">
        <f ca="1">AVERAGE(OFFSET($AM$3,0,0,'Données projet'!$E$10+1,1))-AVERAGE(OFFSET($H$3,0,0,'Données projet'!$E$10+1,1))</f>
        <v>219.21539650048186</v>
      </c>
      <c r="AO24" s="62">
        <f t="shared" si="36"/>
        <v>204.10961748628708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1.7485303518433053</v>
      </c>
      <c r="AX24" s="23">
        <f t="shared" si="6"/>
        <v>1.7485303518433053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17.381466923335665</v>
      </c>
      <c r="BF24" s="14">
        <f t="shared" si="37"/>
        <v>5.7450317233469912</v>
      </c>
      <c r="BG24" s="22">
        <f t="shared" si="7"/>
        <v>40.278651809638959</v>
      </c>
      <c r="BH24" s="62">
        <f t="shared" si="8"/>
        <v>259.13618018551335</v>
      </c>
      <c r="BI24" s="62">
        <f ca="1">AVERAGE(OFFSET($BH$3,0,0,'Données projet'!$E$11+1,1))-AVERAGE(OFFSET($H$3,0,0,'Données projet'!$E$11+1,1))</f>
        <v>341.48836779133632</v>
      </c>
      <c r="BJ24" s="62">
        <f t="shared" si="38"/>
        <v>176.87842498964287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>
        <f>BY24*VLOOKUP('Données projet'!$B$12,Paramètres!$A$1:$I$89,3,0)*VLOOKUP('Données projet'!$B$12,Paramètres!$A$1:$I$89,5,0)</f>
        <v>11.678173089116148</v>
      </c>
      <c r="CA24" s="14">
        <f t="shared" si="39"/>
        <v>4.0428211913733714</v>
      </c>
      <c r="CB24" s="22">
        <f t="shared" si="10"/>
        <v>27.380731705185912</v>
      </c>
      <c r="CC24" s="62">
        <f t="shared" si="11"/>
        <v>246.2382600810603</v>
      </c>
      <c r="CD24" s="62">
        <f ca="1">AVERAGE(OFFSET($CC$3,0,0,'Données projet'!$E$12+1,1))-AVERAGE(OFFSET($H$3,0,0,'Données projet'!$E$12+1,1))</f>
        <v>253.16238957399855</v>
      </c>
      <c r="CE24" s="62">
        <f t="shared" si="40"/>
        <v>138.00705940844708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20.225751131759992</v>
      </c>
      <c r="P25" s="14">
        <f t="shared" si="33"/>
        <v>6.5682461766784241</v>
      </c>
      <c r="Q25" s="22">
        <f t="shared" si="2"/>
        <v>46.666211978863579</v>
      </c>
      <c r="R25" s="62">
        <f t="shared" si="0"/>
        <v>267.84712588233197</v>
      </c>
      <c r="S25" s="62">
        <f ca="1">AVERAGE(OFFSET($R$3,0,0,'Données projet'!$E$9+1,1))-AVERAGE(OFFSET($H$3,0,0,'Données projet'!$E$9+1,1))</f>
        <v>345.67675698621832</v>
      </c>
      <c r="T25" s="62">
        <f t="shared" si="34"/>
        <v>178.72086185623849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7.8</v>
      </c>
      <c r="AI25" s="14">
        <f>IF('Données projet'!$A$62&gt;35,AI24+AH25-AQ24,IF(A25&lt;'Données projet'!$A$62,$AF$205^A25,IF(A25='Données projet'!$A$62,'Données projet'!$B$62,AI24+AH25-AQ24)))</f>
        <v>30.6</v>
      </c>
      <c r="AJ25" s="14">
        <f>AI25*VLOOKUP('Données projet'!$B$10,Paramètres!$A$1:$I$89,3,0)*VLOOKUP('Données projet'!$B$10,Paramètres!$A$1:$I$89,5,0)</f>
        <v>26.732160000000004</v>
      </c>
      <c r="AK25" s="14">
        <f t="shared" si="35"/>
        <v>8.4038705306032053</v>
      </c>
      <c r="AL25" s="22">
        <f t="shared" si="4"/>
        <v>61.195253174133917</v>
      </c>
      <c r="AM25" s="62">
        <f t="shared" si="5"/>
        <v>282.3761670776023</v>
      </c>
      <c r="AN25" s="62">
        <f ca="1">AVERAGE(OFFSET($AM$3,0,0,'Données projet'!$E$10+1,1))-AVERAGE(OFFSET($H$3,0,0,'Données projet'!$E$10+1,1))</f>
        <v>219.21539650048186</v>
      </c>
      <c r="AO25" s="62">
        <f t="shared" si="36"/>
        <v>204.10961748628708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1.2363976688989011</v>
      </c>
      <c r="AX25" s="23">
        <f t="shared" si="6"/>
        <v>1.2363976688989011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19.914585729732917</v>
      </c>
      <c r="BF25" s="14">
        <f t="shared" si="37"/>
        <v>6.4788780403262072</v>
      </c>
      <c r="BG25" s="22">
        <f t="shared" si="7"/>
        <v>45.968616066186307</v>
      </c>
      <c r="BH25" s="62">
        <f t="shared" si="8"/>
        <v>267.14952996965468</v>
      </c>
      <c r="BI25" s="62">
        <f ca="1">AVERAGE(OFFSET($BH$3,0,0,'Données projet'!$E$11+1,1))-AVERAGE(OFFSET($H$3,0,0,'Données projet'!$E$11+1,1))</f>
        <v>341.48836779133632</v>
      </c>
      <c r="BJ25" s="62">
        <f t="shared" si="38"/>
        <v>176.87842498964287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>
        <f>BY25*VLOOKUP('Données projet'!$B$12,Paramètres!$A$1:$I$89,3,0)*VLOOKUP('Données projet'!$B$12,Paramètres!$A$1:$I$89,5,0)</f>
        <v>13.3801122871643</v>
      </c>
      <c r="CA25" s="14">
        <f t="shared" si="39"/>
        <v>4.5592342564985273</v>
      </c>
      <c r="CB25" s="22">
        <f t="shared" si="10"/>
        <v>31.244361896879429</v>
      </c>
      <c r="CC25" s="62">
        <f t="shared" si="11"/>
        <v>252.42527580034783</v>
      </c>
      <c r="CD25" s="62">
        <f ca="1">AVERAGE(OFFSET($CC$3,0,0,'Données projet'!$E$12+1,1))-AVERAGE(OFFSET($H$3,0,0,'Données projet'!$E$12+1,1))</f>
        <v>253.16238957399855</v>
      </c>
      <c r="CE25" s="62">
        <f t="shared" si="40"/>
        <v>138.00705940844708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23.173386724966843</v>
      </c>
      <c r="P26" s="14">
        <f t="shared" si="33"/>
        <v>7.4072464638622444</v>
      </c>
      <c r="Q26" s="22">
        <f t="shared" si="2"/>
        <v>53.261269470543994</v>
      </c>
      <c r="R26" s="62">
        <f t="shared" si="0"/>
        <v>276.74646618009047</v>
      </c>
      <c r="S26" s="62">
        <f ca="1">AVERAGE(OFFSET($R$3,0,0,'Données projet'!$E$9+1,1))-AVERAGE(OFFSET($H$3,0,0,'Données projet'!$E$9+1,1))</f>
        <v>345.67675698621832</v>
      </c>
      <c r="T26" s="62">
        <f t="shared" si="34"/>
        <v>178.72086185623849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7.8</v>
      </c>
      <c r="AI26" s="14">
        <f>IF('Données projet'!$A$62&gt;35,AI25+AH26-AQ25,IF(A26&lt;'Données projet'!$A$62,$AF$205^A26,IF(A26='Données projet'!$A$62,'Données projet'!$B$62,AI25+AH26-AQ25)))</f>
        <v>38.4</v>
      </c>
      <c r="AJ26" s="14">
        <f>AI26*VLOOKUP('Données projet'!$B$10,Paramètres!$A$1:$I$89,3,0)*VLOOKUP('Données projet'!$B$10,Paramètres!$A$1:$I$89,5,0)</f>
        <v>33.546240000000004</v>
      </c>
      <c r="AK26" s="14">
        <f t="shared" si="35"/>
        <v>10.270958406379922</v>
      </c>
      <c r="AL26" s="22">
        <f t="shared" si="4"/>
        <v>76.314953891111699</v>
      </c>
      <c r="AM26" s="62">
        <f t="shared" si="5"/>
        <v>299.80015060065818</v>
      </c>
      <c r="AN26" s="62">
        <f ca="1">AVERAGE(OFFSET($AM$3,0,0,'Données projet'!$E$10+1,1))-AVERAGE(OFFSET($H$3,0,0,'Données projet'!$E$10+1,1))</f>
        <v>219.21539650048186</v>
      </c>
      <c r="AO26" s="62">
        <f t="shared" si="36"/>
        <v>204.10961748628708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0.87426517592165276</v>
      </c>
      <c r="AX26" s="23">
        <f t="shared" si="6"/>
        <v>0.87426517592165276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22.816873083044275</v>
      </c>
      <c r="BF26" s="14">
        <f t="shared" si="37"/>
        <v>7.3064628156598772</v>
      </c>
      <c r="BG26" s="22">
        <f t="shared" si="7"/>
        <v>52.464810023576398</v>
      </c>
      <c r="BH26" s="62">
        <f t="shared" si="8"/>
        <v>275.9500067331229</v>
      </c>
      <c r="BI26" s="62">
        <f ca="1">AVERAGE(OFFSET($BH$3,0,0,'Données projet'!$E$11+1,1))-AVERAGE(OFFSET($H$3,0,0,'Données projet'!$E$11+1,1))</f>
        <v>341.48836779133632</v>
      </c>
      <c r="BJ26" s="62">
        <f t="shared" si="38"/>
        <v>176.87842498964287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>
        <f>BY26*VLOOKUP('Données projet'!$B$12,Paramètres!$A$1:$I$89,3,0)*VLOOKUP('Données projet'!$B$12,Paramètres!$A$1:$I$89,5,0)</f>
        <v>15.330086602670374</v>
      </c>
      <c r="CA26" s="14">
        <f t="shared" si="39"/>
        <v>5.1416117660569478</v>
      </c>
      <c r="CB26" s="22">
        <f t="shared" si="10"/>
        <v>35.654874658866753</v>
      </c>
      <c r="CC26" s="62">
        <f t="shared" si="11"/>
        <v>259.14007136841326</v>
      </c>
      <c r="CD26" s="62">
        <f ca="1">AVERAGE(OFFSET($CC$3,0,0,'Données projet'!$E$12+1,1))-AVERAGE(OFFSET($H$3,0,0,'Données projet'!$E$12+1,1))</f>
        <v>253.16238957399855</v>
      </c>
      <c r="CE26" s="62">
        <f t="shared" si="40"/>
        <v>138.00705940844708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26.550601201733496</v>
      </c>
      <c r="P27" s="14">
        <f t="shared" si="33"/>
        <v>8.3534171376241328</v>
      </c>
      <c r="Q27" s="22">
        <f t="shared" si="2"/>
        <v>60.7911652743812</v>
      </c>
      <c r="R27" s="62">
        <f t="shared" si="0"/>
        <v>286.561873458001</v>
      </c>
      <c r="S27" s="62">
        <f ca="1">AVERAGE(OFFSET($R$3,0,0,'Données projet'!$E$9+1,1))-AVERAGE(OFFSET($H$3,0,0,'Données projet'!$E$9+1,1))</f>
        <v>345.67675698621832</v>
      </c>
      <c r="T27" s="62">
        <f t="shared" si="34"/>
        <v>178.72086185623849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7.8</v>
      </c>
      <c r="AI27" s="14">
        <f>IF('Données projet'!$A$62&gt;35,AI26+AH27-AQ26,IF(A27&lt;'Données projet'!$A$62,$AF$205^A27,IF(A27='Données projet'!$A$62,'Données projet'!$B$62,AI26+AH27-AQ26)))</f>
        <v>46.199999999999996</v>
      </c>
      <c r="AJ27" s="14">
        <f>AI27*VLOOKUP('Données projet'!$B$10,Paramètres!$A$1:$I$89,3,0)*VLOOKUP('Données projet'!$B$10,Paramètres!$A$1:$I$89,5,0)</f>
        <v>40.360320000000002</v>
      </c>
      <c r="AK27" s="14">
        <f t="shared" si="35"/>
        <v>12.09409986057485</v>
      </c>
      <c r="AL27" s="22">
        <f t="shared" si="4"/>
        <v>91.358114590501202</v>
      </c>
      <c r="AM27" s="62">
        <f t="shared" si="5"/>
        <v>317.12882277412098</v>
      </c>
      <c r="AN27" s="62">
        <f ca="1">AVERAGE(OFFSET($AM$3,0,0,'Données projet'!$E$10+1,1))-AVERAGE(OFFSET($H$3,0,0,'Données projet'!$E$10+1,1))</f>
        <v>219.21539650048186</v>
      </c>
      <c r="AO27" s="62">
        <f t="shared" si="36"/>
        <v>204.10961748628708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0.61819883444945067</v>
      </c>
      <c r="AX27" s="23">
        <f t="shared" si="6"/>
        <v>0.61819883444945067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26.14213041401452</v>
      </c>
      <c r="BF27" s="14">
        <f t="shared" si="37"/>
        <v>8.239759807846692</v>
      </c>
      <c r="BG27" s="22">
        <f t="shared" si="7"/>
        <v>59.881792136408279</v>
      </c>
      <c r="BH27" s="62">
        <f t="shared" si="8"/>
        <v>285.65250032002808</v>
      </c>
      <c r="BI27" s="62">
        <f ca="1">AVERAGE(OFFSET($BH$3,0,0,'Données projet'!$E$11+1,1))-AVERAGE(OFFSET($H$3,0,0,'Données projet'!$E$11+1,1))</f>
        <v>341.48836779133632</v>
      </c>
      <c r="BJ27" s="62">
        <f t="shared" si="38"/>
        <v>176.87842498964287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>
        <f>BY27*VLOOKUP('Données projet'!$B$12,Paramètres!$A$1:$I$89,3,0)*VLOOKUP('Données projet'!$B$12,Paramètres!$A$1:$I$89,5,0)</f>
        <v>17.564243871916005</v>
      </c>
      <c r="CA27" s="14">
        <f t="shared" si="39"/>
        <v>5.7983797422065528</v>
      </c>
      <c r="CB27" s="22">
        <f t="shared" si="10"/>
        <v>40.689902794596783</v>
      </c>
      <c r="CC27" s="62">
        <f t="shared" si="11"/>
        <v>266.46061097821661</v>
      </c>
      <c r="CD27" s="62">
        <f ca="1">AVERAGE(OFFSET($CC$3,0,0,'Données projet'!$E$12+1,1))-AVERAGE(OFFSET($H$3,0,0,'Données projet'!$E$12+1,1))</f>
        <v>253.16238957399855</v>
      </c>
      <c r="CE27" s="62">
        <f t="shared" si="40"/>
        <v>138.00705940844708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30.42</v>
      </c>
      <c r="P28" s="14">
        <f t="shared" si="33"/>
        <v>9.4204476947792024</v>
      </c>
      <c r="Q28" s="22">
        <f t="shared" si="2"/>
        <v>69.388779735073783</v>
      </c>
      <c r="R28" s="62">
        <f t="shared" si="0"/>
        <v>297.42655370140591</v>
      </c>
      <c r="S28" s="62">
        <f ca="1">AVERAGE(OFFSET($R$3,0,0,'Données projet'!$E$9+1,1))-AVERAGE(OFFSET($H$3,0,0,'Données projet'!$E$9+1,1))</f>
        <v>345.67675698621832</v>
      </c>
      <c r="T28" s="62">
        <f t="shared" si="34"/>
        <v>178.72086185623849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54</v>
      </c>
      <c r="AG28" s="13">
        <f>VLOOKUP(A28,'Données projet'!$A$61:$I$81,9,0)</f>
        <v>7.8</v>
      </c>
      <c r="AH28" s="13">
        <f t="array" ref="AH28">INDEX(AG:AG,MIN(IF(ISNUMBER(AG28:AG224),ROW(AG28:AG224),"")))</f>
        <v>7.8</v>
      </c>
      <c r="AI28" s="14">
        <f>IF('Données projet'!$A$62&gt;35,AI27+AH28-AQ27,IF(A28&lt;'Données projet'!$A$62,$AF$205^A28,IF(A28='Données projet'!$A$62,'Données projet'!$B$62,AI27+AH28-AQ27)))</f>
        <v>53.999999999999993</v>
      </c>
      <c r="AJ28" s="14">
        <f>AI28*VLOOKUP('Données projet'!$B$10,Paramètres!$A$1:$I$89,3,0)*VLOOKUP('Données projet'!$B$10,Paramètres!$A$1:$I$89,5,0)</f>
        <v>47.174399999999999</v>
      </c>
      <c r="AK28" s="14">
        <f t="shared" si="35"/>
        <v>13.881584044427933</v>
      </c>
      <c r="AL28" s="22">
        <f t="shared" si="4"/>
        <v>106.33917221071198</v>
      </c>
      <c r="AM28" s="62">
        <f t="shared" si="5"/>
        <v>334.37694617704409</v>
      </c>
      <c r="AN28" s="62">
        <f ca="1">AVERAGE(OFFSET($AM$3,0,0,'Données projet'!$E$10+1,1))-AVERAGE(OFFSET($H$3,0,0,'Données projet'!$E$10+1,1))</f>
        <v>219.21539650048186</v>
      </c>
      <c r="AO28" s="62">
        <f t="shared" si="36"/>
        <v>204.10961748628708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0.159</v>
      </c>
      <c r="AT28" s="17">
        <f>IF(ISNA(VLOOKUP(A28,'Données projet'!$A$61:$I$81,7,0)),0%,VLOOKUP(A28,'Données projet'!$A$61:$I$81,7,0))</f>
        <v>0.7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2.1412705186511189</v>
      </c>
      <c r="AW28" s="23">
        <f>EXP(-LN(2)/2)*AW27+(1-EXP(-LN(2)/2))/(LN(2)/2)*AQ28*AT28*VLOOKUP('Données projet'!$B$10,Paramètres!$A$1:$I$89,3,0)*0.475*44/12</f>
        <v>8.514930691433646</v>
      </c>
      <c r="AX28" s="23">
        <f t="shared" si="6"/>
        <v>10.656201210084765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29.951999999999998</v>
      </c>
      <c r="BF28" s="14">
        <f t="shared" si="37"/>
        <v>9.2922722532016273</v>
      </c>
      <c r="BG28" s="22">
        <f t="shared" si="7"/>
        <v>68.350440840992832</v>
      </c>
      <c r="BH28" s="62">
        <f t="shared" si="8"/>
        <v>296.38821480732497</v>
      </c>
      <c r="BI28" s="62">
        <f ca="1">AVERAGE(OFFSET($BH$3,0,0,'Données projet'!$E$11+1,1))-AVERAGE(OFFSET($H$3,0,0,'Données projet'!$E$11+1,1))</f>
        <v>341.48836779133632</v>
      </c>
      <c r="BJ28" s="62">
        <f t="shared" si="38"/>
        <v>176.87842498964287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>
        <f>BY28*VLOOKUP('Données projet'!$B$12,Paramètres!$A$1:$I$89,3,0)*VLOOKUP('Données projet'!$B$12,Paramètres!$A$1:$I$89,5,0)</f>
        <v>20.124000000000002</v>
      </c>
      <c r="CA28" s="14">
        <f t="shared" si="39"/>
        <v>6.539040511923969</v>
      </c>
      <c r="CB28" s="22">
        <f t="shared" si="10"/>
        <v>46.438128891600911</v>
      </c>
      <c r="CC28" s="62">
        <f t="shared" si="11"/>
        <v>274.47590285793302</v>
      </c>
      <c r="CD28" s="62">
        <f ca="1">AVERAGE(OFFSET($CC$3,0,0,'Données projet'!$E$12+1,1))-AVERAGE(OFFSET($H$3,0,0,'Données projet'!$E$12+1,1))</f>
        <v>253.16238957399855</v>
      </c>
      <c r="CE28" s="62">
        <f t="shared" si="40"/>
        <v>138.00705940844708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35.287199999999999</v>
      </c>
      <c r="P29" s="14">
        <f t="shared" si="33"/>
        <v>10.740552489323523</v>
      </c>
      <c r="Q29" s="22">
        <f t="shared" si="2"/>
        <v>80.165002252238452</v>
      </c>
      <c r="R29" s="62">
        <f t="shared" si="0"/>
        <v>310.45171630142863</v>
      </c>
      <c r="S29" s="62">
        <f ca="1">AVERAGE(OFFSET($R$3,0,0,'Données projet'!$E$9+1,1))-AVERAGE(OFFSET($H$3,0,0,'Données projet'!$E$9+1,1))</f>
        <v>345.67675698621832</v>
      </c>
      <c r="T29" s="62">
        <f t="shared" si="34"/>
        <v>178.72086185623849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7.2</v>
      </c>
      <c r="AI29" s="14">
        <f>IF('Données projet'!$A$62&gt;35,AI28+AH29-AQ28,IF(A29&lt;'Données projet'!$A$62,$AF$205^A29,IF(A29='Données projet'!$A$62,'Données projet'!$B$62,AI28+AH29-AQ28)))</f>
        <v>47.199999999999996</v>
      </c>
      <c r="AJ29" s="14">
        <f>AI29*VLOOKUP('Données projet'!$B$10,Paramètres!$A$1:$I$89,3,0)*VLOOKUP('Données projet'!$B$10,Paramètres!$A$1:$I$89,5,0)</f>
        <v>41.233919999999998</v>
      </c>
      <c r="AK29" s="14">
        <f t="shared" si="35"/>
        <v>12.325116999638462</v>
      </c>
      <c r="AL29" s="22">
        <f t="shared" si="4"/>
        <v>93.28198944103697</v>
      </c>
      <c r="AM29" s="62">
        <f t="shared" si="5"/>
        <v>323.56870349022716</v>
      </c>
      <c r="AN29" s="62">
        <f ca="1">AVERAGE(OFFSET($AM$3,0,0,'Données projet'!$E$10+1,1))-AVERAGE(OFFSET($H$3,0,0,'Données projet'!$E$10+1,1))</f>
        <v>219.21539650048186</v>
      </c>
      <c r="AO29" s="62">
        <f t="shared" si="36"/>
        <v>204.10961748628708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2.0827173637140817</v>
      </c>
      <c r="AW29" s="23">
        <f>EXP(-LN(2)/2)*AW28+(1-EXP(-LN(2)/2))/(LN(2)/2)*AQ29*AT29*VLOOKUP('Données projet'!$B$10,Paramètres!$A$1:$I$89,3,0)*0.475*44/12</f>
        <v>6.0209652332461889</v>
      </c>
      <c r="AX29" s="23">
        <f t="shared" si="6"/>
        <v>8.1036825969602706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34.744320000000002</v>
      </c>
      <c r="BF29" s="14">
        <f t="shared" si="37"/>
        <v>10.594415585567971</v>
      </c>
      <c r="BG29" s="22">
        <f t="shared" si="7"/>
        <v>78.964964478197544</v>
      </c>
      <c r="BH29" s="62">
        <f t="shared" si="8"/>
        <v>309.25167852738775</v>
      </c>
      <c r="BI29" s="62">
        <f ca="1">AVERAGE(OFFSET($BH$3,0,0,'Données projet'!$E$11+1,1))-AVERAGE(OFFSET($H$3,0,0,'Données projet'!$E$11+1,1))</f>
        <v>341.48836779133632</v>
      </c>
      <c r="BJ29" s="62">
        <f t="shared" si="38"/>
        <v>176.87842498964287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>
        <f>BY29*VLOOKUP('Données projet'!$B$12,Paramètres!$A$1:$I$89,3,0)*VLOOKUP('Données projet'!$B$12,Paramètres!$A$1:$I$89,5,0)</f>
        <v>23.34384</v>
      </c>
      <c r="CA29" s="14">
        <f t="shared" si="39"/>
        <v>7.4553683777741586</v>
      </c>
      <c r="CB29" s="22">
        <f t="shared" si="10"/>
        <v>53.641954591289988</v>
      </c>
      <c r="CC29" s="62">
        <f t="shared" si="11"/>
        <v>283.92866864048017</v>
      </c>
      <c r="CD29" s="62">
        <f ca="1">AVERAGE(OFFSET($CC$3,0,0,'Données projet'!$E$12+1,1))-AVERAGE(OFFSET($H$3,0,0,'Données projet'!$E$12+1,1))</f>
        <v>253.16238957399855</v>
      </c>
      <c r="CE29" s="62">
        <f t="shared" si="40"/>
        <v>138.00705940844708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40.154399999999995</v>
      </c>
      <c r="P30" s="14">
        <f t="shared" si="33"/>
        <v>12.039561463286329</v>
      </c>
      <c r="Q30" s="22">
        <f t="shared" si="2"/>
        <v>90.90448288189036</v>
      </c>
      <c r="R30" s="62">
        <f t="shared" si="0"/>
        <v>323.42232575445388</v>
      </c>
      <c r="S30" s="62">
        <f ca="1">AVERAGE(OFFSET($R$3,0,0,'Données projet'!$E$9+1,1))-AVERAGE(OFFSET($H$3,0,0,'Données projet'!$E$9+1,1))</f>
        <v>345.67675698621832</v>
      </c>
      <c r="T30" s="62">
        <f t="shared" si="34"/>
        <v>178.72086185623849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7.2</v>
      </c>
      <c r="AI30" s="14">
        <f>IF('Données projet'!$A$62&gt;35,AI29+AH30-AQ29,IF(A30&lt;'Données projet'!$A$62,$AF$205^A30,IF(A30='Données projet'!$A$62,'Données projet'!$B$62,AI29+AH30-AQ29)))</f>
        <v>54.4</v>
      </c>
      <c r="AJ30" s="14">
        <f>AI30*VLOOKUP('Données projet'!$B$10,Paramètres!$A$1:$I$89,3,0)*VLOOKUP('Données projet'!$B$10,Paramètres!$A$1:$I$89,5,0)</f>
        <v>47.523840000000007</v>
      </c>
      <c r="AK30" s="14">
        <f t="shared" si="35"/>
        <v>13.972402520519896</v>
      </c>
      <c r="AL30" s="22">
        <f t="shared" si="4"/>
        <v>107.10595572323882</v>
      </c>
      <c r="AM30" s="62">
        <f t="shared" si="5"/>
        <v>339.62379859580233</v>
      </c>
      <c r="AN30" s="62">
        <f ca="1">AVERAGE(OFFSET($AM$3,0,0,'Données projet'!$E$10+1,1))-AVERAGE(OFFSET($H$3,0,0,'Données projet'!$E$10+1,1))</f>
        <v>219.21539650048186</v>
      </c>
      <c r="AO30" s="62">
        <f t="shared" si="36"/>
        <v>204.10961748628708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2.0257653478779742</v>
      </c>
      <c r="AW30" s="23">
        <f>EXP(-LN(2)/2)*AW29+(1-EXP(-LN(2)/2))/(LN(2)/2)*AQ30*AT30*VLOOKUP('Données projet'!$B$10,Paramètres!$A$1:$I$89,3,0)*0.475*44/12</f>
        <v>4.257465345716823</v>
      </c>
      <c r="AX30" s="23">
        <f t="shared" si="6"/>
        <v>6.2832306935947972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39.536639999999998</v>
      </c>
      <c r="BF30" s="14">
        <f t="shared" si="37"/>
        <v>11.875750128946851</v>
      </c>
      <c r="BG30" s="22">
        <f t="shared" si="7"/>
        <v>89.543246141249099</v>
      </c>
      <c r="BH30" s="62">
        <f t="shared" si="8"/>
        <v>322.06108901381259</v>
      </c>
      <c r="BI30" s="62">
        <f ca="1">AVERAGE(OFFSET($BH$3,0,0,'Données projet'!$E$11+1,1))-AVERAGE(OFFSET($H$3,0,0,'Données projet'!$E$11+1,1))</f>
        <v>341.48836779133632</v>
      </c>
      <c r="BJ30" s="62">
        <f t="shared" si="38"/>
        <v>176.87842498964287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>
        <f>BY30*VLOOKUP('Données projet'!$B$12,Paramètres!$A$1:$I$89,3,0)*VLOOKUP('Données projet'!$B$12,Paramètres!$A$1:$I$89,5,0)</f>
        <v>26.563679999999998</v>
      </c>
      <c r="CA30" s="14">
        <f t="shared" si="39"/>
        <v>8.3570529453561306</v>
      </c>
      <c r="CB30" s="22">
        <f t="shared" si="10"/>
        <v>60.820276546495258</v>
      </c>
      <c r="CC30" s="62">
        <f t="shared" si="11"/>
        <v>293.33811941905878</v>
      </c>
      <c r="CD30" s="62">
        <f ca="1">AVERAGE(OFFSET($CC$3,0,0,'Données projet'!$E$12+1,1))-AVERAGE(OFFSET($H$3,0,0,'Données projet'!$E$12+1,1))</f>
        <v>253.16238957399855</v>
      </c>
      <c r="CE30" s="62">
        <f t="shared" si="40"/>
        <v>138.00705940844708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45.021599999999992</v>
      </c>
      <c r="P31" s="14">
        <f t="shared" si="33"/>
        <v>13.320324173992205</v>
      </c>
      <c r="Q31" s="22">
        <f t="shared" si="2"/>
        <v>101.6121846030364</v>
      </c>
      <c r="R31" s="62">
        <f t="shared" si="0"/>
        <v>336.3436540250205</v>
      </c>
      <c r="S31" s="62">
        <f ca="1">AVERAGE(OFFSET($R$3,0,0,'Données projet'!$E$9+1,1))-AVERAGE(OFFSET($H$3,0,0,'Données projet'!$E$9+1,1))</f>
        <v>345.67675698621832</v>
      </c>
      <c r="T31" s="62">
        <f t="shared" si="34"/>
        <v>178.72086185623849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7.2</v>
      </c>
      <c r="AI31" s="14">
        <f>IF('Données projet'!$A$62&gt;35,AI30+AH31-AQ30,IF(A31&lt;'Données projet'!$A$62,$AF$205^A31,IF(A31='Données projet'!$A$62,'Données projet'!$B$62,AI30+AH31-AQ30)))</f>
        <v>61.6</v>
      </c>
      <c r="AJ31" s="14">
        <f>AI31*VLOOKUP('Données projet'!$B$10,Paramètres!$A$1:$I$89,3,0)*VLOOKUP('Données projet'!$B$10,Paramètres!$A$1:$I$89,5,0)</f>
        <v>53.813760000000002</v>
      </c>
      <c r="AK31" s="14">
        <f t="shared" si="35"/>
        <v>15.594426863248383</v>
      </c>
      <c r="AL31" s="22">
        <f t="shared" si="4"/>
        <v>120.88592545349094</v>
      </c>
      <c r="AM31" s="62">
        <f t="shared" si="5"/>
        <v>355.61739487547504</v>
      </c>
      <c r="AN31" s="62">
        <f ca="1">AVERAGE(OFFSET($AM$3,0,0,'Données projet'!$E$10+1,1))-AVERAGE(OFFSET($H$3,0,0,'Données projet'!$E$10+1,1))</f>
        <v>219.21539650048186</v>
      </c>
      <c r="AO31" s="62">
        <f t="shared" si="36"/>
        <v>204.10961748628708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1.9703706879098812</v>
      </c>
      <c r="AW31" s="23">
        <f>EXP(-LN(2)/2)*AW30+(1-EXP(-LN(2)/2))/(LN(2)/2)*AQ31*AT31*VLOOKUP('Données projet'!$B$10,Paramètres!$A$1:$I$89,3,0)*0.475*44/12</f>
        <v>3.0104826166230945</v>
      </c>
      <c r="AX31" s="23">
        <f t="shared" si="6"/>
        <v>4.9808533045329755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44.328959999999995</v>
      </c>
      <c r="BF31" s="14">
        <f t="shared" si="37"/>
        <v>13.139086669334745</v>
      </c>
      <c r="BG31" s="22">
        <f t="shared" si="7"/>
        <v>100.09018128242467</v>
      </c>
      <c r="BH31" s="62">
        <f t="shared" si="8"/>
        <v>334.82165070440874</v>
      </c>
      <c r="BI31" s="62">
        <f ca="1">AVERAGE(OFFSET($BH$3,0,0,'Données projet'!$E$11+1,1))-AVERAGE(OFFSET($H$3,0,0,'Données projet'!$E$11+1,1))</f>
        <v>341.48836779133632</v>
      </c>
      <c r="BJ31" s="62">
        <f t="shared" si="38"/>
        <v>176.87842498964287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>
        <f>BY31*VLOOKUP('Données projet'!$B$12,Paramètres!$A$1:$I$89,3,0)*VLOOKUP('Données projet'!$B$12,Paramètres!$A$1:$I$89,5,0)</f>
        <v>29.783519999999992</v>
      </c>
      <c r="CA31" s="14">
        <f t="shared" si="39"/>
        <v>9.2460721855042003</v>
      </c>
      <c r="CB31" s="22">
        <f t="shared" si="10"/>
        <v>67.976539723086475</v>
      </c>
      <c r="CC31" s="62">
        <f t="shared" si="11"/>
        <v>302.70800914507055</v>
      </c>
      <c r="CD31" s="62">
        <f ca="1">AVERAGE(OFFSET($CC$3,0,0,'Données projet'!$E$12+1,1))-AVERAGE(OFFSET($H$3,0,0,'Données projet'!$E$12+1,1))</f>
        <v>253.16238957399855</v>
      </c>
      <c r="CE31" s="62">
        <f t="shared" si="40"/>
        <v>138.00705940844708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49.888799999999989</v>
      </c>
      <c r="P32" s="14">
        <f t="shared" si="33"/>
        <v>14.585038058304724</v>
      </c>
      <c r="Q32" s="22">
        <f t="shared" si="2"/>
        <v>112.29193461821403</v>
      </c>
      <c r="R32" s="62">
        <f t="shared" si="0"/>
        <v>349.21983194098988</v>
      </c>
      <c r="S32" s="62">
        <f ca="1">AVERAGE(OFFSET($R$3,0,0,'Données projet'!$E$9+1,1))-AVERAGE(OFFSET($H$3,0,0,'Données projet'!$E$9+1,1))</f>
        <v>345.67675698621832</v>
      </c>
      <c r="T32" s="62">
        <f t="shared" si="34"/>
        <v>178.72086185623849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7.2</v>
      </c>
      <c r="AI32" s="14">
        <f>IF('Données projet'!$A$62&gt;35,AI31+AH32-AQ31,IF(A32&lt;'Données projet'!$A$62,$AF$205^A32,IF(A32='Données projet'!$A$62,'Données projet'!$B$62,AI31+AH32-AQ31)))</f>
        <v>68.8</v>
      </c>
      <c r="AJ32" s="14">
        <f>AI32*VLOOKUP('Données projet'!$B$10,Paramètres!$A$1:$I$89,3,0)*VLOOKUP('Données projet'!$B$10,Paramètres!$A$1:$I$89,5,0)</f>
        <v>60.103679999999997</v>
      </c>
      <c r="AK32" s="14">
        <f t="shared" si="35"/>
        <v>17.194479934863121</v>
      </c>
      <c r="AL32" s="22">
        <f t="shared" si="4"/>
        <v>134.62762855321992</v>
      </c>
      <c r="AM32" s="62">
        <f t="shared" si="5"/>
        <v>371.55552587599573</v>
      </c>
      <c r="AN32" s="62">
        <f ca="1">AVERAGE(OFFSET($AM$3,0,0,'Données projet'!$E$10+1,1))-AVERAGE(OFFSET($H$3,0,0,'Données projet'!$E$10+1,1))</f>
        <v>219.21539650048186</v>
      </c>
      <c r="AO32" s="62">
        <f t="shared" si="36"/>
        <v>204.10961748628708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1.9164907978316943</v>
      </c>
      <c r="AW32" s="23">
        <f>EXP(-LN(2)/2)*AW31+(1-EXP(-LN(2)/2))/(LN(2)/2)*AQ32*AT32*VLOOKUP('Données projet'!$B$10,Paramètres!$A$1:$I$89,3,0)*0.475*44/12</f>
        <v>2.1287326728584115</v>
      </c>
      <c r="AX32" s="23">
        <f t="shared" si="6"/>
        <v>4.0452234706901056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49.121279999999992</v>
      </c>
      <c r="BF32" s="14">
        <f t="shared" si="37"/>
        <v>14.386592745075609</v>
      </c>
      <c r="BG32" s="22">
        <f t="shared" si="7"/>
        <v>110.60954503100668</v>
      </c>
      <c r="BH32" s="62">
        <f t="shared" si="8"/>
        <v>347.53744235378252</v>
      </c>
      <c r="BI32" s="62">
        <f ca="1">AVERAGE(OFFSET($BH$3,0,0,'Données projet'!$E$11+1,1))-AVERAGE(OFFSET($H$3,0,0,'Données projet'!$E$11+1,1))</f>
        <v>341.48836779133632</v>
      </c>
      <c r="BJ32" s="62">
        <f t="shared" si="38"/>
        <v>176.87842498964287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>
        <f>BY32*VLOOKUP('Données projet'!$B$12,Paramètres!$A$1:$I$89,3,0)*VLOOKUP('Données projet'!$B$12,Paramètres!$A$1:$I$89,5,0)</f>
        <v>33.003359999999994</v>
      </c>
      <c r="CA32" s="14">
        <f t="shared" si="39"/>
        <v>10.12395141093587</v>
      </c>
      <c r="CB32" s="22">
        <f t="shared" si="10"/>
        <v>75.113400707379952</v>
      </c>
      <c r="CC32" s="62">
        <f t="shared" si="11"/>
        <v>312.04129803015576</v>
      </c>
      <c r="CD32" s="62">
        <f ca="1">AVERAGE(OFFSET($CC$3,0,0,'Données projet'!$E$12+1,1))-AVERAGE(OFFSET($H$3,0,0,'Données projet'!$E$12+1,1))</f>
        <v>253.16238957399855</v>
      </c>
      <c r="CE32" s="62">
        <f t="shared" si="40"/>
        <v>138.00705940844708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54.755999999999993</v>
      </c>
      <c r="P33" s="14">
        <f t="shared" si="33"/>
        <v>15.835447037242044</v>
      </c>
      <c r="Q33" s="22">
        <f t="shared" si="2"/>
        <v>122.94677025652987</v>
      </c>
      <c r="R33" s="62">
        <f t="shared" si="0"/>
        <v>362.05419518957183</v>
      </c>
      <c r="S33" s="62">
        <f ca="1">AVERAGE(OFFSET($R$3,0,0,'Données projet'!$E$9+1,1))-AVERAGE(OFFSET($H$3,0,0,'Données projet'!$E$9+1,1))</f>
        <v>345.67675698621832</v>
      </c>
      <c r="T33" s="62">
        <f t="shared" si="34"/>
        <v>178.72086185623849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76</v>
      </c>
      <c r="AG33" s="13">
        <f>VLOOKUP(A33,'Données projet'!$A$61:$I$81,9,0)</f>
        <v>7.2</v>
      </c>
      <c r="AH33" s="13">
        <f t="array" ref="AH33">INDEX(AG:AG,MIN(IF(ISNUMBER(AG33:AG229),ROW(AG33:AG229),"")))</f>
        <v>7.2</v>
      </c>
      <c r="AI33" s="14">
        <f>IF('Données projet'!$A$62&gt;35,AI32+AH33-AQ32,IF(A33&lt;'Données projet'!$A$62,$AF$205^A33,IF(A33='Données projet'!$A$62,'Données projet'!$B$62,AI32+AH33-AQ32)))</f>
        <v>76</v>
      </c>
      <c r="AJ33" s="14">
        <f>AI33*VLOOKUP('Données projet'!$B$10,Paramètres!$A$1:$I$89,3,0)*VLOOKUP('Données projet'!$B$10,Paramètres!$A$1:$I$89,5,0)</f>
        <v>66.393600000000006</v>
      </c>
      <c r="AK33" s="14">
        <f t="shared" si="35"/>
        <v>18.775122997078544</v>
      </c>
      <c r="AL33" s="22">
        <f t="shared" si="4"/>
        <v>148.33552588657844</v>
      </c>
      <c r="AM33" s="62">
        <f t="shared" si="5"/>
        <v>387.44295081962042</v>
      </c>
      <c r="AN33" s="62">
        <f ca="1">AVERAGE(OFFSET($AM$3,0,0,'Données projet'!$E$10+1,1))-AVERAGE(OFFSET($H$3,0,0,'Données projet'!$E$10+1,1))</f>
        <v>219.21539650048186</v>
      </c>
      <c r="AO33" s="62">
        <f t="shared" si="36"/>
        <v>204.10961748628708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14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0.26500000000000001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5.432868453932981</v>
      </c>
      <c r="AW33" s="23">
        <f>EXP(-LN(2)/2)*AW32+(1-EXP(-LN(2)/2))/(LN(2)/2)*AQ33*AT33*VLOOKUP('Données projet'!$B$10,Paramètres!$A$1:$I$89,3,0)*0.475*44/12</f>
        <v>7.2750970965064177</v>
      </c>
      <c r="AX33" s="23">
        <f t="shared" si="6"/>
        <v>12.707965550439399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53.913599999999995</v>
      </c>
      <c r="BF33" s="14">
        <f t="shared" si="37"/>
        <v>15.619988549244528</v>
      </c>
      <c r="BG33" s="22">
        <f t="shared" si="7"/>
        <v>121.10433338993421</v>
      </c>
      <c r="BH33" s="62">
        <f t="shared" si="8"/>
        <v>360.21175832297621</v>
      </c>
      <c r="BI33" s="62">
        <f ca="1">AVERAGE(OFFSET($BH$3,0,0,'Données projet'!$E$11+1,1))-AVERAGE(OFFSET($H$3,0,0,'Données projet'!$E$11+1,1))</f>
        <v>341.48836779133632</v>
      </c>
      <c r="BJ33" s="62">
        <f t="shared" si="38"/>
        <v>176.87842498964287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>
        <f>BY33*VLOOKUP('Données projet'!$B$12,Paramètres!$A$1:$I$89,3,0)*VLOOKUP('Données projet'!$B$12,Paramètres!$A$1:$I$89,5,0)</f>
        <v>36.223199999999991</v>
      </c>
      <c r="CA33" s="14">
        <f t="shared" si="39"/>
        <v>10.991901134203907</v>
      </c>
      <c r="CB33" s="22">
        <f t="shared" si="10"/>
        <v>82.232967808738451</v>
      </c>
      <c r="CC33" s="62">
        <f t="shared" si="11"/>
        <v>321.34039274178042</v>
      </c>
      <c r="CD33" s="62">
        <f ca="1">AVERAGE(OFFSET($CC$3,0,0,'Données projet'!$E$12+1,1))-AVERAGE(OFFSET($H$3,0,0,'Données projet'!$E$12+1,1))</f>
        <v>253.16238957399855</v>
      </c>
      <c r="CE33" s="62">
        <f t="shared" si="40"/>
        <v>138.00705940844708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59.825999999999993</v>
      </c>
      <c r="P34" s="14">
        <f t="shared" si="33"/>
        <v>17.124268920142534</v>
      </c>
      <c r="Q34" s="22">
        <f t="shared" si="2"/>
        <v>134.02171836924822</v>
      </c>
      <c r="R34" s="62">
        <f t="shared" si="0"/>
        <v>374.06984158206581</v>
      </c>
      <c r="S34" s="62">
        <f ca="1">AVERAGE(OFFSET($R$3,0,0,'Données projet'!$E$9+1,1))-AVERAGE(OFFSET($H$3,0,0,'Données projet'!$E$9+1,1))</f>
        <v>345.67675698621832</v>
      </c>
      <c r="T34" s="62">
        <f t="shared" si="34"/>
        <v>178.72086185623849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6.6</v>
      </c>
      <c r="AI34" s="14">
        <f>IF('Données projet'!$A$62&gt;35,AI33+AH34-AQ33,IF(A34&lt;'Données projet'!$A$62,$AF$205^A34,IF(A34='Données projet'!$A$62,'Données projet'!$B$62,AI33+AH34-AQ33)))</f>
        <v>68.599999999999994</v>
      </c>
      <c r="AJ34" s="14">
        <f>AI34*VLOOKUP('Données projet'!$B$10,Paramètres!$A$1:$I$89,3,0)*VLOOKUP('Données projet'!$B$10,Paramètres!$A$1:$I$89,5,0)</f>
        <v>59.928960000000011</v>
      </c>
      <c r="AK34" s="14">
        <f t="shared" si="35"/>
        <v>17.150306633391633</v>
      </c>
      <c r="AL34" s="22">
        <f t="shared" si="4"/>
        <v>134.24638938649042</v>
      </c>
      <c r="AM34" s="62">
        <f t="shared" si="5"/>
        <v>374.29451259930795</v>
      </c>
      <c r="AN34" s="62">
        <f ca="1">AVERAGE(OFFSET($AM$3,0,0,'Données projet'!$E$10+1,1))-AVERAGE(OFFSET($H$3,0,0,'Données projet'!$E$10+1,1))</f>
        <v>219.21539650048186</v>
      </c>
      <c r="AO34" s="62">
        <f t="shared" si="36"/>
        <v>204.10961748628708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5.284306380358049</v>
      </c>
      <c r="AW34" s="23">
        <f>EXP(-LN(2)/2)*AW33+(1-EXP(-LN(2)/2))/(LN(2)/2)*AQ34*AT34*VLOOKUP('Données projet'!$B$10,Paramètres!$A$1:$I$89,3,0)*0.475*44/12</f>
        <v>5.1442704907302508</v>
      </c>
      <c r="AX34" s="23">
        <f t="shared" si="6"/>
        <v>10.4285768710883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58.905599999999986</v>
      </c>
      <c r="BF34" s="14">
        <f t="shared" si="37"/>
        <v>16.891274608019895</v>
      </c>
      <c r="BG34" s="22">
        <f t="shared" si="7"/>
        <v>132.01288994230126</v>
      </c>
      <c r="BH34" s="62">
        <f t="shared" si="8"/>
        <v>372.06101315511881</v>
      </c>
      <c r="BI34" s="62">
        <f ca="1">AVERAGE(OFFSET($BH$3,0,0,'Données projet'!$E$11+1,1))-AVERAGE(OFFSET($H$3,0,0,'Données projet'!$E$11+1,1))</f>
        <v>341.48836779133632</v>
      </c>
      <c r="BJ34" s="62">
        <f t="shared" si="38"/>
        <v>176.87842498964287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58.999999999999986</v>
      </c>
      <c r="BZ34" s="14">
        <f>BY34*VLOOKUP('Données projet'!$B$12,Paramètres!$A$1:$I$89,3,0)*VLOOKUP('Données projet'!$B$12,Paramètres!$A$1:$I$89,5,0)</f>
        <v>39.577199999999991</v>
      </c>
      <c r="CA34" s="14">
        <f t="shared" si="39"/>
        <v>11.886514509066229</v>
      </c>
      <c r="CB34" s="22">
        <f t="shared" si="10"/>
        <v>89.632636103290338</v>
      </c>
      <c r="CC34" s="62">
        <f t="shared" si="11"/>
        <v>329.68075931610792</v>
      </c>
      <c r="CD34" s="62">
        <f ca="1">AVERAGE(OFFSET($CC$3,0,0,'Données projet'!$E$12+1,1))-AVERAGE(OFFSET($H$3,0,0,'Données projet'!$E$12+1,1))</f>
        <v>253.16238957399855</v>
      </c>
      <c r="CE34" s="62">
        <f t="shared" si="40"/>
        <v>138.00705940844708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64.895999999999987</v>
      </c>
      <c r="P35" s="14">
        <f t="shared" si="33"/>
        <v>18.400423846102949</v>
      </c>
      <c r="Q35" s="22">
        <f t="shared" ref="Q35:Q66" si="53">(O35+P35)*0.475*44/12</f>
        <v>145.07460486529592</v>
      </c>
      <c r="R35" s="62">
        <f t="shared" si="0"/>
        <v>386.04710734582125</v>
      </c>
      <c r="S35" s="62">
        <f ca="1">AVERAGE(OFFSET($R$3,0,0,'Données projet'!$E$9+1,1))-AVERAGE(OFFSET($H$3,0,0,'Données projet'!$E$9+1,1))</f>
        <v>345.67675698621832</v>
      </c>
      <c r="T35" s="62">
        <f t="shared" si="34"/>
        <v>178.72086185623849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6.6</v>
      </c>
      <c r="AI35" s="14">
        <f>IF('Données projet'!$A$62&gt;35,AI34+AH35-AQ34,IF(A35&lt;'Données projet'!$A$62,$AF$205^A35,IF(A35='Données projet'!$A$62,'Données projet'!$B$62,AI34+AH35-AQ34)))</f>
        <v>75.199999999999989</v>
      </c>
      <c r="AJ35" s="14">
        <f>AI35*VLOOKUP('Données projet'!$B$10,Paramètres!$A$1:$I$89,3,0)*VLOOKUP('Données projet'!$B$10,Paramètres!$A$1:$I$89,5,0)</f>
        <v>65.69471999999999</v>
      </c>
      <c r="AK35" s="14">
        <f t="shared" si="35"/>
        <v>18.60038718561951</v>
      </c>
      <c r="AL35" s="22">
        <f t="shared" si="4"/>
        <v>146.81397834828729</v>
      </c>
      <c r="AM35" s="62">
        <f t="shared" si="5"/>
        <v>387.78648082881261</v>
      </c>
      <c r="AN35" s="62">
        <f ca="1">AVERAGE(OFFSET($AM$3,0,0,'Données projet'!$E$10+1,1))-AVERAGE(OFFSET($H$3,0,0,'Données projet'!$E$10+1,1))</f>
        <v>219.21539650048186</v>
      </c>
      <c r="AO35" s="62">
        <f t="shared" si="36"/>
        <v>204.10961748628708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5.1398067444975633</v>
      </c>
      <c r="AW35" s="23">
        <f>EXP(-LN(2)/2)*AW34+(1-EXP(-LN(2)/2))/(LN(2)/2)*AQ35*AT35*VLOOKUP('Données projet'!$B$10,Paramètres!$A$1:$I$89,3,0)*0.475*44/12</f>
        <v>3.6375485482532093</v>
      </c>
      <c r="AX35" s="23">
        <f t="shared" si="6"/>
        <v>8.777355292750773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63.89759999999999</v>
      </c>
      <c r="BF35" s="14">
        <f t="shared" si="37"/>
        <v>18.150066057587683</v>
      </c>
      <c r="BG35" s="22">
        <f t="shared" si="7"/>
        <v>142.89968505029853</v>
      </c>
      <c r="BH35" s="62">
        <f t="shared" si="8"/>
        <v>383.87218753082385</v>
      </c>
      <c r="BI35" s="62">
        <f ca="1">AVERAGE(OFFSET($BH$3,0,0,'Données projet'!$E$11+1,1))-AVERAGE(OFFSET($H$3,0,0,'Données projet'!$E$11+1,1))</f>
        <v>341.48836779133632</v>
      </c>
      <c r="BJ35" s="62">
        <f t="shared" si="38"/>
        <v>176.87842498964287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63.999999999999986</v>
      </c>
      <c r="BZ35" s="14">
        <f>BY35*VLOOKUP('Données projet'!$B$12,Paramètres!$A$1:$I$89,3,0)*VLOOKUP('Données projet'!$B$12,Paramètres!$A$1:$I$89,5,0)</f>
        <v>42.93119999999999</v>
      </c>
      <c r="CA35" s="14">
        <f t="shared" si="39"/>
        <v>12.772335335285687</v>
      </c>
      <c r="CB35" s="22">
        <f t="shared" si="10"/>
        <v>97.016990708955873</v>
      </c>
      <c r="CC35" s="62">
        <f t="shared" si="11"/>
        <v>337.98949318948121</v>
      </c>
      <c r="CD35" s="62">
        <f ca="1">AVERAGE(OFFSET($CC$3,0,0,'Données projet'!$E$12+1,1))-AVERAGE(OFFSET($H$3,0,0,'Données projet'!$E$12+1,1))</f>
        <v>253.16238957399855</v>
      </c>
      <c r="CE35" s="62">
        <f t="shared" si="40"/>
        <v>138.00705940844708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69.965999999999994</v>
      </c>
      <c r="P36" s="14">
        <f t="shared" si="33"/>
        <v>19.665013934342461</v>
      </c>
      <c r="Q36" s="22">
        <f t="shared" si="53"/>
        <v>156.10734926897979</v>
      </c>
      <c r="R36" s="62">
        <f t="shared" si="0"/>
        <v>397.98819510352052</v>
      </c>
      <c r="S36" s="62">
        <f ca="1">AVERAGE(OFFSET($R$3,0,0,'Données projet'!$E$9+1,1))-AVERAGE(OFFSET($H$3,0,0,'Données projet'!$E$9+1,1))</f>
        <v>345.67675698621832</v>
      </c>
      <c r="T36" s="62">
        <f t="shared" si="34"/>
        <v>178.72086185623849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6.6</v>
      </c>
      <c r="AI36" s="14">
        <f>IF('Données projet'!$A$62&gt;35,AI35+AH36-AQ35,IF(A36&lt;'Données projet'!$A$62,$AF$205^A36,IF(A36='Données projet'!$A$62,'Données projet'!$B$62,AI35+AH36-AQ35)))</f>
        <v>81.799999999999983</v>
      </c>
      <c r="AJ36" s="14">
        <f>AI36*VLOOKUP('Données projet'!$B$10,Paramètres!$A$1:$I$89,3,0)*VLOOKUP('Données projet'!$B$10,Paramètres!$A$1:$I$89,5,0)</f>
        <v>71.46047999999999</v>
      </c>
      <c r="AK36" s="14">
        <f t="shared" si="35"/>
        <v>20.035709203981977</v>
      </c>
      <c r="AL36" s="22">
        <f t="shared" si="4"/>
        <v>159.35586286360191</v>
      </c>
      <c r="AM36" s="62">
        <f t="shared" si="5"/>
        <v>401.23670869814265</v>
      </c>
      <c r="AN36" s="62">
        <f ca="1">AVERAGE(OFFSET($AM$3,0,0,'Données projet'!$E$10+1,1))-AVERAGE(OFFSET($H$3,0,0,'Données projet'!$E$10+1,1))</f>
        <v>219.21539650048186</v>
      </c>
      <c r="AO36" s="62">
        <f t="shared" si="36"/>
        <v>204.10961748628708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4.9992584587785878</v>
      </c>
      <c r="AW36" s="23">
        <f>EXP(-LN(2)/2)*AW35+(1-EXP(-LN(2)/2))/(LN(2)/2)*AQ36*AT36*VLOOKUP('Données projet'!$B$10,Paramètres!$A$1:$I$89,3,0)*0.475*44/12</f>
        <v>2.5721352453651258</v>
      </c>
      <c r="AX36" s="23">
        <f t="shared" si="6"/>
        <v>7.5713937041437136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68.889599999999987</v>
      </c>
      <c r="BF36" s="14">
        <f t="shared" si="37"/>
        <v>19.397450021635805</v>
      </c>
      <c r="BG36" s="22">
        <f t="shared" si="7"/>
        <v>153.76661212101567</v>
      </c>
      <c r="BH36" s="62">
        <f t="shared" si="8"/>
        <v>395.64745795555643</v>
      </c>
      <c r="BI36" s="62">
        <f ca="1">AVERAGE(OFFSET($BH$3,0,0,'Données projet'!$E$11+1,1))-AVERAGE(OFFSET($H$3,0,0,'Données projet'!$E$11+1,1))</f>
        <v>341.48836779133632</v>
      </c>
      <c r="BJ36" s="62">
        <f t="shared" si="38"/>
        <v>176.87842498964287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68.999999999999986</v>
      </c>
      <c r="BZ36" s="14">
        <f>BY36*VLOOKUP('Données projet'!$B$12,Paramètres!$A$1:$I$89,3,0)*VLOOKUP('Données projet'!$B$12,Paramètres!$A$1:$I$89,5,0)</f>
        <v>46.285199999999996</v>
      </c>
      <c r="CA36" s="14">
        <f t="shared" si="39"/>
        <v>13.650128629818649</v>
      </c>
      <c r="CB36" s="22">
        <f t="shared" si="10"/>
        <v>104.38736403026746</v>
      </c>
      <c r="CC36" s="62">
        <f t="shared" si="11"/>
        <v>346.26820986480823</v>
      </c>
      <c r="CD36" s="62">
        <f ca="1">AVERAGE(OFFSET($CC$3,0,0,'Données projet'!$E$12+1,1))-AVERAGE(OFFSET($H$3,0,0,'Données projet'!$E$12+1,1))</f>
        <v>253.16238957399855</v>
      </c>
      <c r="CE36" s="62">
        <f t="shared" si="40"/>
        <v>138.00705940844708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75.035999999999987</v>
      </c>
      <c r="P37" s="14">
        <f t="shared" si="33"/>
        <v>20.918972521981534</v>
      </c>
      <c r="Q37" s="22">
        <f t="shared" si="53"/>
        <v>167.12157714245114</v>
      </c>
      <c r="R37" s="62">
        <f t="shared" si="0"/>
        <v>409.89500860456673</v>
      </c>
      <c r="S37" s="62">
        <f ca="1">AVERAGE(OFFSET($R$3,0,0,'Données projet'!$E$9+1,1))-AVERAGE(OFFSET($H$3,0,0,'Données projet'!$E$9+1,1))</f>
        <v>345.67675698621832</v>
      </c>
      <c r="T37" s="62">
        <f t="shared" si="34"/>
        <v>178.72086185623849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6.6</v>
      </c>
      <c r="AI37" s="14">
        <f>IF('Données projet'!$A$62&gt;35,AI36+AH37-AQ36,IF(A37&lt;'Données projet'!$A$62,$AF$205^A37,IF(A37='Données projet'!$A$62,'Données projet'!$B$62,AI36+AH37-AQ36)))</f>
        <v>88.399999999999977</v>
      </c>
      <c r="AJ37" s="14">
        <f>AI37*VLOOKUP('Données projet'!$B$10,Paramètres!$A$1:$I$89,3,0)*VLOOKUP('Données projet'!$B$10,Paramètres!$A$1:$I$89,5,0)</f>
        <v>77.22623999999999</v>
      </c>
      <c r="AK37" s="14">
        <f t="shared" si="35"/>
        <v>21.457598855530147</v>
      </c>
      <c r="AL37" s="22">
        <f t="shared" si="4"/>
        <v>171.87435267338165</v>
      </c>
      <c r="AM37" s="62">
        <f t="shared" si="5"/>
        <v>414.6477841354972</v>
      </c>
      <c r="AN37" s="62">
        <f ca="1">AVERAGE(OFFSET($AM$3,0,0,'Données projet'!$E$10+1,1))-AVERAGE(OFFSET($H$3,0,0,'Données projet'!$E$10+1,1))</f>
        <v>219.21539650048186</v>
      </c>
      <c r="AO37" s="62">
        <f t="shared" si="36"/>
        <v>204.10961748628708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4.862553473323711</v>
      </c>
      <c r="AW37" s="23">
        <f>EXP(-LN(2)/2)*AW36+(1-EXP(-LN(2)/2))/(LN(2)/2)*AQ37*AT37*VLOOKUP('Données projet'!$B$10,Paramètres!$A$1:$I$89,3,0)*0.475*44/12</f>
        <v>1.8187742741266049</v>
      </c>
      <c r="AX37" s="23">
        <f t="shared" si="6"/>
        <v>6.6813277474503163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73.881599999999992</v>
      </c>
      <c r="BF37" s="14">
        <f t="shared" si="37"/>
        <v>20.634347138217649</v>
      </c>
      <c r="BG37" s="22">
        <f t="shared" si="7"/>
        <v>164.61527459906236</v>
      </c>
      <c r="BH37" s="62">
        <f t="shared" si="8"/>
        <v>407.38870606117791</v>
      </c>
      <c r="BI37" s="62">
        <f ca="1">AVERAGE(OFFSET($BH$3,0,0,'Données projet'!$E$11+1,1))-AVERAGE(OFFSET($H$3,0,0,'Données projet'!$E$11+1,1))</f>
        <v>341.48836779133632</v>
      </c>
      <c r="BJ37" s="62">
        <f t="shared" si="38"/>
        <v>176.87842498964287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73.999999999999986</v>
      </c>
      <c r="BZ37" s="14">
        <f>BY37*VLOOKUP('Données projet'!$B$12,Paramètres!$A$1:$I$89,3,0)*VLOOKUP('Données projet'!$B$12,Paramètres!$A$1:$I$89,5,0)</f>
        <v>49.639199999999988</v>
      </c>
      <c r="CA37" s="14">
        <f t="shared" si="39"/>
        <v>14.520542252452634</v>
      </c>
      <c r="CB37" s="22">
        <f t="shared" si="10"/>
        <v>111.74488442302163</v>
      </c>
      <c r="CC37" s="62">
        <f t="shared" si="11"/>
        <v>354.51831588513721</v>
      </c>
      <c r="CD37" s="62">
        <f ca="1">AVERAGE(OFFSET($CC$3,0,0,'Données projet'!$E$12+1,1))-AVERAGE(OFFSET($H$3,0,0,'Données projet'!$E$12+1,1))</f>
        <v>253.16238957399855</v>
      </c>
      <c r="CE37" s="62">
        <f t="shared" si="40"/>
        <v>138.00705940844708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80.105999999999995</v>
      </c>
      <c r="P38" s="14">
        <f t="shared" si="33"/>
        <v>22.163099682076496</v>
      </c>
      <c r="Q38" s="22">
        <f t="shared" si="53"/>
        <v>178.11868194628323</v>
      </c>
      <c r="R38" s="62">
        <f t="shared" si="0"/>
        <v>421.76921467085776</v>
      </c>
      <c r="S38" s="62">
        <f ca="1">AVERAGE(OFFSET($R$3,0,0,'Données projet'!$E$9+1,1))-AVERAGE(OFFSET($H$3,0,0,'Données projet'!$E$9+1,1))</f>
        <v>345.67675698621832</v>
      </c>
      <c r="T38" s="62">
        <f t="shared" si="34"/>
        <v>178.72086185623849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95</v>
      </c>
      <c r="AG38" s="13">
        <f>VLOOKUP(A38,'Données projet'!$A$61:$I$81,9,0)</f>
        <v>6.6</v>
      </c>
      <c r="AH38" s="13">
        <f t="array" ref="AH38">INDEX(AG:AG,MIN(IF(ISNUMBER(AG38:AG234),ROW(AG38:AG234),"")))</f>
        <v>6.6</v>
      </c>
      <c r="AI38" s="14">
        <f>IF('Données projet'!$A$62&gt;35,AI37+AH38-AQ37,IF(A38&lt;'Données projet'!$A$62,$AF$205^A38,IF(A38='Données projet'!$A$62,'Données projet'!$B$62,AI37+AH38-AQ37)))</f>
        <v>94.999999999999972</v>
      </c>
      <c r="AJ38" s="14">
        <f>AI38*VLOOKUP('Données projet'!$B$10,Paramètres!$A$1:$I$89,3,0)*VLOOKUP('Données projet'!$B$10,Paramètres!$A$1:$I$89,5,0)</f>
        <v>82.99199999999999</v>
      </c>
      <c r="AK38" s="14">
        <f t="shared" si="35"/>
        <v>22.867173045817303</v>
      </c>
      <c r="AL38" s="22">
        <f t="shared" si="4"/>
        <v>184.37139305479846</v>
      </c>
      <c r="AM38" s="62">
        <f t="shared" si="5"/>
        <v>428.02192577937296</v>
      </c>
      <c r="AN38" s="62">
        <f ca="1">AVERAGE(OFFSET($AM$3,0,0,'Données projet'!$E$10+1,1))-AVERAGE(OFFSET($H$3,0,0,'Données projet'!$E$10+1,1))</f>
        <v>219.21539650048186</v>
      </c>
      <c r="AO38" s="62">
        <f t="shared" si="36"/>
        <v>204.10961748628708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14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4.7295866928851007</v>
      </c>
      <c r="AW38" s="23">
        <f>EXP(-LN(2)/2)*AW37+(1-EXP(-LN(2)/2))/(LN(2)/2)*AQ38*AT38*VLOOKUP('Données projet'!$B$10,Paramètres!$A$1:$I$89,3,0)*0.475*44/12</f>
        <v>1.2860676226825631</v>
      </c>
      <c r="AX38" s="23">
        <f t="shared" si="6"/>
        <v>6.0156543155676641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78.873599999999996</v>
      </c>
      <c r="BF38" s="14">
        <f t="shared" si="37"/>
        <v>21.861546594525006</v>
      </c>
      <c r="BG38" s="22">
        <f t="shared" si="7"/>
        <v>175.44704698546437</v>
      </c>
      <c r="BH38" s="62">
        <f t="shared" si="8"/>
        <v>419.09757971003887</v>
      </c>
      <c r="BI38" s="62">
        <f ca="1">AVERAGE(OFFSET($BH$3,0,0,'Données projet'!$E$11+1,1))-AVERAGE(OFFSET($H$3,0,0,'Données projet'!$E$11+1,1))</f>
        <v>341.48836779133632</v>
      </c>
      <c r="BJ38" s="62">
        <f t="shared" si="38"/>
        <v>176.87842498964287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0.215</v>
      </c>
      <c r="BO38" s="17">
        <f>IF(ISNA(VLOOKUP(A38,'Données projet'!$A$87:$I$107,7,0)),0%,VLOOKUP(A38,'Données projet'!$A$87:$I$107,7,0))</f>
        <v>0.5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3.0726998329507769</v>
      </c>
      <c r="BR38" s="23">
        <f>EXP(-LN(2)/2)*BR37+(1-EXP(-LN(2)/2))/(LN(2)/2)*BL38*BO38*VLOOKUP('Données projet'!$B$11,Paramètres!$A$1:$I$89,3,0)*0.475*44/12</f>
        <v>6.1231122650231269</v>
      </c>
      <c r="BS38" s="24">
        <f t="shared" si="9"/>
        <v>9.1958120979739029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78.999999999999986</v>
      </c>
      <c r="BZ38" s="14">
        <f>BY38*VLOOKUP('Données projet'!$B$12,Paramètres!$A$1:$I$89,3,0)*VLOOKUP('Données projet'!$B$12,Paramètres!$A$1:$I$89,5,0)</f>
        <v>52.993199999999987</v>
      </c>
      <c r="CA38" s="14">
        <f t="shared" si="39"/>
        <v>15.384131560034538</v>
      </c>
      <c r="CB38" s="22">
        <f t="shared" si="10"/>
        <v>119.09051913372679</v>
      </c>
      <c r="CC38" s="62">
        <f t="shared" si="11"/>
        <v>362.74105185830126</v>
      </c>
      <c r="CD38" s="62">
        <f ca="1">AVERAGE(OFFSET($CC$3,0,0,'Données projet'!$E$12+1,1))-AVERAGE(OFFSET($H$3,0,0,'Données projet'!$E$12+1,1))</f>
        <v>253.16238957399855</v>
      </c>
      <c r="CE38" s="62">
        <f t="shared" si="40"/>
        <v>138.00705940844708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13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0.26500000000000001</v>
      </c>
      <c r="CJ38" s="17">
        <f>IF(ISNA(VLOOKUP(A38,'Données projet'!$A$113:$I$133,7,0)),0%,VLOOKUP(A38,'Données projet'!$A$113:$I$133,7,0))</f>
        <v>0.5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2.544579549162362</v>
      </c>
      <c r="CM38" s="23">
        <f>EXP(-LN(2)/2)*CM37+(1-EXP(-LN(2)/2))/(LN(2)/2)*CG38*CJ38*VLOOKUP('Données projet'!$B$12,Paramètres!$A$1:$I$89,3,0)*0.475*44/12</f>
        <v>4.1139660530624136</v>
      </c>
      <c r="CN38" s="24">
        <f t="shared" si="12"/>
        <v>6.6585456022247751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72.399599999999992</v>
      </c>
      <c r="P39" s="14">
        <f t="shared" si="33"/>
        <v>20.268188832715463</v>
      </c>
      <c r="Q39" s="22">
        <f t="shared" si="53"/>
        <v>161.3963988836461</v>
      </c>
      <c r="R39" s="62">
        <f t="shared" si="0"/>
        <v>405.90881712468052</v>
      </c>
      <c r="S39" s="62">
        <f ca="1">AVERAGE(OFFSET($R$3,0,0,'Données projet'!$E$9+1,1))-AVERAGE(OFFSET($H$3,0,0,'Données projet'!$E$9+1,1))</f>
        <v>345.67675698621832</v>
      </c>
      <c r="T39" s="62">
        <f t="shared" si="34"/>
        <v>178.72086185623849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5.8</v>
      </c>
      <c r="AI39" s="14">
        <f>IF('Données projet'!$A$62&gt;35,AI38+AH39-AQ38,IF(A39&lt;'Données projet'!$A$62,$AF$205^A39,IF(A39='Données projet'!$A$62,'Données projet'!$B$62,AI38+AH39-AQ38)))</f>
        <v>86.799999999999969</v>
      </c>
      <c r="AJ39" s="14">
        <f>AI39*VLOOKUP('Données projet'!$B$10,Paramètres!$A$1:$I$89,3,0)*VLOOKUP('Données projet'!$B$10,Paramètres!$A$1:$I$89,5,0)</f>
        <v>75.828479999999985</v>
      </c>
      <c r="AK39" s="14">
        <f t="shared" si="35"/>
        <v>21.114068675464956</v>
      </c>
      <c r="AL39" s="22">
        <f t="shared" si="4"/>
        <v>168.8416056097681</v>
      </c>
      <c r="AM39" s="62">
        <f t="shared" si="5"/>
        <v>413.35402385080249</v>
      </c>
      <c r="AN39" s="62">
        <f ca="1">AVERAGE(OFFSET($AM$3,0,0,'Données projet'!$E$10+1,1))-AVERAGE(OFFSET($H$3,0,0,'Données projet'!$E$10+1,1))</f>
        <v>219.21539650048186</v>
      </c>
      <c r="AO39" s="62">
        <f t="shared" si="36"/>
        <v>204.10961748628708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4.6002558960500028</v>
      </c>
      <c r="AW39" s="23">
        <f>EXP(-LN(2)/2)*AW38+(1-EXP(-LN(2)/2))/(LN(2)/2)*AQ39*AT39*VLOOKUP('Données projet'!$B$10,Paramètres!$A$1:$I$89,3,0)*0.475*44/12</f>
        <v>0.90938713706330265</v>
      </c>
      <c r="AX39" s="23">
        <f t="shared" si="6"/>
        <v>5.5096430331133055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71.285759999999996</v>
      </c>
      <c r="BF39" s="14">
        <f t="shared" si="37"/>
        <v>19.992418069182566</v>
      </c>
      <c r="BG39" s="22">
        <f t="shared" si="7"/>
        <v>158.97616013715961</v>
      </c>
      <c r="BH39" s="62">
        <f t="shared" si="8"/>
        <v>403.48857837819401</v>
      </c>
      <c r="BI39" s="62">
        <f ca="1">AVERAGE(OFFSET($BH$3,0,0,'Données projet'!$E$11+1,1))-AVERAGE(OFFSET($H$3,0,0,'Données projet'!$E$11+1,1))</f>
        <v>341.48836779133632</v>
      </c>
      <c r="BJ39" s="62">
        <f t="shared" si="38"/>
        <v>176.87842498964287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2.9886766944324763</v>
      </c>
      <c r="BR39" s="23">
        <f>EXP(-LN(2)/2)*BR38+(1-EXP(-LN(2)/2))/(LN(2)/2)*BL39*BO39*VLOOKUP('Données projet'!$B$11,Paramètres!$A$1:$I$89,3,0)*0.475*44/12</f>
        <v>4.3296942045643743</v>
      </c>
      <c r="BS39" s="24">
        <f t="shared" si="9"/>
        <v>7.3183708989968501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5.4</v>
      </c>
      <c r="BY39" s="13">
        <f>IF('Données projet'!$A$114&gt;35,BY38+BX39-CG38,IF(A39&lt;'Données projet'!$A$114,$BV$205^A39,IF(A39='Données projet'!$A$114,'Données projet'!$B$114,BY38+BX39-CG38)))</f>
        <v>71.399999999999991</v>
      </c>
      <c r="BZ39" s="14">
        <f>BY39*VLOOKUP('Données projet'!$B$12,Paramètres!$A$1:$I$89,3,0)*VLOOKUP('Données projet'!$B$12,Paramètres!$A$1:$I$89,5,0)</f>
        <v>47.895119999999991</v>
      </c>
      <c r="CA39" s="14">
        <f t="shared" si="39"/>
        <v>14.068812032564205</v>
      </c>
      <c r="CB39" s="22">
        <f t="shared" si="10"/>
        <v>107.92051495671598</v>
      </c>
      <c r="CC39" s="62">
        <f t="shared" si="11"/>
        <v>352.4329331977504</v>
      </c>
      <c r="CD39" s="62">
        <f ca="1">AVERAGE(OFFSET($CC$3,0,0,'Données projet'!$E$12+1,1))-AVERAGE(OFFSET($H$3,0,0,'Données projet'!$E$12+1,1))</f>
        <v>253.16238957399855</v>
      </c>
      <c r="CE39" s="62">
        <f t="shared" si="40"/>
        <v>138.00705940844708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2.4749978875768943</v>
      </c>
      <c r="CM39" s="23">
        <f>EXP(-LN(2)/2)*CM38+(1-EXP(-LN(2)/2))/(LN(2)/2)*CG39*CJ39*VLOOKUP('Données projet'!$B$12,Paramètres!$A$1:$I$89,3,0)*0.475*44/12</f>
        <v>2.909013293691689</v>
      </c>
      <c r="CN39" s="24">
        <f t="shared" si="12"/>
        <v>5.3840111812685834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77.875200000000007</v>
      </c>
      <c r="P40" s="14">
        <f t="shared" si="33"/>
        <v>21.616848354491538</v>
      </c>
      <c r="Q40" s="22">
        <f t="shared" si="53"/>
        <v>173.28198421740612</v>
      </c>
      <c r="R40" s="62">
        <f t="shared" si="0"/>
        <v>418.64133618807722</v>
      </c>
      <c r="S40" s="62">
        <f ca="1">AVERAGE(OFFSET($R$3,0,0,'Données projet'!$E$9+1,1))-AVERAGE(OFFSET($H$3,0,0,'Données projet'!$E$9+1,1))</f>
        <v>345.67675698621832</v>
      </c>
      <c r="T40" s="62">
        <f t="shared" si="34"/>
        <v>178.72086185623849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5.8</v>
      </c>
      <c r="AI40" s="14">
        <f>IF('Données projet'!$A$62&gt;35,AI39+AH40-AQ39,IF(A40&lt;'Données projet'!$A$62,$AF$205^A40,IF(A40='Données projet'!$A$62,'Données projet'!$B$62,AI39+AH40-AQ39)))</f>
        <v>92.599999999999966</v>
      </c>
      <c r="AJ40" s="14">
        <f>AI40*VLOOKUP('Données projet'!$B$10,Paramètres!$A$1:$I$89,3,0)*VLOOKUP('Données projet'!$B$10,Paramètres!$A$1:$I$89,5,0)</f>
        <v>80.895359999999982</v>
      </c>
      <c r="AK40" s="14">
        <f t="shared" si="35"/>
        <v>22.355962294793134</v>
      </c>
      <c r="AL40" s="22">
        <f t="shared" si="4"/>
        <v>179.829386330098</v>
      </c>
      <c r="AM40" s="62">
        <f t="shared" si="5"/>
        <v>425.1887383007691</v>
      </c>
      <c r="AN40" s="62">
        <f ca="1">AVERAGE(OFFSET($AM$3,0,0,'Données projet'!$E$10+1,1))-AVERAGE(OFFSET($H$3,0,0,'Données projet'!$E$10+1,1))</f>
        <v>219.21539650048186</v>
      </c>
      <c r="AO40" s="62">
        <f t="shared" si="36"/>
        <v>204.10961748628708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4.4744616566555724</v>
      </c>
      <c r="AW40" s="23">
        <f>EXP(-LN(2)/2)*AW39+(1-EXP(-LN(2)/2))/(LN(2)/2)*AQ40*AT40*VLOOKUP('Données projet'!$B$10,Paramètres!$A$1:$I$89,3,0)*0.475*44/12</f>
        <v>0.64303381134128168</v>
      </c>
      <c r="AX40" s="23">
        <f t="shared" si="6"/>
        <v>5.1174954679968536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76.677120000000002</v>
      </c>
      <c r="BF40" s="14">
        <f t="shared" si="37"/>
        <v>21.322727610645366</v>
      </c>
      <c r="BG40" s="22">
        <f t="shared" si="7"/>
        <v>170.683067921874</v>
      </c>
      <c r="BH40" s="62">
        <f t="shared" si="8"/>
        <v>416.04241989254513</v>
      </c>
      <c r="BI40" s="62">
        <f ca="1">AVERAGE(OFFSET($BH$3,0,0,'Données projet'!$E$11+1,1))-AVERAGE(OFFSET($H$3,0,0,'Données projet'!$E$11+1,1))</f>
        <v>341.48836779133632</v>
      </c>
      <c r="BJ40" s="62">
        <f t="shared" si="38"/>
        <v>176.87842498964287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2.9069511730555435</v>
      </c>
      <c r="BR40" s="23">
        <f>EXP(-LN(2)/2)*BR39+(1-EXP(-LN(2)/2))/(LN(2)/2)*BL40*BO40*VLOOKUP('Données projet'!$B$11,Paramètres!$A$1:$I$89,3,0)*0.475*44/12</f>
        <v>3.0615561325115643</v>
      </c>
      <c r="BS40" s="24">
        <f t="shared" si="9"/>
        <v>5.9685073055671083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5.4</v>
      </c>
      <c r="BY40" s="13">
        <f>IF('Données projet'!$A$114&gt;35,BY39+BX40-CG39,IF(A40&lt;'Données projet'!$A$114,$BV$205^A40,IF(A40='Données projet'!$A$114,'Données projet'!$B$114,BY39+BX40-CG39)))</f>
        <v>76.8</v>
      </c>
      <c r="BZ40" s="14">
        <f>BY40*VLOOKUP('Données projet'!$B$12,Paramètres!$A$1:$I$89,3,0)*VLOOKUP('Données projet'!$B$12,Paramètres!$A$1:$I$89,5,0)</f>
        <v>51.517440000000001</v>
      </c>
      <c r="CA40" s="14">
        <f t="shared" si="39"/>
        <v>15.004960667471787</v>
      </c>
      <c r="CB40" s="22">
        <f t="shared" si="10"/>
        <v>115.85984782918003</v>
      </c>
      <c r="CC40" s="62">
        <f t="shared" si="11"/>
        <v>361.21919979985114</v>
      </c>
      <c r="CD40" s="62">
        <f ca="1">AVERAGE(OFFSET($CC$3,0,0,'Données projet'!$E$12+1,1))-AVERAGE(OFFSET($H$3,0,0,'Données projet'!$E$12+1,1))</f>
        <v>253.16238957399855</v>
      </c>
      <c r="CE40" s="62">
        <f t="shared" si="40"/>
        <v>138.00705940844708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2.407318940186622</v>
      </c>
      <c r="CM40" s="23">
        <f>EXP(-LN(2)/2)*CM39+(1-EXP(-LN(2)/2))/(LN(2)/2)*CG40*CJ40*VLOOKUP('Données projet'!$B$12,Paramètres!$A$1:$I$89,3,0)*0.475*44/12</f>
        <v>2.0569830265312072</v>
      </c>
      <c r="CN40" s="24">
        <f t="shared" si="12"/>
        <v>4.4643019667178292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83.350800000000007</v>
      </c>
      <c r="P41" s="14">
        <f t="shared" si="33"/>
        <v>22.954505421678146</v>
      </c>
      <c r="Q41" s="22">
        <f t="shared" si="53"/>
        <v>185.14840694275611</v>
      </c>
      <c r="R41" s="62">
        <f t="shared" si="0"/>
        <v>431.34000023631484</v>
      </c>
      <c r="S41" s="62">
        <f ca="1">AVERAGE(OFFSET($R$3,0,0,'Données projet'!$E$9+1,1))-AVERAGE(OFFSET($H$3,0,0,'Données projet'!$E$9+1,1))</f>
        <v>345.67675698621832</v>
      </c>
      <c r="T41" s="62">
        <f t="shared" si="34"/>
        <v>178.72086185623849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5.8</v>
      </c>
      <c r="AI41" s="14">
        <f>IF('Données projet'!$A$62&gt;35,AI40+AH41-AQ40,IF(A41&lt;'Données projet'!$A$62,$AF$205^A41,IF(A41='Données projet'!$A$62,'Données projet'!$B$62,AI40+AH41-AQ40)))</f>
        <v>98.399999999999963</v>
      </c>
      <c r="AJ41" s="14">
        <f>AI41*VLOOKUP('Données projet'!$B$10,Paramètres!$A$1:$I$89,3,0)*VLOOKUP('Données projet'!$B$10,Paramètres!$A$1:$I$89,5,0)</f>
        <v>85.96223999999998</v>
      </c>
      <c r="AK41" s="14">
        <f t="shared" si="35"/>
        <v>23.588828321049387</v>
      </c>
      <c r="AL41" s="22">
        <f t="shared" si="4"/>
        <v>190.80144399249431</v>
      </c>
      <c r="AM41" s="62">
        <f t="shared" si="5"/>
        <v>436.99303728605304</v>
      </c>
      <c r="AN41" s="62">
        <f ca="1">AVERAGE(OFFSET($AM$3,0,0,'Données projet'!$E$10+1,1))-AVERAGE(OFFSET($H$3,0,0,'Données projet'!$E$10+1,1))</f>
        <v>219.21539650048186</v>
      </c>
      <c r="AO41" s="62">
        <f t="shared" si="36"/>
        <v>204.10961748628708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4.352107267352614</v>
      </c>
      <c r="AW41" s="23">
        <f>EXP(-LN(2)/2)*AW40+(1-EXP(-LN(2)/2))/(LN(2)/2)*AQ41*AT41*VLOOKUP('Données projet'!$B$10,Paramètres!$A$1:$I$89,3,0)*0.475*44/12</f>
        <v>0.45469356853165138</v>
      </c>
      <c r="AX41" s="23">
        <f t="shared" si="6"/>
        <v>4.8068008358842658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82.068480000000008</v>
      </c>
      <c r="BF41" s="14">
        <f t="shared" si="37"/>
        <v>22.642184397885519</v>
      </c>
      <c r="BG41" s="22">
        <f t="shared" si="7"/>
        <v>182.37107382631726</v>
      </c>
      <c r="BH41" s="62">
        <f t="shared" si="8"/>
        <v>428.56266711987598</v>
      </c>
      <c r="BI41" s="62">
        <f ca="1">AVERAGE(OFFSET($BH$3,0,0,'Données projet'!$E$11+1,1))-AVERAGE(OFFSET($H$3,0,0,'Données projet'!$E$11+1,1))</f>
        <v>341.48836779133632</v>
      </c>
      <c r="BJ41" s="62">
        <f t="shared" si="38"/>
        <v>176.87842498964287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2.8274604403584216</v>
      </c>
      <c r="BR41" s="23">
        <f>EXP(-LN(2)/2)*BR40+(1-EXP(-LN(2)/2))/(LN(2)/2)*BL41*BO41*VLOOKUP('Données projet'!$B$11,Paramètres!$A$1:$I$89,3,0)*0.475*44/12</f>
        <v>2.1648471022821876</v>
      </c>
      <c r="BS41" s="24">
        <f t="shared" si="9"/>
        <v>4.9923075426406092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5.4</v>
      </c>
      <c r="BY41" s="13">
        <f>IF('Données projet'!$A$114&gt;35,BY40+BX41-CG40,IF(A41&lt;'Données projet'!$A$114,$BV$205^A41,IF(A41='Données projet'!$A$114,'Données projet'!$B$114,BY40+BX41-CG40)))</f>
        <v>82.2</v>
      </c>
      <c r="BZ41" s="14">
        <f>BY41*VLOOKUP('Données projet'!$B$12,Paramètres!$A$1:$I$89,3,0)*VLOOKUP('Données projet'!$B$12,Paramètres!$A$1:$I$89,5,0)</f>
        <v>55.13976000000001</v>
      </c>
      <c r="CA41" s="14">
        <f t="shared" si="39"/>
        <v>15.933472139197503</v>
      </c>
      <c r="CB41" s="22">
        <f t="shared" si="10"/>
        <v>123.78587930910233</v>
      </c>
      <c r="CC41" s="62">
        <f t="shared" si="11"/>
        <v>369.97747260266107</v>
      </c>
      <c r="CD41" s="62">
        <f ca="1">AVERAGE(OFFSET($CC$3,0,0,'Données projet'!$E$12+1,1))-AVERAGE(OFFSET($H$3,0,0,'Données projet'!$E$12+1,1))</f>
        <v>253.16238957399855</v>
      </c>
      <c r="CE41" s="62">
        <f t="shared" si="40"/>
        <v>138.00705940844708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2.3414906771718176</v>
      </c>
      <c r="CM41" s="23">
        <f>EXP(-LN(2)/2)*CM40+(1-EXP(-LN(2)/2))/(LN(2)/2)*CG41*CJ41*VLOOKUP('Données projet'!$B$12,Paramètres!$A$1:$I$89,3,0)*0.475*44/12</f>
        <v>1.4545066468458447</v>
      </c>
      <c r="CN41" s="24">
        <f t="shared" si="12"/>
        <v>3.7959973240176623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88.826400000000007</v>
      </c>
      <c r="P42" s="14">
        <f t="shared" si="33"/>
        <v>24.28196507443278</v>
      </c>
      <c r="Q42" s="22">
        <f t="shared" si="53"/>
        <v>196.99706917130376</v>
      </c>
      <c r="R42" s="62">
        <f t="shared" si="0"/>
        <v>444.00646626141088</v>
      </c>
      <c r="S42" s="62">
        <f ca="1">AVERAGE(OFFSET($R$3,0,0,'Données projet'!$E$9+1,1))-AVERAGE(OFFSET($H$3,0,0,'Données projet'!$E$9+1,1))</f>
        <v>345.67675698621832</v>
      </c>
      <c r="T42" s="62">
        <f t="shared" si="34"/>
        <v>178.72086185623849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5.8</v>
      </c>
      <c r="AI42" s="14">
        <f>IF('Données projet'!$A$62&gt;35,AI41+AH42-AQ41,IF(A42&lt;'Données projet'!$A$62,$AF$205^A42,IF(A42='Données projet'!$A$62,'Données projet'!$B$62,AI41+AH42-AQ41)))</f>
        <v>104.19999999999996</v>
      </c>
      <c r="AJ42" s="14">
        <f>AI42*VLOOKUP('Données projet'!$B$10,Paramètres!$A$1:$I$89,3,0)*VLOOKUP('Données projet'!$B$10,Paramètres!$A$1:$I$89,5,0)</f>
        <v>91.029119999999978</v>
      </c>
      <c r="AK42" s="14">
        <f t="shared" si="35"/>
        <v>24.813259479575787</v>
      </c>
      <c r="AL42" s="22">
        <f t="shared" si="4"/>
        <v>201.75881092692779</v>
      </c>
      <c r="AM42" s="62">
        <f t="shared" si="5"/>
        <v>448.76820801703491</v>
      </c>
      <c r="AN42" s="62">
        <f ca="1">AVERAGE(OFFSET($AM$3,0,0,'Données projet'!$E$10+1,1))-AVERAGE(OFFSET($H$3,0,0,'Données projet'!$E$10+1,1))</f>
        <v>219.21539650048186</v>
      </c>
      <c r="AO42" s="62">
        <f t="shared" si="36"/>
        <v>204.10961748628708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4.2330986652594822</v>
      </c>
      <c r="AW42" s="23">
        <f>EXP(-LN(2)/2)*AW41+(1-EXP(-LN(2)/2))/(LN(2)/2)*AQ42*AT42*VLOOKUP('Données projet'!$B$10,Paramètres!$A$1:$I$89,3,0)*0.475*44/12</f>
        <v>0.3215169056706409</v>
      </c>
      <c r="AX42" s="23">
        <f t="shared" si="6"/>
        <v>4.5546155709301228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87.459840000000014</v>
      </c>
      <c r="BF42" s="14">
        <f t="shared" si="37"/>
        <v>23.951582517613154</v>
      </c>
      <c r="BG42" s="22">
        <f t="shared" si="7"/>
        <v>194.04156088484294</v>
      </c>
      <c r="BH42" s="62">
        <f t="shared" si="8"/>
        <v>441.05095797495005</v>
      </c>
      <c r="BI42" s="62">
        <f ca="1">AVERAGE(OFFSET($BH$3,0,0,'Données projet'!$E$11+1,1))-AVERAGE(OFFSET($H$3,0,0,'Données projet'!$E$11+1,1))</f>
        <v>341.48836779133632</v>
      </c>
      <c r="BJ42" s="62">
        <f t="shared" si="38"/>
        <v>176.87842498964287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2.7501433859271383</v>
      </c>
      <c r="BR42" s="23">
        <f>EXP(-LN(2)/2)*BR41+(1-EXP(-LN(2)/2))/(LN(2)/2)*BL42*BO42*VLOOKUP('Données projet'!$B$11,Paramètres!$A$1:$I$89,3,0)*0.475*44/12</f>
        <v>1.5307780662557824</v>
      </c>
      <c r="BS42" s="24">
        <f t="shared" si="9"/>
        <v>4.2809214521829206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5.4</v>
      </c>
      <c r="BY42" s="13">
        <f>IF('Données projet'!$A$114&gt;35,BY41+BX42-CG41,IF(A42&lt;'Données projet'!$A$114,$BV$205^A42,IF(A42='Données projet'!$A$114,'Données projet'!$B$114,BY41+BX42-CG41)))</f>
        <v>87.600000000000009</v>
      </c>
      <c r="BZ42" s="14">
        <f>BY42*VLOOKUP('Données projet'!$B$12,Paramètres!$A$1:$I$89,3,0)*VLOOKUP('Données projet'!$B$12,Paramètres!$A$1:$I$89,5,0)</f>
        <v>58.762080000000012</v>
      </c>
      <c r="CA42" s="14">
        <f t="shared" si="39"/>
        <v>16.854905252415438</v>
      </c>
      <c r="CB42" s="22">
        <f t="shared" si="10"/>
        <v>131.6995826479569</v>
      </c>
      <c r="CC42" s="62">
        <f t="shared" si="11"/>
        <v>378.70897973806404</v>
      </c>
      <c r="CD42" s="62">
        <f ca="1">AVERAGE(OFFSET($CC$3,0,0,'Données projet'!$E$12+1,1))-AVERAGE(OFFSET($H$3,0,0,'Données projet'!$E$12+1,1))</f>
        <v>253.16238957399855</v>
      </c>
      <c r="CE42" s="62">
        <f t="shared" si="40"/>
        <v>138.00705940844708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2.277462491470911</v>
      </c>
      <c r="CM42" s="23">
        <f>EXP(-LN(2)/2)*CM41+(1-EXP(-LN(2)/2))/(LN(2)/2)*CG42*CJ42*VLOOKUP('Données projet'!$B$12,Paramètres!$A$1:$I$89,3,0)*0.475*44/12</f>
        <v>1.0284915132656038</v>
      </c>
      <c r="CN42" s="24">
        <f t="shared" si="12"/>
        <v>3.305954004736515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94.302000000000021</v>
      </c>
      <c r="P43" s="14">
        <f t="shared" si="33"/>
        <v>25.599927492506424</v>
      </c>
      <c r="Q43" s="22">
        <f t="shared" si="53"/>
        <v>208.82919038278203</v>
      </c>
      <c r="R43" s="62">
        <f t="shared" si="0"/>
        <v>456.64220420190281</v>
      </c>
      <c r="S43" s="62">
        <f ca="1">AVERAGE(OFFSET($R$3,0,0,'Données projet'!$E$9+1,1))-AVERAGE(OFFSET($H$3,0,0,'Données projet'!$E$9+1,1))</f>
        <v>345.67675698621832</v>
      </c>
      <c r="T43" s="62">
        <f t="shared" si="34"/>
        <v>178.72086185623849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110</v>
      </c>
      <c r="AG43" s="13">
        <f>VLOOKUP(A43,'Données projet'!$A$61:$I$81,9,0)</f>
        <v>5.8</v>
      </c>
      <c r="AH43" s="13">
        <f t="array" ref="AH43">INDEX(AG:AG,MIN(IF(ISNUMBER(AG43:AG239),ROW(AG43:AG239),"")))</f>
        <v>5.8</v>
      </c>
      <c r="AI43" s="14">
        <f>IF('Données projet'!$A$62&gt;35,AI42+AH43-AQ42,IF(A43&lt;'Données projet'!$A$62,$AF$205^A43,IF(A43='Données projet'!$A$62,'Données projet'!$B$62,AI42+AH43-AQ42)))</f>
        <v>109.99999999999996</v>
      </c>
      <c r="AJ43" s="14">
        <f>AI43*VLOOKUP('Données projet'!$B$10,Paramètres!$A$1:$I$89,3,0)*VLOOKUP('Données projet'!$B$10,Paramètres!$A$1:$I$89,5,0)</f>
        <v>96.095999999999975</v>
      </c>
      <c r="AK43" s="14">
        <f t="shared" si="35"/>
        <v>26.029778784173352</v>
      </c>
      <c r="AL43" s="22">
        <f t="shared" si="4"/>
        <v>212.70239804910184</v>
      </c>
      <c r="AM43" s="62">
        <f t="shared" si="5"/>
        <v>460.51541186822266</v>
      </c>
      <c r="AN43" s="62">
        <f ca="1">AVERAGE(OFFSET($AM$3,0,0,'Données projet'!$E$10+1,1))-AVERAGE(OFFSET($H$3,0,0,'Données projet'!$E$10+1,1))</f>
        <v>219.21539650048186</v>
      </c>
      <c r="AO43" s="62">
        <f t="shared" si="36"/>
        <v>204.10961748628708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4.1173443596489774</v>
      </c>
      <c r="AW43" s="23">
        <f>EXP(-LN(2)/2)*AW42+(1-EXP(-LN(2)/2))/(LN(2)/2)*AQ43*AT43*VLOOKUP('Données projet'!$B$10,Paramètres!$A$1:$I$89,3,0)*0.475*44/12</f>
        <v>0.22734678426582572</v>
      </c>
      <c r="AX43" s="23">
        <f t="shared" si="6"/>
        <v>4.3446911439148028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92.85120000000002</v>
      </c>
      <c r="BF43" s="14">
        <f t="shared" si="37"/>
        <v>25.251612622871896</v>
      </c>
      <c r="BG43" s="22">
        <f t="shared" si="7"/>
        <v>205.69573198483525</v>
      </c>
      <c r="BH43" s="62">
        <f t="shared" si="8"/>
        <v>453.50874580395606</v>
      </c>
      <c r="BI43" s="62">
        <f ca="1">AVERAGE(OFFSET($BH$3,0,0,'Données projet'!$E$11+1,1))-AVERAGE(OFFSET($H$3,0,0,'Données projet'!$E$11+1,1))</f>
        <v>341.48836779133632</v>
      </c>
      <c r="BJ43" s="62">
        <f t="shared" si="38"/>
        <v>176.87842498964287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2.6749405704152056</v>
      </c>
      <c r="BR43" s="23">
        <f>EXP(-LN(2)/2)*BR42+(1-EXP(-LN(2)/2))/(LN(2)/2)*BL43*BO43*VLOOKUP('Données projet'!$B$11,Paramètres!$A$1:$I$89,3,0)*0.475*44/12</f>
        <v>1.082423551141094</v>
      </c>
      <c r="BS43" s="24">
        <f t="shared" si="9"/>
        <v>3.7573641215562996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93</v>
      </c>
      <c r="BW43" s="13">
        <f>VLOOKUP(A43,'Données projet'!$A$113:$I$133,9,0)</f>
        <v>5.4</v>
      </c>
      <c r="BX43" s="13">
        <f t="array" ref="BX43">INDEX(BW:BW,MIN(IF(ISNUMBER(BW43:BW239),ROW(BW43:BW239),"")))</f>
        <v>5.4</v>
      </c>
      <c r="BY43" s="13">
        <f>IF('Données projet'!$A$114&gt;35,BY42+BX43-CG42,IF(A43&lt;'Données projet'!$A$114,$BV$205^A43,IF(A43='Données projet'!$A$114,'Données projet'!$B$114,BY42+BX43-CG42)))</f>
        <v>93.000000000000014</v>
      </c>
      <c r="BZ43" s="14">
        <f>BY43*VLOOKUP('Données projet'!$B$12,Paramètres!$A$1:$I$89,3,0)*VLOOKUP('Données projet'!$B$12,Paramètres!$A$1:$I$89,5,0)</f>
        <v>62.384400000000007</v>
      </c>
      <c r="CA43" s="14">
        <f t="shared" si="39"/>
        <v>17.769746024765663</v>
      </c>
      <c r="CB43" s="22">
        <f t="shared" si="10"/>
        <v>139.60180432646686</v>
      </c>
      <c r="CC43" s="62">
        <f t="shared" si="11"/>
        <v>387.41481814558767</v>
      </c>
      <c r="CD43" s="62">
        <f ca="1">AVERAGE(OFFSET($CC$3,0,0,'Données projet'!$E$12+1,1))-AVERAGE(OFFSET($H$3,0,0,'Données projet'!$E$12+1,1))</f>
        <v>253.16238957399855</v>
      </c>
      <c r="CE43" s="62">
        <f t="shared" si="40"/>
        <v>138.00705940844708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14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2.2151851598750918</v>
      </c>
      <c r="CM43" s="23">
        <f>EXP(-LN(2)/2)*CM42+(1-EXP(-LN(2)/2))/(LN(2)/2)*CG43*CJ43*VLOOKUP('Données projet'!$B$12,Paramètres!$A$1:$I$89,3,0)*0.475*44/12</f>
        <v>0.72725332342292248</v>
      </c>
      <c r="CN43" s="24">
        <f t="shared" si="12"/>
        <v>2.9424384832980142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84.600000000000009</v>
      </c>
      <c r="O44" s="14">
        <f>N44*VLOOKUP('Données projet'!$B$9,Paramètres!$A$1:$I$89,3,0)*VLOOKUP('Données projet'!$B$9,Paramètres!$A$1:$I$89,5,0)</f>
        <v>85.784400000000019</v>
      </c>
      <c r="P44" s="14">
        <f t="shared" si="33"/>
        <v>23.545702623664209</v>
      </c>
      <c r="Q44" s="22">
        <f t="shared" si="53"/>
        <v>190.41659540288185</v>
      </c>
      <c r="R44" s="62">
        <f t="shared" si="0"/>
        <v>439.01928499738585</v>
      </c>
      <c r="S44" s="62">
        <f ca="1">AVERAGE(OFFSET($R$3,0,0,'Données projet'!$E$9+1,1))-AVERAGE(OFFSET($H$3,0,0,'Données projet'!$E$9+1,1))</f>
        <v>345.67675698621832</v>
      </c>
      <c r="T44" s="62">
        <f t="shared" si="34"/>
        <v>178.72086185623849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4.8</v>
      </c>
      <c r="AI44" s="14">
        <f>IF('Données projet'!$A$62&gt;35,AI43+AH44-AQ43,IF(A44&lt;'Données projet'!$A$62,$AF$205^A44,IF(A44='Données projet'!$A$62,'Données projet'!$B$62,AI43+AH44-AQ43)))</f>
        <v>100.79999999999995</v>
      </c>
      <c r="AJ44" s="14">
        <f>AI44*VLOOKUP('Données projet'!$B$10,Paramètres!$A$1:$I$89,3,0)*VLOOKUP('Données projet'!$B$10,Paramètres!$A$1:$I$89,5,0)</f>
        <v>88.058879999999974</v>
      </c>
      <c r="AK44" s="14">
        <f t="shared" si="35"/>
        <v>24.096481170231179</v>
      </c>
      <c r="AL44" s="22">
        <f t="shared" si="4"/>
        <v>195.33725403815257</v>
      </c>
      <c r="AM44" s="62">
        <f t="shared" si="5"/>
        <v>443.93994363265654</v>
      </c>
      <c r="AN44" s="62">
        <f ca="1">AVERAGE(OFFSET($AM$3,0,0,'Données projet'!$E$10+1,1))-AVERAGE(OFFSET($H$3,0,0,'Données projet'!$E$10+1,1))</f>
        <v>219.21539650048186</v>
      </c>
      <c r="AO44" s="62">
        <f t="shared" si="36"/>
        <v>204.10961748628708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4.0047553616126468</v>
      </c>
      <c r="AW44" s="23">
        <f>EXP(-LN(2)/2)*AW43+(1-EXP(-LN(2)/2))/(LN(2)/2)*AQ44*AT44*VLOOKUP('Données projet'!$B$10,Paramètres!$A$1:$I$89,3,0)*0.475*44/12</f>
        <v>0.16075845283532048</v>
      </c>
      <c r="AX44" s="23">
        <f t="shared" si="6"/>
        <v>4.1655138144479675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84.464640000000017</v>
      </c>
      <c r="BF44" s="14">
        <f t="shared" si="37"/>
        <v>23.225337718637984</v>
      </c>
      <c r="BG44" s="22">
        <f t="shared" si="7"/>
        <v>187.56004452662785</v>
      </c>
      <c r="BH44" s="62">
        <f t="shared" si="8"/>
        <v>436.16273412113185</v>
      </c>
      <c r="BI44" s="62">
        <f ca="1">AVERAGE(OFFSET($BH$3,0,0,'Données projet'!$E$11+1,1))-AVERAGE(OFFSET($H$3,0,0,'Données projet'!$E$11+1,1))</f>
        <v>341.48836779133632</v>
      </c>
      <c r="BJ44" s="62">
        <f t="shared" si="38"/>
        <v>176.87842498964287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2.6017941798481909</v>
      </c>
      <c r="BR44" s="23">
        <f>EXP(-LN(2)/2)*BR43+(1-EXP(-LN(2)/2))/(LN(2)/2)*BL44*BO44*VLOOKUP('Données projet'!$B$11,Paramètres!$A$1:$I$89,3,0)*0.475*44/12</f>
        <v>0.76538903312789131</v>
      </c>
      <c r="BS44" s="24">
        <f t="shared" si="9"/>
        <v>3.3671832129760824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84.600000000000009</v>
      </c>
      <c r="BZ44" s="14">
        <f>BY44*VLOOKUP('Données projet'!$B$12,Paramètres!$A$1:$I$89,3,0)*VLOOKUP('Données projet'!$B$12,Paramètres!$A$1:$I$89,5,0)</f>
        <v>56.749680000000005</v>
      </c>
      <c r="CA44" s="14">
        <f t="shared" si="39"/>
        <v>16.343841431568325</v>
      </c>
      <c r="CB44" s="22">
        <f t="shared" si="10"/>
        <v>127.30454982664817</v>
      </c>
      <c r="CC44" s="62">
        <f t="shared" si="11"/>
        <v>375.90723942115216</v>
      </c>
      <c r="CD44" s="62">
        <f ca="1">AVERAGE(OFFSET($CC$3,0,0,'Données projet'!$E$12+1,1))-AVERAGE(OFFSET($H$3,0,0,'Données projet'!$E$12+1,1))</f>
        <v>253.16238957399855</v>
      </c>
      <c r="CE44" s="62">
        <f t="shared" si="40"/>
        <v>138.00705940844708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2.1546108051867829</v>
      </c>
      <c r="CM44" s="23">
        <f>EXP(-LN(2)/2)*CM43+(1-EXP(-LN(2)/2))/(LN(2)/2)*CG44*CJ44*VLOOKUP('Données projet'!$B$12,Paramètres!$A$1:$I$89,3,0)*0.475*44/12</f>
        <v>0.51424575663280192</v>
      </c>
      <c r="CN44" s="24">
        <f t="shared" si="12"/>
        <v>2.668856561819585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90.2</v>
      </c>
      <c r="O45" s="14">
        <f>N45*VLOOKUP('Données projet'!$B$9,Paramètres!$A$1:$I$89,3,0)*VLOOKUP('Données projet'!$B$9,Paramètres!$A$1:$I$89,5,0)</f>
        <v>91.462800000000001</v>
      </c>
      <c r="P45" s="14">
        <f t="shared" si="33"/>
        <v>24.917685409456144</v>
      </c>
      <c r="Q45" s="22">
        <f t="shared" si="53"/>
        <v>202.69601208813609</v>
      </c>
      <c r="R45" s="62">
        <f t="shared" si="0"/>
        <v>452.07467834877082</v>
      </c>
      <c r="S45" s="62">
        <f ca="1">AVERAGE(OFFSET($R$3,0,0,'Données projet'!$E$9+1,1))-AVERAGE(OFFSET($H$3,0,0,'Données projet'!$E$9+1,1))</f>
        <v>345.67675698621832</v>
      </c>
      <c r="T45" s="62">
        <f t="shared" si="34"/>
        <v>178.72086185623849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4.8</v>
      </c>
      <c r="AI45" s="14">
        <f>IF('Données projet'!$A$62&gt;35,AI44+AH45-AQ44,IF(A45&lt;'Données projet'!$A$62,$AF$205^A45,IF(A45='Données projet'!$A$62,'Données projet'!$B$62,AI44+AH45-AQ44)))</f>
        <v>105.59999999999995</v>
      </c>
      <c r="AJ45" s="14">
        <f>AI45*VLOOKUP('Données projet'!$B$10,Paramètres!$A$1:$I$89,3,0)*VLOOKUP('Données projet'!$B$10,Paramètres!$A$1:$I$89,5,0)</f>
        <v>92.252159999999975</v>
      </c>
      <c r="AK45" s="14">
        <f t="shared" si="35"/>
        <v>25.107607958259965</v>
      </c>
      <c r="AL45" s="22">
        <f t="shared" si="4"/>
        <v>204.40159586063604</v>
      </c>
      <c r="AM45" s="62">
        <f t="shared" si="5"/>
        <v>453.78026212127077</v>
      </c>
      <c r="AN45" s="62">
        <f ca="1">AVERAGE(OFFSET($AM$3,0,0,'Données projet'!$E$10+1,1))-AVERAGE(OFFSET($H$3,0,0,'Données projet'!$E$10+1,1))</f>
        <v>219.21539650048186</v>
      </c>
      <c r="AO45" s="62">
        <f t="shared" si="36"/>
        <v>204.10961748628708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3.8952451156484176</v>
      </c>
      <c r="AW45" s="23">
        <f>EXP(-LN(2)/2)*AW44+(1-EXP(-LN(2)/2))/(LN(2)/2)*AQ45*AT45*VLOOKUP('Données projet'!$B$10,Paramètres!$A$1:$I$89,3,0)*0.475*44/12</f>
        <v>0.11367339213291289</v>
      </c>
      <c r="AX45" s="23">
        <f t="shared" si="6"/>
        <v>4.0089185077813303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90.055680000000009</v>
      </c>
      <c r="BF45" s="14">
        <f t="shared" si="37"/>
        <v>24.578653185730918</v>
      </c>
      <c r="BG45" s="22">
        <f t="shared" si="7"/>
        <v>199.65479696514799</v>
      </c>
      <c r="BH45" s="62">
        <f t="shared" si="8"/>
        <v>449.03346322578273</v>
      </c>
      <c r="BI45" s="62">
        <f ca="1">AVERAGE(OFFSET($BH$3,0,0,'Données projet'!$E$11+1,1))-AVERAGE(OFFSET($H$3,0,0,'Données projet'!$E$11+1,1))</f>
        <v>341.48836779133632</v>
      </c>
      <c r="BJ45" s="62">
        <f t="shared" si="38"/>
        <v>176.87842498964287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2.5306479811778329</v>
      </c>
      <c r="BR45" s="23">
        <f>EXP(-LN(2)/2)*BR44+(1-EXP(-LN(2)/2))/(LN(2)/2)*BL45*BO45*VLOOKUP('Données projet'!$B$11,Paramètres!$A$1:$I$89,3,0)*0.475*44/12</f>
        <v>0.541211775570547</v>
      </c>
      <c r="BS45" s="24">
        <f t="shared" si="9"/>
        <v>3.0718597567483799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90.2</v>
      </c>
      <c r="BZ45" s="14">
        <f>BY45*VLOOKUP('Données projet'!$B$12,Paramètres!$A$1:$I$89,3,0)*VLOOKUP('Données projet'!$B$12,Paramètres!$A$1:$I$89,5,0)</f>
        <v>60.506160000000001</v>
      </c>
      <c r="CA45" s="14">
        <f t="shared" si="39"/>
        <v>17.296179506002705</v>
      </c>
      <c r="CB45" s="22">
        <f t="shared" si="10"/>
        <v>135.50574130628803</v>
      </c>
      <c r="CC45" s="62">
        <f t="shared" si="11"/>
        <v>384.88440756692273</v>
      </c>
      <c r="CD45" s="62">
        <f ca="1">AVERAGE(OFFSET($CC$3,0,0,'Données projet'!$E$12+1,1))-AVERAGE(OFFSET($H$3,0,0,'Données projet'!$E$12+1,1))</f>
        <v>253.16238957399855</v>
      </c>
      <c r="CE45" s="62">
        <f t="shared" si="40"/>
        <v>138.00705940844708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2.0956928594128925</v>
      </c>
      <c r="CM45" s="23">
        <f>EXP(-LN(2)/2)*CM44+(1-EXP(-LN(2)/2))/(LN(2)/2)*CG45*CJ45*VLOOKUP('Données projet'!$B$12,Paramètres!$A$1:$I$89,3,0)*0.475*44/12</f>
        <v>0.36362666171146124</v>
      </c>
      <c r="CN45" s="24">
        <f t="shared" si="12"/>
        <v>2.4593195211243537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95.8</v>
      </c>
      <c r="O46" s="14">
        <f>N46*VLOOKUP('Données projet'!$B$9,Paramètres!$A$1:$I$89,3,0)*VLOOKUP('Données projet'!$B$9,Paramètres!$A$1:$I$89,5,0)</f>
        <v>97.141200000000012</v>
      </c>
      <c r="P46" s="14">
        <f t="shared" si="33"/>
        <v>26.279782450761708</v>
      </c>
      <c r="Q46" s="22">
        <f t="shared" si="53"/>
        <v>214.95821110174333</v>
      </c>
      <c r="R46" s="62">
        <f t="shared" si="0"/>
        <v>465.0993925681754</v>
      </c>
      <c r="S46" s="62">
        <f ca="1">AVERAGE(OFFSET($R$3,0,0,'Données projet'!$E$9+1,1))-AVERAGE(OFFSET($H$3,0,0,'Données projet'!$E$9+1,1))</f>
        <v>345.67675698621832</v>
      </c>
      <c r="T46" s="62">
        <f t="shared" si="34"/>
        <v>178.72086185623849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4.8</v>
      </c>
      <c r="AI46" s="14">
        <f>IF('Données projet'!$A$62&gt;35,AI45+AH46-AQ45,IF(A46&lt;'Données projet'!$A$62,$AF$205^A46,IF(A46='Données projet'!$A$62,'Données projet'!$B$62,AI45+AH46-AQ45)))</f>
        <v>110.39999999999995</v>
      </c>
      <c r="AJ46" s="14">
        <f>AI46*VLOOKUP('Données projet'!$B$10,Paramètres!$A$1:$I$89,3,0)*VLOOKUP('Données projet'!$B$10,Paramètres!$A$1:$I$89,5,0)</f>
        <v>96.445439999999962</v>
      </c>
      <c r="AK46" s="14">
        <f t="shared" si="35"/>
        <v>26.113397153228323</v>
      </c>
      <c r="AL46" s="22">
        <f t="shared" si="4"/>
        <v>213.45664137520589</v>
      </c>
      <c r="AM46" s="62">
        <f t="shared" si="5"/>
        <v>463.59782284163794</v>
      </c>
      <c r="AN46" s="62">
        <f ca="1">AVERAGE(OFFSET($AM$3,0,0,'Données projet'!$E$10+1,1))-AVERAGE(OFFSET($H$3,0,0,'Données projet'!$E$10+1,1))</f>
        <v>219.21539650048186</v>
      </c>
      <c r="AO46" s="62">
        <f t="shared" si="36"/>
        <v>204.10961748628708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3.7887294331189736</v>
      </c>
      <c r="AW46" s="23">
        <f>EXP(-LN(2)/2)*AW45+(1-EXP(-LN(2)/2))/(LN(2)/2)*AQ46*AT46*VLOOKUP('Données projet'!$B$10,Paramètres!$A$1:$I$89,3,0)*0.475*44/12</f>
        <v>8.0379226417660252E-2</v>
      </c>
      <c r="AX46" s="23">
        <f t="shared" si="6"/>
        <v>3.869108659536634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95.646720000000002</v>
      </c>
      <c r="BF46" s="14">
        <f t="shared" si="37"/>
        <v>25.922217414648212</v>
      </c>
      <c r="BG46" s="22">
        <f t="shared" si="7"/>
        <v>211.73256599717897</v>
      </c>
      <c r="BH46" s="62">
        <f t="shared" si="8"/>
        <v>461.87374746361104</v>
      </c>
      <c r="BI46" s="62">
        <f ca="1">AVERAGE(OFFSET($BH$3,0,0,'Données projet'!$E$11+1,1))-AVERAGE(OFFSET($H$3,0,0,'Données projet'!$E$11+1,1))</f>
        <v>341.48836779133632</v>
      </c>
      <c r="BJ46" s="62">
        <f t="shared" si="38"/>
        <v>176.87842498964287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2.4614472790515314</v>
      </c>
      <c r="BR46" s="23">
        <f>EXP(-LN(2)/2)*BR45+(1-EXP(-LN(2)/2))/(LN(2)/2)*BL46*BO46*VLOOKUP('Données projet'!$B$11,Paramètres!$A$1:$I$89,3,0)*0.475*44/12</f>
        <v>0.38269451656394565</v>
      </c>
      <c r="BS46" s="24">
        <f t="shared" si="9"/>
        <v>2.8441417956154771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95.8</v>
      </c>
      <c r="BZ46" s="14">
        <f>BY46*VLOOKUP('Données projet'!$B$12,Paramètres!$A$1:$I$89,3,0)*VLOOKUP('Données projet'!$B$12,Paramètres!$A$1:$I$89,5,0)</f>
        <v>64.26263999999999</v>
      </c>
      <c r="CA46" s="14">
        <f t="shared" si="39"/>
        <v>18.24165556222081</v>
      </c>
      <c r="CB46" s="22">
        <f t="shared" si="10"/>
        <v>143.69498143753455</v>
      </c>
      <c r="CC46" s="62">
        <f t="shared" si="11"/>
        <v>393.83616290396662</v>
      </c>
      <c r="CD46" s="62">
        <f ca="1">AVERAGE(OFFSET($CC$3,0,0,'Données projet'!$E$12+1,1))-AVERAGE(OFFSET($H$3,0,0,'Données projet'!$E$12+1,1))</f>
        <v>253.16238957399855</v>
      </c>
      <c r="CE46" s="62">
        <f t="shared" si="40"/>
        <v>138.00705940844708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2.0383860279645494</v>
      </c>
      <c r="CM46" s="23">
        <f>EXP(-LN(2)/2)*CM45+(1-EXP(-LN(2)/2))/(LN(2)/2)*CG46*CJ46*VLOOKUP('Données projet'!$B$12,Paramètres!$A$1:$I$89,3,0)*0.475*44/12</f>
        <v>0.25712287831640096</v>
      </c>
      <c r="CN46" s="24">
        <f t="shared" si="12"/>
        <v>2.2955089062809502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101.39999999999999</v>
      </c>
      <c r="O47" s="14">
        <f>N47*VLOOKUP('Données projet'!$B$9,Paramètres!$A$1:$I$89,3,0)*VLOOKUP('Données projet'!$B$9,Paramètres!$A$1:$I$89,5,0)</f>
        <v>102.81959999999999</v>
      </c>
      <c r="P47" s="14">
        <f t="shared" si="33"/>
        <v>27.632637448562328</v>
      </c>
      <c r="Q47" s="22">
        <f t="shared" si="53"/>
        <v>227.20431355624603</v>
      </c>
      <c r="R47" s="62">
        <f t="shared" si="0"/>
        <v>478.09478229438344</v>
      </c>
      <c r="S47" s="62">
        <f ca="1">AVERAGE(OFFSET($R$3,0,0,'Données projet'!$E$9+1,1))-AVERAGE(OFFSET($H$3,0,0,'Données projet'!$E$9+1,1))</f>
        <v>345.67675698621832</v>
      </c>
      <c r="T47" s="62">
        <f t="shared" si="34"/>
        <v>178.72086185623849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4.8</v>
      </c>
      <c r="AI47" s="14">
        <f>IF('Données projet'!$A$62&gt;35,AI46+AH47-AQ46,IF(A47&lt;'Données projet'!$A$62,$AF$205^A47,IF(A47='Données projet'!$A$62,'Données projet'!$B$62,AI46+AH47-AQ46)))</f>
        <v>115.19999999999995</v>
      </c>
      <c r="AJ47" s="14">
        <f>AI47*VLOOKUP('Données projet'!$B$10,Paramètres!$A$1:$I$89,3,0)*VLOOKUP('Données projet'!$B$10,Paramètres!$A$1:$I$89,5,0)</f>
        <v>100.63871999999996</v>
      </c>
      <c r="AK47" s="14">
        <f t="shared" si="35"/>
        <v>27.114107349094599</v>
      </c>
      <c r="AL47" s="22">
        <f t="shared" si="4"/>
        <v>222.50284096633968</v>
      </c>
      <c r="AM47" s="62">
        <f t="shared" si="5"/>
        <v>473.39330970447713</v>
      </c>
      <c r="AN47" s="62">
        <f ca="1">AVERAGE(OFFSET($AM$3,0,0,'Données projet'!$E$10+1,1))-AVERAGE(OFFSET($H$3,0,0,'Données projet'!$E$10+1,1))</f>
        <v>219.21539650048186</v>
      </c>
      <c r="AO47" s="62">
        <f t="shared" si="36"/>
        <v>204.10961748628708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3.6851264275297138</v>
      </c>
      <c r="AW47" s="23">
        <f>EXP(-LN(2)/2)*AW46+(1-EXP(-LN(2)/2))/(LN(2)/2)*AQ47*AT47*VLOOKUP('Données projet'!$B$10,Paramètres!$A$1:$I$89,3,0)*0.475*44/12</f>
        <v>5.6836696066456451E-2</v>
      </c>
      <c r="AX47" s="23">
        <f t="shared" si="6"/>
        <v>3.7419631235961703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101.23776000000001</v>
      </c>
      <c r="BF47" s="14">
        <f t="shared" si="37"/>
        <v>27.256665348119011</v>
      </c>
      <c r="BG47" s="22">
        <f t="shared" si="7"/>
        <v>223.79445748130729</v>
      </c>
      <c r="BH47" s="62">
        <f t="shared" si="8"/>
        <v>474.68492621944472</v>
      </c>
      <c r="BI47" s="62">
        <f ca="1">AVERAGE(OFFSET($BH$3,0,0,'Données projet'!$E$11+1,1))-AVERAGE(OFFSET($H$3,0,0,'Données projet'!$E$11+1,1))</f>
        <v>341.48836779133632</v>
      </c>
      <c r="BJ47" s="62">
        <f t="shared" si="38"/>
        <v>176.87842498964287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2.3941388737639806</v>
      </c>
      <c r="BR47" s="23">
        <f>EXP(-LN(2)/2)*BR46+(1-EXP(-LN(2)/2))/(LN(2)/2)*BL47*BO47*VLOOKUP('Données projet'!$B$11,Paramètres!$A$1:$I$89,3,0)*0.475*44/12</f>
        <v>0.2706058877852735</v>
      </c>
      <c r="BS47" s="24">
        <f t="shared" si="9"/>
        <v>2.6647447615492541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101.39999999999999</v>
      </c>
      <c r="BZ47" s="14">
        <f>BY47*VLOOKUP('Données projet'!$B$12,Paramètres!$A$1:$I$89,3,0)*VLOOKUP('Données projet'!$B$12,Paramètres!$A$1:$I$89,5,0)</f>
        <v>68.019120000000001</v>
      </c>
      <c r="CA47" s="14">
        <f t="shared" si="39"/>
        <v>19.180716414103657</v>
      </c>
      <c r="CB47" s="22">
        <f t="shared" si="10"/>
        <v>151.87304842123052</v>
      </c>
      <c r="CC47" s="62">
        <f t="shared" si="11"/>
        <v>402.76351715936795</v>
      </c>
      <c r="CD47" s="62">
        <f ca="1">AVERAGE(OFFSET($CC$3,0,0,'Données projet'!$E$12+1,1))-AVERAGE(OFFSET($H$3,0,0,'Données projet'!$E$12+1,1))</f>
        <v>253.16238957399855</v>
      </c>
      <c r="CE47" s="62">
        <f t="shared" si="40"/>
        <v>138.00705940844708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1.9826462548357964</v>
      </c>
      <c r="CM47" s="23">
        <f>EXP(-LN(2)/2)*CM46+(1-EXP(-LN(2)/2))/(LN(2)/2)*CG47*CJ47*VLOOKUP('Données projet'!$B$12,Paramètres!$A$1:$I$89,3,0)*0.475*44/12</f>
        <v>0.18181333085573062</v>
      </c>
      <c r="CN47" s="24">
        <f t="shared" si="12"/>
        <v>2.1644595856915272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107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106.99999999999999</v>
      </c>
      <c r="O48" s="14">
        <f>N48*VLOOKUP('Données projet'!$B$9,Paramètres!$A$1:$I$89,3,0)*VLOOKUP('Données projet'!$B$9,Paramètres!$A$1:$I$89,5,0)</f>
        <v>108.498</v>
      </c>
      <c r="P48" s="14">
        <f t="shared" si="33"/>
        <v>28.976818989145283</v>
      </c>
      <c r="Q48" s="22">
        <f t="shared" si="53"/>
        <v>239.43530973942802</v>
      </c>
      <c r="R48" s="62">
        <f t="shared" si="0"/>
        <v>491.06206729026212</v>
      </c>
      <c r="S48" s="62">
        <f ca="1">AVERAGE(OFFSET($R$3,0,0,'Données projet'!$E$9+1,1))-AVERAGE(OFFSET($H$3,0,0,'Données projet'!$E$9+1,1))</f>
        <v>345.67675698621832</v>
      </c>
      <c r="T48" s="62">
        <f t="shared" si="34"/>
        <v>178.72086185623849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14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120</v>
      </c>
      <c r="AG48" s="13">
        <f>VLOOKUP(A48,'Données projet'!$A$61:$I$81,9,0)</f>
        <v>4.8</v>
      </c>
      <c r="AH48" s="13">
        <f t="array" ref="AH48">INDEX(AG:AG,MIN(IF(ISNUMBER(AG48:AG244),ROW(AG48:AG244),"")))</f>
        <v>4.8</v>
      </c>
      <c r="AI48" s="14">
        <f>IF('Données projet'!$A$62&gt;35,AI47+AH48-AQ47,IF(A48&lt;'Données projet'!$A$62,$AF$205^A48,IF(A48='Données projet'!$A$62,'Données projet'!$B$62,AI47+AH48-AQ47)))</f>
        <v>119.99999999999994</v>
      </c>
      <c r="AJ48" s="14">
        <f>AI48*VLOOKUP('Données projet'!$B$10,Paramètres!$A$1:$I$89,3,0)*VLOOKUP('Données projet'!$B$10,Paramètres!$A$1:$I$89,5,0)</f>
        <v>104.83199999999997</v>
      </c>
      <c r="AK48" s="14">
        <f t="shared" si="35"/>
        <v>28.109974371137692</v>
      </c>
      <c r="AL48" s="22">
        <f t="shared" si="4"/>
        <v>231.54060536306474</v>
      </c>
      <c r="AM48" s="62">
        <f t="shared" si="5"/>
        <v>483.16736291389884</v>
      </c>
      <c r="AN48" s="62">
        <f ca="1">AVERAGE(OFFSET($AM$3,0,0,'Données projet'!$E$10+1,1))-AVERAGE(OFFSET($H$3,0,0,'Données projet'!$E$10+1,1))</f>
        <v>219.21539650048186</v>
      </c>
      <c r="AO48" s="62">
        <f t="shared" si="36"/>
        <v>204.10961748628708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3.5843564515765376</v>
      </c>
      <c r="AW48" s="23">
        <f>EXP(-LN(2)/2)*AW47+(1-EXP(-LN(2)/2))/(LN(2)/2)*AQ48*AT48*VLOOKUP('Données projet'!$B$10,Paramètres!$A$1:$I$89,3,0)*0.475*44/12</f>
        <v>4.0189613208830133E-2</v>
      </c>
      <c r="AX48" s="23">
        <f t="shared" si="6"/>
        <v>3.6245460647853678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106.82879999999999</v>
      </c>
      <c r="BF48" s="14">
        <f t="shared" si="37"/>
        <v>28.582557836195459</v>
      </c>
      <c r="BG48" s="22">
        <f t="shared" si="7"/>
        <v>235.84144823137373</v>
      </c>
      <c r="BH48" s="62">
        <f t="shared" si="8"/>
        <v>487.46820578220786</v>
      </c>
      <c r="BI48" s="62">
        <f ca="1">AVERAGE(OFFSET($BH$3,0,0,'Données projet'!$E$11+1,1))-AVERAGE(OFFSET($H$3,0,0,'Données projet'!$E$11+1,1))</f>
        <v>341.48836779133632</v>
      </c>
      <c r="BJ48" s="62">
        <f t="shared" si="38"/>
        <v>176.87842498964287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2.328671020358613</v>
      </c>
      <c r="BR48" s="23">
        <f>EXP(-LN(2)/2)*BR47+(1-EXP(-LN(2)/2))/(LN(2)/2)*BL48*BO48*VLOOKUP('Données projet'!$B$11,Paramètres!$A$1:$I$89,3,0)*0.475*44/12</f>
        <v>0.19134725828197283</v>
      </c>
      <c r="BS48" s="24">
        <f t="shared" si="9"/>
        <v>2.5200182786405856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107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106.99999999999999</v>
      </c>
      <c r="BZ48" s="14">
        <f>BY48*VLOOKUP('Données projet'!$B$12,Paramètres!$A$1:$I$89,3,0)*VLOOKUP('Données projet'!$B$12,Paramètres!$A$1:$I$89,5,0)</f>
        <v>71.775599999999983</v>
      </c>
      <c r="CA48" s="14">
        <f t="shared" si="39"/>
        <v>20.113756735968991</v>
      </c>
      <c r="CB48" s="22">
        <f t="shared" si="10"/>
        <v>160.04062964847927</v>
      </c>
      <c r="CC48" s="62">
        <f t="shared" si="11"/>
        <v>411.6673871993134</v>
      </c>
      <c r="CD48" s="62">
        <f ca="1">AVERAGE(OFFSET($CC$3,0,0,'Données projet'!$E$12+1,1))-AVERAGE(OFFSET($H$3,0,0,'Données projet'!$E$12+1,1))</f>
        <v>253.16238957399855</v>
      </c>
      <c r="CE48" s="62">
        <f t="shared" si="40"/>
        <v>138.00705940844708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14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1.9284306887344764</v>
      </c>
      <c r="CM48" s="23">
        <f>EXP(-LN(2)/2)*CM47+(1-EXP(-LN(2)/2))/(LN(2)/2)*CG48*CJ48*VLOOKUP('Données projet'!$B$12,Paramètres!$A$1:$I$89,3,0)*0.475*44/12</f>
        <v>0.12856143915820048</v>
      </c>
      <c r="CN48" s="24">
        <f t="shared" si="12"/>
        <v>2.056992127892677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98.59999999999998</v>
      </c>
      <c r="O49" s="14">
        <f>N49*VLOOKUP('Données projet'!$B$9,Paramètres!$A$1:$I$89,3,0)*VLOOKUP('Données projet'!$B$9,Paramètres!$A$1:$I$89,5,0)</f>
        <v>99.980399999999989</v>
      </c>
      <c r="P49" s="14">
        <f t="shared" si="33"/>
        <v>26.957328065359373</v>
      </c>
      <c r="Q49" s="22">
        <f t="shared" si="53"/>
        <v>221.08320971383421</v>
      </c>
      <c r="R49" s="62">
        <f t="shared" si="0"/>
        <v>473.43348311255988</v>
      </c>
      <c r="S49" s="62">
        <f ca="1">AVERAGE(OFFSET($R$3,0,0,'Données projet'!$E$9+1,1))-AVERAGE(OFFSET($H$3,0,0,'Données projet'!$E$9+1,1))</f>
        <v>345.67675698621832</v>
      </c>
      <c r="T49" s="62">
        <f t="shared" si="34"/>
        <v>178.72086185623849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4.2</v>
      </c>
      <c r="AI49" s="14">
        <f>IF('Données projet'!$A$62&gt;35,AI48+AH49-AQ48,IF(A49&lt;'Données projet'!$A$62,$AF$205^A49,IF(A49='Données projet'!$A$62,'Données projet'!$B$62,AI48+AH49-AQ48)))</f>
        <v>110.19999999999995</v>
      </c>
      <c r="AJ49" s="14">
        <f>AI49*VLOOKUP('Données projet'!$B$10,Paramètres!$A$1:$I$89,3,0)*VLOOKUP('Données projet'!$B$10,Paramètres!$A$1:$I$89,5,0)</f>
        <v>96.270719999999969</v>
      </c>
      <c r="AK49" s="14">
        <f t="shared" si="35"/>
        <v>26.071592384845928</v>
      </c>
      <c r="AL49" s="22">
        <f t="shared" si="4"/>
        <v>213.07952740360659</v>
      </c>
      <c r="AM49" s="62">
        <f t="shared" si="5"/>
        <v>465.42980080233224</v>
      </c>
      <c r="AN49" s="62">
        <f ca="1">AVERAGE(OFFSET($AM$3,0,0,'Données projet'!$E$10+1,1))-AVERAGE(OFFSET($H$3,0,0,'Données projet'!$E$10+1,1))</f>
        <v>219.21539650048186</v>
      </c>
      <c r="AO49" s="62">
        <f t="shared" si="36"/>
        <v>204.10961748628708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3.4863420359150634</v>
      </c>
      <c r="AW49" s="23">
        <f>EXP(-LN(2)/2)*AW48+(1-EXP(-LN(2)/2))/(LN(2)/2)*AQ49*AT49*VLOOKUP('Données projet'!$B$10,Paramètres!$A$1:$I$89,3,0)*0.475*44/12</f>
        <v>2.8418348033228232E-2</v>
      </c>
      <c r="AX49" s="23">
        <f t="shared" si="6"/>
        <v>3.5147603839482917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98.442239999999984</v>
      </c>
      <c r="BF49" s="14">
        <f t="shared" si="37"/>
        <v>26.590544283900247</v>
      </c>
      <c r="BG49" s="22">
        <f t="shared" si="7"/>
        <v>217.76543262779288</v>
      </c>
      <c r="BH49" s="62">
        <f t="shared" si="8"/>
        <v>470.11570602651852</v>
      </c>
      <c r="BI49" s="62">
        <f ca="1">AVERAGE(OFFSET($BH$3,0,0,'Données projet'!$E$11+1,1))-AVERAGE(OFFSET($H$3,0,0,'Données projet'!$E$11+1,1))</f>
        <v>341.48836779133632</v>
      </c>
      <c r="BJ49" s="62">
        <f t="shared" si="38"/>
        <v>176.87842498964287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2.2649933888474201</v>
      </c>
      <c r="BR49" s="23">
        <f>EXP(-LN(2)/2)*BR48+(1-EXP(-LN(2)/2))/(LN(2)/2)*BL49*BO49*VLOOKUP('Données projet'!$B$11,Paramètres!$A$1:$I$89,3,0)*0.475*44/12</f>
        <v>0.13530294389263675</v>
      </c>
      <c r="BS49" s="24">
        <f t="shared" si="9"/>
        <v>2.4002963327400568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98.59999999999998</v>
      </c>
      <c r="BZ49" s="14">
        <f>BY49*VLOOKUP('Données projet'!$B$12,Paramètres!$A$1:$I$89,3,0)*VLOOKUP('Données projet'!$B$12,Paramètres!$A$1:$I$89,5,0)</f>
        <v>66.140879999999981</v>
      </c>
      <c r="CA49" s="14">
        <f t="shared" si="39"/>
        <v>18.711962108796726</v>
      </c>
      <c r="CB49" s="22">
        <f t="shared" si="10"/>
        <v>147.78536667282091</v>
      </c>
      <c r="CC49" s="62">
        <f t="shared" si="11"/>
        <v>400.13564007154656</v>
      </c>
      <c r="CD49" s="62">
        <f ca="1">AVERAGE(OFFSET($CC$3,0,0,'Données projet'!$E$12+1,1))-AVERAGE(OFFSET($H$3,0,0,'Données projet'!$E$12+1,1))</f>
        <v>253.16238957399855</v>
      </c>
      <c r="CE49" s="62">
        <f t="shared" si="40"/>
        <v>138.00705940844708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1.8756976501392697</v>
      </c>
      <c r="CM49" s="23">
        <f>EXP(-LN(2)/2)*CM48+(1-EXP(-LN(2)/2))/(LN(2)/2)*CG49*CJ49*VLOOKUP('Données projet'!$B$12,Paramètres!$A$1:$I$89,3,0)*0.475*44/12</f>
        <v>9.090666542786531E-2</v>
      </c>
      <c r="CN49" s="24">
        <f t="shared" si="12"/>
        <v>1.9666043155671351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104.19999999999997</v>
      </c>
      <c r="O50" s="14">
        <f>N50*VLOOKUP('Données projet'!$B$9,Paramètres!$A$1:$I$89,3,0)*VLOOKUP('Données projet'!$B$9,Paramètres!$A$1:$I$89,5,0)</f>
        <v>105.65879999999999</v>
      </c>
      <c r="P50" s="14">
        <f t="shared" si="33"/>
        <v>28.305779445097851</v>
      </c>
      <c r="Q50" s="22">
        <f t="shared" si="53"/>
        <v>233.32164253354537</v>
      </c>
      <c r="R50" s="62">
        <f t="shared" si="0"/>
        <v>486.38288039774079</v>
      </c>
      <c r="S50" s="62">
        <f ca="1">AVERAGE(OFFSET($R$3,0,0,'Données projet'!$E$9+1,1))-AVERAGE(OFFSET($H$3,0,0,'Données projet'!$E$9+1,1))</f>
        <v>345.67675698621832</v>
      </c>
      <c r="T50" s="62">
        <f t="shared" si="34"/>
        <v>178.72086185623849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4.2</v>
      </c>
      <c r="AI50" s="14">
        <f>IF('Données projet'!$A$62&gt;35,AI49+AH50-AQ49,IF(A50&lt;'Données projet'!$A$62,$AF$205^A50,IF(A50='Données projet'!$A$62,'Données projet'!$B$62,AI49+AH50-AQ49)))</f>
        <v>114.39999999999995</v>
      </c>
      <c r="AJ50" s="14">
        <f>AI50*VLOOKUP('Données projet'!$B$10,Paramètres!$A$1:$I$89,3,0)*VLOOKUP('Données projet'!$B$10,Paramètres!$A$1:$I$89,5,0)</f>
        <v>99.939839999999975</v>
      </c>
      <c r="AK50" s="14">
        <f t="shared" si="35"/>
        <v>26.947664756006503</v>
      </c>
      <c r="AL50" s="22">
        <f t="shared" si="4"/>
        <v>220.99573745004457</v>
      </c>
      <c r="AM50" s="62">
        <f t="shared" si="5"/>
        <v>474.05697531423993</v>
      </c>
      <c r="AN50" s="62">
        <f ca="1">AVERAGE(OFFSET($AM$3,0,0,'Données projet'!$E$10+1,1))-AVERAGE(OFFSET($H$3,0,0,'Données projet'!$E$10+1,1))</f>
        <v>219.21539650048186</v>
      </c>
      <c r="AO50" s="62">
        <f t="shared" si="36"/>
        <v>204.10961748628708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3.3910078296042063</v>
      </c>
      <c r="AW50" s="23">
        <f>EXP(-LN(2)/2)*AW49+(1-EXP(-LN(2)/2))/(LN(2)/2)*AQ50*AT50*VLOOKUP('Données projet'!$B$10,Paramètres!$A$1:$I$89,3,0)*0.475*44/12</f>
        <v>2.009480660441507E-2</v>
      </c>
      <c r="AX50" s="23">
        <f t="shared" si="6"/>
        <v>3.4111026362086214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104.03327999999999</v>
      </c>
      <c r="BF50" s="14">
        <f t="shared" si="37"/>
        <v>27.920648515324356</v>
      </c>
      <c r="BG50" s="22">
        <f t="shared" si="7"/>
        <v>229.81975883085656</v>
      </c>
      <c r="BH50" s="62">
        <f t="shared" si="8"/>
        <v>482.88099669505198</v>
      </c>
      <c r="BI50" s="62">
        <f ca="1">AVERAGE(OFFSET($BH$3,0,0,'Données projet'!$E$11+1,1))-AVERAGE(OFFSET($H$3,0,0,'Données projet'!$E$11+1,1))</f>
        <v>341.48836779133632</v>
      </c>
      <c r="BJ50" s="62">
        <f t="shared" si="38"/>
        <v>176.87842498964287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2.2030570255185618</v>
      </c>
      <c r="BR50" s="23">
        <f>EXP(-LN(2)/2)*BR49+(1-EXP(-LN(2)/2))/(LN(2)/2)*BL50*BO50*VLOOKUP('Données projet'!$B$11,Paramètres!$A$1:$I$89,3,0)*0.475*44/12</f>
        <v>9.5673629140986413E-2</v>
      </c>
      <c r="BS50" s="24">
        <f t="shared" si="9"/>
        <v>2.2987306546595483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104.19999999999997</v>
      </c>
      <c r="BZ50" s="14">
        <f>BY50*VLOOKUP('Données projet'!$B$12,Paramètres!$A$1:$I$89,3,0)*VLOOKUP('Données projet'!$B$12,Paramètres!$A$1:$I$89,5,0)</f>
        <v>69.897359999999992</v>
      </c>
      <c r="CA50" s="14">
        <f t="shared" si="39"/>
        <v>19.647966265515983</v>
      </c>
      <c r="CB50" s="22">
        <f t="shared" si="10"/>
        <v>155.95810991244028</v>
      </c>
      <c r="CC50" s="62">
        <f t="shared" si="11"/>
        <v>409.01934777663564</v>
      </c>
      <c r="CD50" s="62">
        <f ca="1">AVERAGE(OFFSET($CC$3,0,0,'Données projet'!$E$12+1,1))-AVERAGE(OFFSET($H$3,0,0,'Données projet'!$E$12+1,1))</f>
        <v>253.16238957399855</v>
      </c>
      <c r="CE50" s="62">
        <f t="shared" si="40"/>
        <v>138.00705940844708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1.8244065992575589</v>
      </c>
      <c r="CM50" s="23">
        <f>EXP(-LN(2)/2)*CM49+(1-EXP(-LN(2)/2))/(LN(2)/2)*CG50*CJ50*VLOOKUP('Données projet'!$B$12,Paramètres!$A$1:$I$89,3,0)*0.475*44/12</f>
        <v>6.428071957910024E-2</v>
      </c>
      <c r="CN50" s="24">
        <f t="shared" si="12"/>
        <v>1.8886873188366591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109.79999999999997</v>
      </c>
      <c r="O51" s="14">
        <f>N51*VLOOKUP('Données projet'!$B$9,Paramètres!$A$1:$I$89,3,0)*VLOOKUP('Données projet'!$B$9,Paramètres!$A$1:$I$89,5,0)</f>
        <v>111.33719999999997</v>
      </c>
      <c r="P51" s="14">
        <f t="shared" si="33"/>
        <v>29.645817422905317</v>
      </c>
      <c r="Q51" s="22">
        <f t="shared" si="53"/>
        <v>245.54542201156005</v>
      </c>
      <c r="R51" s="62">
        <f t="shared" si="0"/>
        <v>499.30529069722775</v>
      </c>
      <c r="S51" s="62">
        <f ca="1">AVERAGE(OFFSET($R$3,0,0,'Données projet'!$E$9+1,1))-AVERAGE(OFFSET($H$3,0,0,'Données projet'!$E$9+1,1))</f>
        <v>345.67675698621832</v>
      </c>
      <c r="T51" s="62">
        <f t="shared" si="34"/>
        <v>178.72086185623849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4.2</v>
      </c>
      <c r="AI51" s="14">
        <f>IF('Données projet'!$A$62&gt;35,AI50+AH51-AQ50,IF(A51&lt;'Données projet'!$A$62,$AF$205^A51,IF(A51='Données projet'!$A$62,'Données projet'!$B$62,AI50+AH51-AQ50)))</f>
        <v>118.59999999999995</v>
      </c>
      <c r="AJ51" s="14">
        <f>AI51*VLOOKUP('Données projet'!$B$10,Paramètres!$A$1:$I$89,3,0)*VLOOKUP('Données projet'!$B$10,Paramètres!$A$1:$I$89,5,0)</f>
        <v>103.60895999999998</v>
      </c>
      <c r="AK51" s="14">
        <f t="shared" si="35"/>
        <v>27.820000397643376</v>
      </c>
      <c r="AL51" s="22">
        <f t="shared" si="4"/>
        <v>228.90543935922884</v>
      </c>
      <c r="AM51" s="62">
        <f t="shared" si="5"/>
        <v>482.66530804489651</v>
      </c>
      <c r="AN51" s="62">
        <f ca="1">AVERAGE(OFFSET($AM$3,0,0,'Données projet'!$E$10+1,1))-AVERAGE(OFFSET($H$3,0,0,'Données projet'!$E$10+1,1))</f>
        <v>219.21539650048186</v>
      </c>
      <c r="AO51" s="62">
        <f t="shared" si="36"/>
        <v>204.10961748628708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3.2982805421783277</v>
      </c>
      <c r="AW51" s="23">
        <f>EXP(-LN(2)/2)*AW50+(1-EXP(-LN(2)/2))/(LN(2)/2)*AQ51*AT51*VLOOKUP('Données projet'!$B$10,Paramètres!$A$1:$I$89,3,0)*0.475*44/12</f>
        <v>1.4209174016614118E-2</v>
      </c>
      <c r="AX51" s="23">
        <f t="shared" si="6"/>
        <v>3.3124897161949418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109.62431999999997</v>
      </c>
      <c r="BF51" s="14">
        <f t="shared" si="37"/>
        <v>29.242453818305616</v>
      </c>
      <c r="BG51" s="22">
        <f t="shared" si="7"/>
        <v>241.8596310668822</v>
      </c>
      <c r="BH51" s="62">
        <f t="shared" si="8"/>
        <v>495.61949975254993</v>
      </c>
      <c r="BI51" s="62">
        <f ca="1">AVERAGE(OFFSET($BH$3,0,0,'Données projet'!$E$11+1,1))-AVERAGE(OFFSET($H$3,0,0,'Données projet'!$E$11+1,1))</f>
        <v>341.48836779133632</v>
      </c>
      <c r="BJ51" s="62">
        <f t="shared" si="38"/>
        <v>176.87842498964287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2.1428143153020227</v>
      </c>
      <c r="BR51" s="23">
        <f>EXP(-LN(2)/2)*BR50+(1-EXP(-LN(2)/2))/(LN(2)/2)*BL51*BO51*VLOOKUP('Données projet'!$B$11,Paramètres!$A$1:$I$89,3,0)*0.475*44/12</f>
        <v>6.7651471946318376E-2</v>
      </c>
      <c r="BS51" s="24">
        <f t="shared" si="9"/>
        <v>2.2104657872483413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109.79999999999997</v>
      </c>
      <c r="BZ51" s="14">
        <f>BY51*VLOOKUP('Données projet'!$B$12,Paramètres!$A$1:$I$89,3,0)*VLOOKUP('Données projet'!$B$12,Paramètres!$A$1:$I$89,5,0)</f>
        <v>73.653839999999974</v>
      </c>
      <c r="CA51" s="14">
        <f t="shared" si="39"/>
        <v>20.578130405088231</v>
      </c>
      <c r="CB51" s="22">
        <f t="shared" si="10"/>
        <v>164.12068178886196</v>
      </c>
      <c r="CC51" s="62">
        <f t="shared" si="11"/>
        <v>417.88055047452963</v>
      </c>
      <c r="CD51" s="62">
        <f ca="1">AVERAGE(OFFSET($CC$3,0,0,'Données projet'!$E$12+1,1))-AVERAGE(OFFSET($H$3,0,0,'Données projet'!$E$12+1,1))</f>
        <v>253.16238957399855</v>
      </c>
      <c r="CE51" s="62">
        <f t="shared" si="40"/>
        <v>138.00705940844708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1.7745181048594876</v>
      </c>
      <c r="CM51" s="23">
        <f>EXP(-LN(2)/2)*CM50+(1-EXP(-LN(2)/2))/(LN(2)/2)*CG51*CJ51*VLOOKUP('Données projet'!$B$12,Paramètres!$A$1:$I$89,3,0)*0.475*44/12</f>
        <v>4.5453332713932655E-2</v>
      </c>
      <c r="CN51" s="24">
        <f t="shared" si="12"/>
        <v>1.8199714375734202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115.39999999999996</v>
      </c>
      <c r="O52" s="14">
        <f>N52*VLOOKUP('Données projet'!$B$9,Paramètres!$A$1:$I$89,3,0)*VLOOKUP('Données projet'!$B$9,Paramètres!$A$1:$I$89,5,0)</f>
        <v>117.01559999999996</v>
      </c>
      <c r="P52" s="14">
        <f t="shared" si="33"/>
        <v>30.977920050269788</v>
      </c>
      <c r="Q52" s="22">
        <f t="shared" si="53"/>
        <v>257.7553807542198</v>
      </c>
      <c r="R52" s="62">
        <f t="shared" si="0"/>
        <v>512.20176057851177</v>
      </c>
      <c r="S52" s="62">
        <f ca="1">AVERAGE(OFFSET($R$3,0,0,'Données projet'!$E$9+1,1))-AVERAGE(OFFSET($H$3,0,0,'Données projet'!$E$9+1,1))</f>
        <v>345.67675698621832</v>
      </c>
      <c r="T52" s="62">
        <f t="shared" si="34"/>
        <v>178.72086185623849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4.2</v>
      </c>
      <c r="AI52" s="14">
        <f>IF('Données projet'!$A$62&gt;35,AI51+AH52-AQ51,IF(A52&lt;'Données projet'!$A$62,$AF$205^A52,IF(A52='Données projet'!$A$62,'Données projet'!$B$62,AI51+AH52-AQ51)))</f>
        <v>122.79999999999995</v>
      </c>
      <c r="AJ52" s="14">
        <f>AI52*VLOOKUP('Données projet'!$B$10,Paramètres!$A$1:$I$89,3,0)*VLOOKUP('Données projet'!$B$10,Paramètres!$A$1:$I$89,5,0)</f>
        <v>107.27807999999999</v>
      </c>
      <c r="AK52" s="14">
        <f t="shared" si="35"/>
        <v>28.688746800886673</v>
      </c>
      <c r="AL52" s="22">
        <f t="shared" si="4"/>
        <v>236.80889001154424</v>
      </c>
      <c r="AM52" s="62">
        <f t="shared" si="5"/>
        <v>491.2552698358362</v>
      </c>
      <c r="AN52" s="62">
        <f ca="1">AVERAGE(OFFSET($AM$3,0,0,'Données projet'!$E$10+1,1))-AVERAGE(OFFSET($H$3,0,0,'Données projet'!$E$10+1,1))</f>
        <v>219.21539650048186</v>
      </c>
      <c r="AO52" s="62">
        <f t="shared" si="36"/>
        <v>204.10961748628708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3.2080888873034259</v>
      </c>
      <c r="AW52" s="23">
        <f>EXP(-LN(2)/2)*AW51+(1-EXP(-LN(2)/2))/(LN(2)/2)*AQ52*AT52*VLOOKUP('Données projet'!$B$10,Paramètres!$A$1:$I$89,3,0)*0.475*44/12</f>
        <v>1.0047403302207537E-2</v>
      </c>
      <c r="AX52" s="23">
        <f t="shared" si="6"/>
        <v>3.2181362906056332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115.21535999999998</v>
      </c>
      <c r="BF52" s="14">
        <f t="shared" si="37"/>
        <v>30.556431739921369</v>
      </c>
      <c r="BG52" s="22">
        <f t="shared" si="7"/>
        <v>253.88587061369637</v>
      </c>
      <c r="BH52" s="62">
        <f t="shared" si="8"/>
        <v>508.33225043798836</v>
      </c>
      <c r="BI52" s="62">
        <f ca="1">AVERAGE(OFFSET($BH$3,0,0,'Données projet'!$E$11+1,1))-AVERAGE(OFFSET($H$3,0,0,'Données projet'!$E$11+1,1))</f>
        <v>341.48836779133632</v>
      </c>
      <c r="BJ52" s="62">
        <f t="shared" si="38"/>
        <v>176.87842498964287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2.0842189451643813</v>
      </c>
      <c r="BR52" s="23">
        <f>EXP(-LN(2)/2)*BR51+(1-EXP(-LN(2)/2))/(LN(2)/2)*BL52*BO52*VLOOKUP('Données projet'!$B$11,Paramètres!$A$1:$I$89,3,0)*0.475*44/12</f>
        <v>4.7836814570493207E-2</v>
      </c>
      <c r="BS52" s="24">
        <f t="shared" si="9"/>
        <v>2.1320557597348744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115.39999999999996</v>
      </c>
      <c r="BZ52" s="14">
        <f>BY52*VLOOKUP('Données projet'!$B$12,Paramètres!$A$1:$I$89,3,0)*VLOOKUP('Données projet'!$B$12,Paramètres!$A$1:$I$89,5,0)</f>
        <v>77.410319999999984</v>
      </c>
      <c r="CA52" s="14">
        <f t="shared" si="39"/>
        <v>21.50278635866929</v>
      </c>
      <c r="CB52" s="22">
        <f t="shared" si="10"/>
        <v>172.27366024134895</v>
      </c>
      <c r="CC52" s="62">
        <f t="shared" si="11"/>
        <v>426.72004006564089</v>
      </c>
      <c r="CD52" s="62">
        <f ca="1">AVERAGE(OFFSET($CC$3,0,0,'Données projet'!$E$12+1,1))-AVERAGE(OFFSET($H$3,0,0,'Données projet'!$E$12+1,1))</f>
        <v>253.16238957399855</v>
      </c>
      <c r="CE52" s="62">
        <f t="shared" si="40"/>
        <v>138.00705940844708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1.7259938139642534</v>
      </c>
      <c r="CM52" s="23">
        <f>EXP(-LN(2)/2)*CM51+(1-EXP(-LN(2)/2))/(LN(2)/2)*CG52*CJ52*VLOOKUP('Données projet'!$B$12,Paramètres!$A$1:$I$89,3,0)*0.475*44/12</f>
        <v>3.214035978955012E-2</v>
      </c>
      <c r="CN52" s="24">
        <f t="shared" si="12"/>
        <v>1.7581341737538037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120.99999999999996</v>
      </c>
      <c r="O53" s="14">
        <f>N53*VLOOKUP('Données projet'!$B$9,Paramètres!$A$1:$I$89,3,0)*VLOOKUP('Données projet'!$B$9,Paramètres!$A$1:$I$89,5,0)</f>
        <v>122.69399999999997</v>
      </c>
      <c r="P53" s="14">
        <f t="shared" si="33"/>
        <v>32.302516360650685</v>
      </c>
      <c r="Q53" s="22">
        <f t="shared" si="53"/>
        <v>269.95226599479992</v>
      </c>
      <c r="R53" s="62">
        <f t="shared" si="0"/>
        <v>525.07324752427007</v>
      </c>
      <c r="S53" s="62">
        <f ca="1">AVERAGE(OFFSET($R$3,0,0,'Données projet'!$E$9+1,1))-AVERAGE(OFFSET($H$3,0,0,'Données projet'!$E$9+1,1))</f>
        <v>345.67675698621832</v>
      </c>
      <c r="T53" s="62">
        <f t="shared" si="34"/>
        <v>178.72086185623849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14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127</v>
      </c>
      <c r="AG53" s="13">
        <f>VLOOKUP(A53,'Données projet'!$A$61:$I$81,9,0)</f>
        <v>4.2</v>
      </c>
      <c r="AH53" s="13">
        <f t="array" ref="AH53">INDEX(AG:AG,MIN(IF(ISNUMBER(AG53:AG249),ROW(AG53:AG249),"")))</f>
        <v>4.2</v>
      </c>
      <c r="AI53" s="14">
        <f>IF('Données projet'!$A$62&gt;35,AI52+AH53-AQ52,IF(A53&lt;'Données projet'!$A$62,$AF$205^A53,IF(A53='Données projet'!$A$62,'Données projet'!$B$62,AI52+AH53-AQ52)))</f>
        <v>126.99999999999996</v>
      </c>
      <c r="AJ53" s="14">
        <f>AI53*VLOOKUP('Données projet'!$B$10,Paramètres!$A$1:$I$89,3,0)*VLOOKUP('Données projet'!$B$10,Paramètres!$A$1:$I$89,5,0)</f>
        <v>110.94719999999997</v>
      </c>
      <c r="AK53" s="14">
        <f t="shared" si="35"/>
        <v>29.554040795615606</v>
      </c>
      <c r="AL53" s="22">
        <f t="shared" si="4"/>
        <v>244.70632771903044</v>
      </c>
      <c r="AM53" s="62">
        <f t="shared" si="5"/>
        <v>499.82730924850057</v>
      </c>
      <c r="AN53" s="62">
        <f ca="1">AVERAGE(OFFSET($AM$3,0,0,'Données projet'!$E$10+1,1))-AVERAGE(OFFSET($H$3,0,0,'Données projet'!$E$10+1,1))</f>
        <v>219.21539650048186</v>
      </c>
      <c r="AO53" s="62">
        <f t="shared" si="36"/>
        <v>204.10961748628708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11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3.1203635279740514</v>
      </c>
      <c r="AW53" s="23">
        <f>EXP(-LN(2)/2)*AW52+(1-EXP(-LN(2)/2))/(LN(2)/2)*AQ53*AT53*VLOOKUP('Données projet'!$B$10,Paramètres!$A$1:$I$89,3,0)*0.475*44/12</f>
        <v>7.1045870083070598E-3</v>
      </c>
      <c r="AX53" s="23">
        <f t="shared" si="6"/>
        <v>3.1274681149823582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120.80639999999995</v>
      </c>
      <c r="BF53" s="14">
        <f t="shared" si="37"/>
        <v>31.86300547616397</v>
      </c>
      <c r="BG53" s="22">
        <f t="shared" si="7"/>
        <v>265.89921453765214</v>
      </c>
      <c r="BH53" s="62">
        <f t="shared" si="8"/>
        <v>521.02019606712224</v>
      </c>
      <c r="BI53" s="62">
        <f ca="1">AVERAGE(OFFSET($BH$3,0,0,'Données projet'!$E$11+1,1))-AVERAGE(OFFSET($H$3,0,0,'Données projet'!$E$11+1,1))</f>
        <v>341.48836779133632</v>
      </c>
      <c r="BJ53" s="62">
        <f t="shared" si="38"/>
        <v>176.87842498964287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2.0272258685045506</v>
      </c>
      <c r="BR53" s="23">
        <f>EXP(-LN(2)/2)*BR52+(1-EXP(-LN(2)/2))/(LN(2)/2)*BL53*BO53*VLOOKUP('Données projet'!$B$11,Paramètres!$A$1:$I$89,3,0)*0.475*44/12</f>
        <v>3.3825735973159188E-2</v>
      </c>
      <c r="BS53" s="24">
        <f t="shared" si="9"/>
        <v>2.0610516044777096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121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120.99999999999996</v>
      </c>
      <c r="BZ53" s="14">
        <f>BY53*VLOOKUP('Données projet'!$B$12,Paramètres!$A$1:$I$89,3,0)*VLOOKUP('Données projet'!$B$12,Paramètres!$A$1:$I$89,5,0)</f>
        <v>81.166799999999967</v>
      </c>
      <c r="CA53" s="14">
        <f t="shared" si="39"/>
        <v>22.422231932399924</v>
      </c>
      <c r="CB53" s="22">
        <f t="shared" si="10"/>
        <v>180.4175639489298</v>
      </c>
      <c r="CC53" s="62">
        <f t="shared" si="11"/>
        <v>435.5385454783999</v>
      </c>
      <c r="CD53" s="62">
        <f ca="1">AVERAGE(OFFSET($CC$3,0,0,'Données projet'!$E$12+1,1))-AVERAGE(OFFSET($H$3,0,0,'Données projet'!$E$12+1,1))</f>
        <v>253.16238957399855</v>
      </c>
      <c r="CE53" s="62">
        <f t="shared" si="40"/>
        <v>138.00705940844708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14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1.6787964223553311</v>
      </c>
      <c r="CM53" s="23">
        <f>EXP(-LN(2)/2)*CM52+(1-EXP(-LN(2)/2))/(LN(2)/2)*CG53*CJ53*VLOOKUP('Données projet'!$B$12,Paramètres!$A$1:$I$89,3,0)*0.475*44/12</f>
        <v>2.2726666356966328E-2</v>
      </c>
      <c r="CN53" s="24">
        <f t="shared" si="12"/>
        <v>1.7015230887122974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112.59999999999995</v>
      </c>
      <c r="O54" s="14">
        <f>N54*VLOOKUP('Données projet'!$B$9,Paramètres!$A$1:$I$89,3,0)*VLOOKUP('Données projet'!$B$9,Paramètres!$A$1:$I$89,5,0)</f>
        <v>114.17639999999996</v>
      </c>
      <c r="P54" s="14">
        <f t="shared" si="33"/>
        <v>30.312832781759997</v>
      </c>
      <c r="Q54" s="22">
        <f t="shared" si="53"/>
        <v>251.65208042823193</v>
      </c>
      <c r="R54" s="62">
        <f t="shared" si="0"/>
        <v>507.43596083147872</v>
      </c>
      <c r="S54" s="62">
        <f ca="1">AVERAGE(OFFSET($R$3,0,0,'Données projet'!$E$9+1,1))-AVERAGE(OFFSET($H$3,0,0,'Données projet'!$E$9+1,1))</f>
        <v>345.67675698621832</v>
      </c>
      <c r="T54" s="62">
        <f t="shared" si="34"/>
        <v>178.72086185623849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3.6</v>
      </c>
      <c r="AI54" s="14">
        <f>IF('Données projet'!$A$62&gt;35,AI53+AH54-AQ53,IF(A54&lt;'Données projet'!$A$62,$AF$205^A54,IF(A54='Données projet'!$A$62,'Données projet'!$B$62,AI53+AH54-AQ53)))</f>
        <v>119.59999999999997</v>
      </c>
      <c r="AJ54" s="14">
        <f>AI54*VLOOKUP('Données projet'!$B$10,Paramètres!$A$1:$I$89,3,0)*VLOOKUP('Données projet'!$B$10,Paramètres!$A$1:$I$89,5,0)</f>
        <v>104.48255999999998</v>
      </c>
      <c r="AK54" s="14">
        <f t="shared" si="35"/>
        <v>28.02716504477474</v>
      </c>
      <c r="AL54" s="22">
        <f t="shared" si="4"/>
        <v>230.78777111964928</v>
      </c>
      <c r="AM54" s="62">
        <f t="shared" si="5"/>
        <v>486.5716515228961</v>
      </c>
      <c r="AN54" s="62">
        <f ca="1">AVERAGE(OFFSET($AM$3,0,0,'Données projet'!$E$10+1,1))-AVERAGE(OFFSET($H$3,0,0,'Données projet'!$E$10+1,1))</f>
        <v>219.21539650048186</v>
      </c>
      <c r="AO54" s="62">
        <f t="shared" si="36"/>
        <v>204.10961748628708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3.0350370232088149</v>
      </c>
      <c r="AW54" s="23">
        <f>EXP(-LN(2)/2)*AW53+(1-EXP(-LN(2)/2))/(LN(2)/2)*AQ54*AT54*VLOOKUP('Données projet'!$B$10,Paramètres!$A$1:$I$89,3,0)*0.475*44/12</f>
        <v>5.0237016511037683E-3</v>
      </c>
      <c r="AX54" s="23">
        <f t="shared" si="6"/>
        <v>3.0400607248599187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112.41983999999995</v>
      </c>
      <c r="BF54" s="14">
        <f t="shared" si="37"/>
        <v>29.900393707402358</v>
      </c>
      <c r="BG54" s="22">
        <f t="shared" si="7"/>
        <v>247.87440704039236</v>
      </c>
      <c r="BH54" s="62">
        <f t="shared" si="8"/>
        <v>503.65828744363921</v>
      </c>
      <c r="BI54" s="62">
        <f ca="1">AVERAGE(OFFSET($BH$3,0,0,'Données projet'!$E$11+1,1))-AVERAGE(OFFSET($H$3,0,0,'Données projet'!$E$11+1,1))</f>
        <v>341.48836779133632</v>
      </c>
      <c r="BJ54" s="62">
        <f t="shared" si="38"/>
        <v>176.87842498964287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1.9717912705231184</v>
      </c>
      <c r="BR54" s="23">
        <f>EXP(-LN(2)/2)*BR53+(1-EXP(-LN(2)/2))/(LN(2)/2)*BL54*BO54*VLOOKUP('Données projet'!$B$11,Paramètres!$A$1:$I$89,3,0)*0.475*44/12</f>
        <v>2.3918407285246603E-2</v>
      </c>
      <c r="BS54" s="24">
        <f t="shared" si="9"/>
        <v>1.9957096778083649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112.59999999999995</v>
      </c>
      <c r="BZ54" s="14">
        <f>BY54*VLOOKUP('Données projet'!$B$12,Paramètres!$A$1:$I$89,3,0)*VLOOKUP('Données projet'!$B$12,Paramètres!$A$1:$I$89,5,0)</f>
        <v>75.532079999999965</v>
      </c>
      <c r="CA54" s="14">
        <f t="shared" si="39"/>
        <v>21.041127557128405</v>
      </c>
      <c r="CB54" s="22">
        <f t="shared" si="10"/>
        <v>168.19833649533192</v>
      </c>
      <c r="CC54" s="62">
        <f t="shared" si="11"/>
        <v>423.98221689857871</v>
      </c>
      <c r="CD54" s="62">
        <f ca="1">AVERAGE(OFFSET($CC$3,0,0,'Données projet'!$E$12+1,1))-AVERAGE(OFFSET($H$3,0,0,'Données projet'!$E$12+1,1))</f>
        <v>253.16238957399855</v>
      </c>
      <c r="CE54" s="62">
        <f t="shared" si="40"/>
        <v>138.00705940844708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1.6328896459019577</v>
      </c>
      <c r="CM54" s="23">
        <f>EXP(-LN(2)/2)*CM53+(1-EXP(-LN(2)/2))/(LN(2)/2)*CG54*CJ54*VLOOKUP('Données projet'!$B$12,Paramètres!$A$1:$I$89,3,0)*0.475*44/12</f>
        <v>1.607017989477506E-2</v>
      </c>
      <c r="CN54" s="24">
        <f t="shared" si="12"/>
        <v>1.6489598257967328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118.19999999999995</v>
      </c>
      <c r="O55" s="14">
        <f>N55*VLOOKUP('Données projet'!$B$9,Paramètres!$A$1:$I$89,3,0)*VLOOKUP('Données projet'!$B$9,Paramètres!$A$1:$I$89,5,0)</f>
        <v>119.85479999999995</v>
      </c>
      <c r="P55" s="14">
        <f t="shared" si="33"/>
        <v>31.641131392625841</v>
      </c>
      <c r="Q55" s="22">
        <f t="shared" si="53"/>
        <v>263.85541384215657</v>
      </c>
      <c r="R55" s="62">
        <f t="shared" si="0"/>
        <v>520.29069330573998</v>
      </c>
      <c r="S55" s="62">
        <f ca="1">AVERAGE(OFFSET($R$3,0,0,'Données projet'!$E$9+1,1))-AVERAGE(OFFSET($H$3,0,0,'Données projet'!$E$9+1,1))</f>
        <v>345.67675698621832</v>
      </c>
      <c r="T55" s="62">
        <f t="shared" si="34"/>
        <v>178.72086185623849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3.6</v>
      </c>
      <c r="AI55" s="14">
        <f>IF('Données projet'!$A$62&gt;35,AI54+AH55-AQ54,IF(A55&lt;'Données projet'!$A$62,$AF$205^A55,IF(A55='Données projet'!$A$62,'Données projet'!$B$62,AI54+AH55-AQ54)))</f>
        <v>123.19999999999996</v>
      </c>
      <c r="AJ55" s="14">
        <f>AI55*VLOOKUP('Données projet'!$B$10,Paramètres!$A$1:$I$89,3,0)*VLOOKUP('Données projet'!$B$10,Paramètres!$A$1:$I$89,5,0)</f>
        <v>107.62751999999999</v>
      </c>
      <c r="AK55" s="14">
        <f t="shared" si="35"/>
        <v>28.771302425776422</v>
      </c>
      <c r="AL55" s="22">
        <f t="shared" si="4"/>
        <v>237.56128239156058</v>
      </c>
      <c r="AM55" s="62">
        <f t="shared" si="5"/>
        <v>493.99656185514391</v>
      </c>
      <c r="AN55" s="62">
        <f ca="1">AVERAGE(OFFSET($AM$3,0,0,'Données projet'!$E$10+1,1))-AVERAGE(OFFSET($H$3,0,0,'Données projet'!$E$10+1,1))</f>
        <v>219.21539650048186</v>
      </c>
      <c r="AO55" s="62">
        <f t="shared" si="36"/>
        <v>204.10961748628708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2.9520437762035092</v>
      </c>
      <c r="AW55" s="23">
        <f>EXP(-LN(2)/2)*AW54+(1-EXP(-LN(2)/2))/(LN(2)/2)*AQ55*AT55*VLOOKUP('Données projet'!$B$10,Paramètres!$A$1:$I$89,3,0)*0.475*44/12</f>
        <v>3.5522935041535299E-3</v>
      </c>
      <c r="AX55" s="23">
        <f t="shared" si="6"/>
        <v>2.9555960697076626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118.01087999999996</v>
      </c>
      <c r="BF55" s="14">
        <f t="shared" si="37"/>
        <v>31.210619370303242</v>
      </c>
      <c r="BG55" s="22">
        <f t="shared" si="7"/>
        <v>259.89411140327809</v>
      </c>
      <c r="BH55" s="62">
        <f t="shared" si="8"/>
        <v>516.32939086686144</v>
      </c>
      <c r="BI55" s="62">
        <f ca="1">AVERAGE(OFFSET($BH$3,0,0,'Données projet'!$E$11+1,1))-AVERAGE(OFFSET($H$3,0,0,'Données projet'!$E$11+1,1))</f>
        <v>341.48836779133632</v>
      </c>
      <c r="BJ55" s="62">
        <f t="shared" si="38"/>
        <v>176.87842498964287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1.9178725345386674</v>
      </c>
      <c r="BR55" s="23">
        <f>EXP(-LN(2)/2)*BR54+(1-EXP(-LN(2)/2))/(LN(2)/2)*BL55*BO55*VLOOKUP('Données projet'!$B$11,Paramètres!$A$1:$I$89,3,0)*0.475*44/12</f>
        <v>1.6912867986579594E-2</v>
      </c>
      <c r="BS55" s="24">
        <f t="shared" si="9"/>
        <v>1.9347854025252469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118.19999999999995</v>
      </c>
      <c r="BZ55" s="14">
        <f>BY55*VLOOKUP('Données projet'!$B$12,Paramètres!$A$1:$I$89,3,0)*VLOOKUP('Données projet'!$B$12,Paramètres!$A$1:$I$89,5,0)</f>
        <v>79.288559999999976</v>
      </c>
      <c r="CA55" s="14">
        <f t="shared" si="39"/>
        <v>21.96314301858018</v>
      </c>
      <c r="CB55" s="22">
        <f t="shared" si="10"/>
        <v>176.34671609069377</v>
      </c>
      <c r="CC55" s="62">
        <f t="shared" si="11"/>
        <v>432.78199555427716</v>
      </c>
      <c r="CD55" s="62">
        <f ca="1">AVERAGE(OFFSET($CC$3,0,0,'Données projet'!$E$12+1,1))-AVERAGE(OFFSET($H$3,0,0,'Données projet'!$E$12+1,1))</f>
        <v>253.16238957399855</v>
      </c>
      <c r="CE55" s="62">
        <f t="shared" si="40"/>
        <v>138.00705940844708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1.5882381926648343</v>
      </c>
      <c r="CM55" s="23">
        <f>EXP(-LN(2)/2)*CM54+(1-EXP(-LN(2)/2))/(LN(2)/2)*CG55*CJ55*VLOOKUP('Données projet'!$B$12,Paramètres!$A$1:$I$89,3,0)*0.475*44/12</f>
        <v>1.1363333178483164E-2</v>
      </c>
      <c r="CN55" s="24">
        <f t="shared" si="12"/>
        <v>1.5996015258433176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123.79999999999994</v>
      </c>
      <c r="O56" s="14">
        <f>N56*VLOOKUP('Données projet'!$B$9,Paramètres!$A$1:$I$89,3,0)*VLOOKUP('Données projet'!$B$9,Paramètres!$A$1:$I$89,5,0)</f>
        <v>125.53319999999997</v>
      </c>
      <c r="P56" s="14">
        <f t="shared" si="33"/>
        <v>32.962122082003134</v>
      </c>
      <c r="Q56" s="22">
        <f t="shared" si="53"/>
        <v>276.046019292822</v>
      </c>
      <c r="R56" s="62">
        <f t="shared" si="0"/>
        <v>533.12139749935523</v>
      </c>
      <c r="S56" s="62">
        <f ca="1">AVERAGE(OFFSET($R$3,0,0,'Données projet'!$E$9+1,1))-AVERAGE(OFFSET($H$3,0,0,'Données projet'!$E$9+1,1))</f>
        <v>345.67675698621832</v>
      </c>
      <c r="T56" s="62">
        <f t="shared" si="34"/>
        <v>178.72086185623849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3.6</v>
      </c>
      <c r="AI56" s="14">
        <f>IF('Données projet'!$A$62&gt;35,AI55+AH56-AQ55,IF(A56&lt;'Données projet'!$A$62,$AF$205^A56,IF(A56='Données projet'!$A$62,'Données projet'!$B$62,AI55+AH56-AQ55)))</f>
        <v>126.79999999999995</v>
      </c>
      <c r="AJ56" s="14">
        <f>AI56*VLOOKUP('Données projet'!$B$10,Paramètres!$A$1:$I$89,3,0)*VLOOKUP('Données projet'!$B$10,Paramètres!$A$1:$I$89,5,0)</f>
        <v>110.77247999999997</v>
      </c>
      <c r="AK56" s="14">
        <f t="shared" si="35"/>
        <v>29.512912692801613</v>
      </c>
      <c r="AL56" s="22">
        <f t="shared" si="4"/>
        <v>244.3303922732961</v>
      </c>
      <c r="AM56" s="62">
        <f t="shared" si="5"/>
        <v>501.40577047982936</v>
      </c>
      <c r="AN56" s="62">
        <f ca="1">AVERAGE(OFFSET($AM$3,0,0,'Données projet'!$E$10+1,1))-AVERAGE(OFFSET($H$3,0,0,'Données projet'!$E$10+1,1))</f>
        <v>219.21539650048186</v>
      </c>
      <c r="AO56" s="62">
        <f t="shared" si="36"/>
        <v>204.10961748628708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2.8713199839019889</v>
      </c>
      <c r="AW56" s="23">
        <f>EXP(-LN(2)/2)*AW55+(1-EXP(-LN(2)/2))/(LN(2)/2)*AQ56*AT56*VLOOKUP('Données projet'!$B$10,Paramètres!$A$1:$I$89,3,0)*0.475*44/12</f>
        <v>2.5118508255518842E-3</v>
      </c>
      <c r="AX56" s="23">
        <f t="shared" si="6"/>
        <v>2.8738318347275409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123.60191999999994</v>
      </c>
      <c r="BF56" s="14">
        <f t="shared" si="37"/>
        <v>32.513636543939356</v>
      </c>
      <c r="BG56" s="22">
        <f t="shared" si="7"/>
        <v>271.9012609806943</v>
      </c>
      <c r="BH56" s="62">
        <f t="shared" si="8"/>
        <v>528.97663918722753</v>
      </c>
      <c r="BI56" s="62">
        <f ca="1">AVERAGE(OFFSET($BH$3,0,0,'Données projet'!$E$11+1,1))-AVERAGE(OFFSET($H$3,0,0,'Données projet'!$E$11+1,1))</f>
        <v>341.48836779133632</v>
      </c>
      <c r="BJ56" s="62">
        <f t="shared" si="38"/>
        <v>176.87842498964287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1.8654282092251742</v>
      </c>
      <c r="BR56" s="23">
        <f>EXP(-LN(2)/2)*BR55+(1-EXP(-LN(2)/2))/(LN(2)/2)*BL56*BO56*VLOOKUP('Données projet'!$B$11,Paramètres!$A$1:$I$89,3,0)*0.475*44/12</f>
        <v>1.1959203642623302E-2</v>
      </c>
      <c r="BS56" s="24">
        <f t="shared" si="9"/>
        <v>1.8773874128677974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123.79999999999994</v>
      </c>
      <c r="BZ56" s="14">
        <f>BY56*VLOOKUP('Données projet'!$B$12,Paramètres!$A$1:$I$89,3,0)*VLOOKUP('Données projet'!$B$12,Paramètres!$A$1:$I$89,5,0)</f>
        <v>83.045039999999958</v>
      </c>
      <c r="CA56" s="14">
        <f t="shared" si="39"/>
        <v>22.880085812976201</v>
      </c>
      <c r="CB56" s="22">
        <f t="shared" si="10"/>
        <v>184.48626079093347</v>
      </c>
      <c r="CC56" s="62">
        <f t="shared" si="11"/>
        <v>441.56163899746673</v>
      </c>
      <c r="CD56" s="62">
        <f ca="1">AVERAGE(OFFSET($CC$3,0,0,'Données projet'!$E$12+1,1))-AVERAGE(OFFSET($H$3,0,0,'Données projet'!$E$12+1,1))</f>
        <v>253.16238957399855</v>
      </c>
      <c r="CE56" s="62">
        <f t="shared" si="40"/>
        <v>138.00705940844708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1.544807735764598</v>
      </c>
      <c r="CM56" s="23">
        <f>EXP(-LN(2)/2)*CM55+(1-EXP(-LN(2)/2))/(LN(2)/2)*CG56*CJ56*VLOOKUP('Données projet'!$B$12,Paramètres!$A$1:$I$89,3,0)*0.475*44/12</f>
        <v>8.03508994738753E-3</v>
      </c>
      <c r="CN56" s="24">
        <f t="shared" si="12"/>
        <v>1.5528428257119855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129.39999999999995</v>
      </c>
      <c r="O57" s="14">
        <f>N57*VLOOKUP('Données projet'!$B$9,Paramètres!$A$1:$I$89,3,0)*VLOOKUP('Données projet'!$B$9,Paramètres!$A$1:$I$89,5,0)</f>
        <v>131.21159999999995</v>
      </c>
      <c r="P57" s="14">
        <f t="shared" si="33"/>
        <v>34.276173183172517</v>
      </c>
      <c r="Q57" s="22">
        <f t="shared" si="53"/>
        <v>288.22453829402536</v>
      </c>
      <c r="R57" s="62">
        <f t="shared" si="0"/>
        <v>545.92891096136464</v>
      </c>
      <c r="S57" s="62">
        <f ca="1">AVERAGE(OFFSET($R$3,0,0,'Données projet'!$E$9+1,1))-AVERAGE(OFFSET($H$3,0,0,'Données projet'!$E$9+1,1))</f>
        <v>345.67675698621832</v>
      </c>
      <c r="T57" s="62">
        <f t="shared" si="34"/>
        <v>178.72086185623849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3.6</v>
      </c>
      <c r="AI57" s="14">
        <f>IF('Données projet'!$A$62&gt;35,AI56+AH57-AQ56,IF(A57&lt;'Données projet'!$A$62,$AF$205^A57,IF(A57='Données projet'!$A$62,'Données projet'!$B$62,AI56+AH57-AQ56)))</f>
        <v>130.39999999999995</v>
      </c>
      <c r="AJ57" s="14">
        <f>AI57*VLOOKUP('Données projet'!$B$10,Paramètres!$A$1:$I$89,3,0)*VLOOKUP('Données projet'!$B$10,Paramètres!$A$1:$I$89,5,0)</f>
        <v>113.91743999999996</v>
      </c>
      <c r="AK57" s="14">
        <f t="shared" si="35"/>
        <v>30.252075834566813</v>
      </c>
      <c r="AL57" s="22">
        <f t="shared" si="4"/>
        <v>251.0952400785371</v>
      </c>
      <c r="AM57" s="62">
        <f t="shared" si="5"/>
        <v>508.7996127458764</v>
      </c>
      <c r="AN57" s="62">
        <f ca="1">AVERAGE(OFFSET($AM$3,0,0,'Données projet'!$E$10+1,1))-AVERAGE(OFFSET($H$3,0,0,'Données projet'!$E$10+1,1))</f>
        <v>219.21539650048186</v>
      </c>
      <c r="AO57" s="62">
        <f t="shared" si="36"/>
        <v>204.10961748628708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2.7928035879460338</v>
      </c>
      <c r="AW57" s="23">
        <f>EXP(-LN(2)/2)*AW56+(1-EXP(-LN(2)/2))/(LN(2)/2)*AQ57*AT57*VLOOKUP('Données projet'!$B$10,Paramètres!$A$1:$I$89,3,0)*0.475*44/12</f>
        <v>1.7761467520767649E-3</v>
      </c>
      <c r="AX57" s="23">
        <f t="shared" si="6"/>
        <v>2.7945797346981105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129.19295999999997</v>
      </c>
      <c r="BF57" s="14">
        <f t="shared" si="37"/>
        <v>33.809808550016378</v>
      </c>
      <c r="BG57" s="22">
        <f t="shared" si="7"/>
        <v>283.89648855794513</v>
      </c>
      <c r="BH57" s="62">
        <f t="shared" si="8"/>
        <v>541.60086122528446</v>
      </c>
      <c r="BI57" s="62">
        <f ca="1">AVERAGE(OFFSET($BH$3,0,0,'Données projet'!$E$11+1,1))-AVERAGE(OFFSET($H$3,0,0,'Données projet'!$E$11+1,1))</f>
        <v>341.48836779133632</v>
      </c>
      <c r="BJ57" s="62">
        <f t="shared" si="38"/>
        <v>176.87842498964287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1.8144179767453057</v>
      </c>
      <c r="BR57" s="23">
        <f>EXP(-LN(2)/2)*BR56+(1-EXP(-LN(2)/2))/(LN(2)/2)*BL57*BO57*VLOOKUP('Données projet'!$B$11,Paramètres!$A$1:$I$89,3,0)*0.475*44/12</f>
        <v>8.4564339932897969E-3</v>
      </c>
      <c r="BS57" s="24">
        <f t="shared" si="9"/>
        <v>1.8228744107385955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129.39999999999995</v>
      </c>
      <c r="BZ57" s="14">
        <f>BY57*VLOOKUP('Données projet'!$B$12,Paramètres!$A$1:$I$89,3,0)*VLOOKUP('Données projet'!$B$12,Paramètres!$A$1:$I$89,5,0)</f>
        <v>86.801519999999968</v>
      </c>
      <c r="CA57" s="14">
        <f t="shared" si="39"/>
        <v>23.792211612480088</v>
      </c>
      <c r="CB57" s="22">
        <f t="shared" si="10"/>
        <v>192.6174158917361</v>
      </c>
      <c r="CC57" s="62">
        <f t="shared" si="11"/>
        <v>450.32178855907546</v>
      </c>
      <c r="CD57" s="62">
        <f ca="1">AVERAGE(OFFSET($CC$3,0,0,'Données projet'!$E$12+1,1))-AVERAGE(OFFSET($H$3,0,0,'Données projet'!$E$12+1,1))</f>
        <v>253.16238957399855</v>
      </c>
      <c r="CE57" s="62">
        <f t="shared" si="40"/>
        <v>138.00705940844708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1.5025648869922068</v>
      </c>
      <c r="CM57" s="23">
        <f>EXP(-LN(2)/2)*CM56+(1-EXP(-LN(2)/2))/(LN(2)/2)*CG57*CJ57*VLOOKUP('Données projet'!$B$12,Paramètres!$A$1:$I$89,3,0)*0.475*44/12</f>
        <v>5.6816665892415819E-3</v>
      </c>
      <c r="CN57" s="24">
        <f t="shared" si="12"/>
        <v>1.5082465535814484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135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134.99999999999994</v>
      </c>
      <c r="O58" s="14">
        <f>N58*VLOOKUP('Données projet'!$B$9,Paramètres!$A$1:$I$89,3,0)*VLOOKUP('Données projet'!$B$9,Paramètres!$A$1:$I$89,5,0)</f>
        <v>136.88999999999996</v>
      </c>
      <c r="P58" s="14">
        <f t="shared" si="33"/>
        <v>35.583619346017713</v>
      </c>
      <c r="Q58" s="22">
        <f t="shared" si="53"/>
        <v>300.3915536943141</v>
      </c>
      <c r="R58" s="62">
        <f t="shared" si="0"/>
        <v>558.71400917478547</v>
      </c>
      <c r="S58" s="62">
        <f ca="1">AVERAGE(OFFSET($R$3,0,0,'Données projet'!$E$9+1,1))-AVERAGE(OFFSET($H$3,0,0,'Données projet'!$E$9+1,1))</f>
        <v>345.67675698621832</v>
      </c>
      <c r="T58" s="62">
        <f t="shared" si="34"/>
        <v>178.72086185623849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134</v>
      </c>
      <c r="AG58" s="13">
        <f>VLOOKUP(A58,'Données projet'!$A$61:$I$81,9,0)</f>
        <v>3.6</v>
      </c>
      <c r="AH58" s="13">
        <f t="array" ref="AH58">INDEX(AG:AG,MIN(IF(ISNUMBER(AG58:AG254),ROW(AG58:AG254),"")))</f>
        <v>3.6</v>
      </c>
      <c r="AI58" s="14">
        <f>IF('Données projet'!$A$62&gt;35,AI57+AH58-AQ57,IF(A58&lt;'Données projet'!$A$62,$AF$205^A58,IF(A58='Données projet'!$A$62,'Données projet'!$B$62,AI57+AH58-AQ57)))</f>
        <v>133.99999999999994</v>
      </c>
      <c r="AJ58" s="14">
        <f>AI58*VLOOKUP('Données projet'!$B$10,Paramètres!$A$1:$I$89,3,0)*VLOOKUP('Données projet'!$B$10,Paramètres!$A$1:$I$89,5,0)</f>
        <v>117.06239999999997</v>
      </c>
      <c r="AK58" s="14">
        <f t="shared" si="35"/>
        <v>30.988867171899123</v>
      </c>
      <c r="AL58" s="22">
        <f t="shared" si="4"/>
        <v>257.85595699105755</v>
      </c>
      <c r="AM58" s="62">
        <f t="shared" si="5"/>
        <v>516.17841247152887</v>
      </c>
      <c r="AN58" s="62">
        <f ca="1">AVERAGE(OFFSET($AM$3,0,0,'Données projet'!$E$10+1,1))-AVERAGE(OFFSET($H$3,0,0,'Données projet'!$E$10+1,1))</f>
        <v>219.21539650048186</v>
      </c>
      <c r="AO58" s="62">
        <f t="shared" si="36"/>
        <v>204.10961748628708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9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2.7164342269664918</v>
      </c>
      <c r="AW58" s="23">
        <f>EXP(-LN(2)/2)*AW57+(1-EXP(-LN(2)/2))/(LN(2)/2)*AQ58*AT58*VLOOKUP('Données projet'!$B$10,Paramètres!$A$1:$I$89,3,0)*0.475*44/12</f>
        <v>1.2559254127759421E-3</v>
      </c>
      <c r="AX58" s="23">
        <f t="shared" si="6"/>
        <v>2.7176901523792676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134.78399999999993</v>
      </c>
      <c r="BF58" s="14">
        <f t="shared" si="37"/>
        <v>35.099465485142126</v>
      </c>
      <c r="BG58" s="22">
        <f t="shared" si="7"/>
        <v>295.88036905328909</v>
      </c>
      <c r="BH58" s="62">
        <f t="shared" si="8"/>
        <v>554.20282453376046</v>
      </c>
      <c r="BI58" s="62">
        <f ca="1">AVERAGE(OFFSET($BH$3,0,0,'Données projet'!$E$11+1,1))-AVERAGE(OFFSET($H$3,0,0,'Données projet'!$E$11+1,1))</f>
        <v>341.48836779133632</v>
      </c>
      <c r="BJ58" s="62">
        <f t="shared" si="38"/>
        <v>176.87842498964287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1.7648026217551107</v>
      </c>
      <c r="BR58" s="23">
        <f>EXP(-LN(2)/2)*BR57+(1-EXP(-LN(2)/2))/(LN(2)/2)*BL58*BO58*VLOOKUP('Données projet'!$B$11,Paramètres!$A$1:$I$89,3,0)*0.475*44/12</f>
        <v>5.9796018213116508E-3</v>
      </c>
      <c r="BS58" s="24">
        <f t="shared" si="9"/>
        <v>1.7707822235764223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135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134.99999999999994</v>
      </c>
      <c r="BZ58" s="14">
        <f>BY58*VLOOKUP('Données projet'!$B$12,Paramètres!$A$1:$I$89,3,0)*VLOOKUP('Données projet'!$B$12,Paramètres!$A$1:$I$89,5,0)</f>
        <v>90.557999999999964</v>
      </c>
      <c r="CA58" s="14">
        <f t="shared" si="39"/>
        <v>24.699752708509138</v>
      </c>
      <c r="CB58" s="22">
        <f t="shared" si="10"/>
        <v>200.74058596732002</v>
      </c>
      <c r="CC58" s="62">
        <f t="shared" si="11"/>
        <v>459.06304144779142</v>
      </c>
      <c r="CD58" s="62">
        <f ca="1">AVERAGE(OFFSET($CC$3,0,0,'Données projet'!$E$12+1,1))-AVERAGE(OFFSET($H$3,0,0,'Données projet'!$E$12+1,1))</f>
        <v>253.16238957399855</v>
      </c>
      <c r="CE58" s="62">
        <f t="shared" si="40"/>
        <v>138.00705940844708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14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1.4614771711409518</v>
      </c>
      <c r="CM58" s="23">
        <f>EXP(-LN(2)/2)*CM57+(1-EXP(-LN(2)/2))/(LN(2)/2)*CG58*CJ58*VLOOKUP('Données projet'!$B$12,Paramètres!$A$1:$I$89,3,0)*0.475*44/12</f>
        <v>4.017544973693765E-3</v>
      </c>
      <c r="CN58" s="24">
        <f t="shared" si="12"/>
        <v>1.4654947161146454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5.6</v>
      </c>
      <c r="N59" s="14">
        <f>IF('Données projet'!$A$36&gt;35,N58+M59-V58,IF(A59&lt;'Données projet'!$A$36,$K$205^A59,IF(A59='Données projet'!$A$36,'Données projet'!$B$36,N58+M59-V58)))</f>
        <v>126.59999999999994</v>
      </c>
      <c r="O59" s="14">
        <f>N59*VLOOKUP('Données projet'!$B$9,Paramètres!$A$1:$I$89,3,0)*VLOOKUP('Données projet'!$B$9,Paramètres!$A$1:$I$89,5,0)</f>
        <v>128.37239999999994</v>
      </c>
      <c r="P59" s="14">
        <f t="shared" si="33"/>
        <v>33.61999343087701</v>
      </c>
      <c r="Q59" s="22">
        <f t="shared" si="53"/>
        <v>282.13675189211068</v>
      </c>
      <c r="R59" s="62">
        <f t="shared" si="0"/>
        <v>541.06656783073242</v>
      </c>
      <c r="S59" s="62">
        <f ca="1">AVERAGE(OFFSET($R$3,0,0,'Données projet'!$E$9+1,1))-AVERAGE(OFFSET($H$3,0,0,'Données projet'!$E$9+1,1))</f>
        <v>345.67675698621832</v>
      </c>
      <c r="T59" s="62">
        <f t="shared" si="34"/>
        <v>178.72086185623849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3</v>
      </c>
      <c r="AI59" s="14">
        <f>IF('Données projet'!$A$62&gt;35,AI58+AH59-AQ58,IF(A59&lt;'Données projet'!$A$62,$AF$205^A59,IF(A59='Données projet'!$A$62,'Données projet'!$B$62,AI58+AH59-AQ58)))</f>
        <v>127.99999999999994</v>
      </c>
      <c r="AJ59" s="14">
        <f>AI59*VLOOKUP('Données projet'!$B$10,Paramètres!$A$1:$I$89,3,0)*VLOOKUP('Données projet'!$B$10,Paramètres!$A$1:$I$89,5,0)</f>
        <v>111.82079999999998</v>
      </c>
      <c r="AK59" s="14">
        <f t="shared" si="35"/>
        <v>29.759568497877257</v>
      </c>
      <c r="AL59" s="22">
        <f t="shared" si="4"/>
        <v>246.58580846713619</v>
      </c>
      <c r="AM59" s="62">
        <f t="shared" si="5"/>
        <v>505.51562440575793</v>
      </c>
      <c r="AN59" s="62">
        <f ca="1">AVERAGE(OFFSET($AM$3,0,0,'Données projet'!$E$10+1,1))-AVERAGE(OFFSET($H$3,0,0,'Données projet'!$E$10+1,1))</f>
        <v>219.21539650048186</v>
      </c>
      <c r="AO59" s="62">
        <f t="shared" si="36"/>
        <v>204.10961748628708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2.6421531901790258</v>
      </c>
      <c r="AW59" s="23">
        <f>EXP(-LN(2)/2)*AW58+(1-EXP(-LN(2)/2))/(LN(2)/2)*AQ59*AT59*VLOOKUP('Données projet'!$B$10,Paramètres!$A$1:$I$89,3,0)*0.475*44/12</f>
        <v>8.8807337603838247E-4</v>
      </c>
      <c r="AX59" s="23">
        <f t="shared" si="6"/>
        <v>2.6430412635550642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5.6</v>
      </c>
      <c r="BD59" s="13">
        <f>IF('Données projet'!$A$88&gt;35,BD58+BC59-BL58,IF(A59&lt;'Données projet'!$A$88,$BA$205^A59,IF(A59='Données projet'!$A$88,'Données projet'!$B$88,BD58+BC59-BL58)))</f>
        <v>126.59999999999994</v>
      </c>
      <c r="BE59" s="14">
        <f>BD59*VLOOKUP('Données projet'!$B$11,Paramètres!$A$1:$I$89,3,0)*VLOOKUP('Données projet'!$B$11,Paramètres!$A$1:$I$89,5,0)</f>
        <v>126.39743999999995</v>
      </c>
      <c r="BF59" s="14">
        <f t="shared" si="37"/>
        <v>33.162556837260972</v>
      </c>
      <c r="BG59" s="22">
        <f t="shared" si="7"/>
        <v>277.90032782489612</v>
      </c>
      <c r="BH59" s="62">
        <f t="shared" si="8"/>
        <v>536.83014376351787</v>
      </c>
      <c r="BI59" s="62">
        <f ca="1">AVERAGE(OFFSET($BH$3,0,0,'Données projet'!$E$11+1,1))-AVERAGE(OFFSET($H$3,0,0,'Données projet'!$E$11+1,1))</f>
        <v>341.48836779133632</v>
      </c>
      <c r="BJ59" s="62">
        <f t="shared" si="38"/>
        <v>176.87842498964287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1.7165440012562809</v>
      </c>
      <c r="BR59" s="23">
        <f>EXP(-LN(2)/2)*BR58+(1-EXP(-LN(2)/2))/(LN(2)/2)*BL59*BO59*VLOOKUP('Données projet'!$B$11,Paramètres!$A$1:$I$89,3,0)*0.475*44/12</f>
        <v>4.2282169966448985E-3</v>
      </c>
      <c r="BS59" s="24">
        <f t="shared" si="9"/>
        <v>1.7207722182529259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5.6</v>
      </c>
      <c r="BY59" s="13">
        <f>IF('Données projet'!$A$114&gt;35,BY58+BX59-CG58,IF(A59&lt;'Données projet'!$A$114,$BV$205^A59,IF(A59='Données projet'!$A$114,'Données projet'!$B$114,BY58+BX59-CG58)))</f>
        <v>126.59999999999994</v>
      </c>
      <c r="BZ59" s="14">
        <f>BY59*VLOOKUP('Données projet'!$B$12,Paramètres!$A$1:$I$89,3,0)*VLOOKUP('Données projet'!$B$12,Paramètres!$A$1:$I$89,5,0)</f>
        <v>84.923279999999963</v>
      </c>
      <c r="CA59" s="14">
        <f t="shared" si="39"/>
        <v>23.336735808953005</v>
      </c>
      <c r="CB59" s="22">
        <f t="shared" si="10"/>
        <v>188.55286086725974</v>
      </c>
      <c r="CC59" s="62">
        <f t="shared" si="11"/>
        <v>447.48267680588151</v>
      </c>
      <c r="CD59" s="62">
        <f ca="1">AVERAGE(OFFSET($CC$3,0,0,'Données projet'!$E$12+1,1))-AVERAGE(OFFSET($H$3,0,0,'Données projet'!$E$12+1,1))</f>
        <v>253.16238957399855</v>
      </c>
      <c r="CE59" s="62">
        <f t="shared" si="40"/>
        <v>138.00705940844708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1.4215130010403583</v>
      </c>
      <c r="CM59" s="23">
        <f>EXP(-LN(2)/2)*CM58+(1-EXP(-LN(2)/2))/(LN(2)/2)*CG59*CJ59*VLOOKUP('Données projet'!$B$12,Paramètres!$A$1:$I$89,3,0)*0.475*44/12</f>
        <v>2.8408332946207909E-3</v>
      </c>
      <c r="CN59" s="24">
        <f t="shared" si="12"/>
        <v>1.4243538343349791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5.6</v>
      </c>
      <c r="N60" s="14">
        <f>IF('Données projet'!$A$36&gt;35,N59+M60-V59,IF(A60&lt;'Données projet'!$A$36,$K$205^A60,IF(A60='Données projet'!$A$36,'Données projet'!$B$36,N59+M60-V59)))</f>
        <v>132.19999999999993</v>
      </c>
      <c r="O60" s="14">
        <f>N60*VLOOKUP('Données projet'!$B$9,Paramètres!$A$1:$I$89,3,0)*VLOOKUP('Données projet'!$B$9,Paramètres!$A$1:$I$89,5,0)</f>
        <v>134.05079999999995</v>
      </c>
      <c r="P60" s="14">
        <f t="shared" si="33"/>
        <v>34.930702157857986</v>
      </c>
      <c r="Q60" s="22">
        <f t="shared" si="53"/>
        <v>294.30944959160257</v>
      </c>
      <c r="R60" s="62">
        <f t="shared" si="0"/>
        <v>553.83608964228029</v>
      </c>
      <c r="S60" s="62">
        <f ca="1">AVERAGE(OFFSET($R$3,0,0,'Données projet'!$E$9+1,1))-AVERAGE(OFFSET($H$3,0,0,'Données projet'!$E$9+1,1))</f>
        <v>345.67675698621832</v>
      </c>
      <c r="T60" s="62">
        <f t="shared" si="34"/>
        <v>178.72086185623849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3</v>
      </c>
      <c r="AI60" s="14">
        <f>IF('Données projet'!$A$62&gt;35,AI59+AH60-AQ59,IF(A60&lt;'Données projet'!$A$62,$AF$205^A60,IF(A60='Données projet'!$A$62,'Données projet'!$B$62,AI59+AH60-AQ59)))</f>
        <v>130.99999999999994</v>
      </c>
      <c r="AJ60" s="14">
        <f>AI60*VLOOKUP('Données projet'!$B$10,Paramètres!$A$1:$I$89,3,0)*VLOOKUP('Données projet'!$B$10,Paramètres!$A$1:$I$89,5,0)</f>
        <v>114.44159999999997</v>
      </c>
      <c r="AK60" s="14">
        <f t="shared" si="35"/>
        <v>30.375037129843719</v>
      </c>
      <c r="AL60" s="22">
        <f t="shared" si="4"/>
        <v>252.22230966781112</v>
      </c>
      <c r="AM60" s="62">
        <f t="shared" si="5"/>
        <v>511.7489497184888</v>
      </c>
      <c r="AN60" s="62">
        <f ca="1">AVERAGE(OFFSET($AM$3,0,0,'Données projet'!$E$10+1,1))-AVERAGE(OFFSET($H$3,0,0,'Données projet'!$E$10+1,1))</f>
        <v>219.21539650048186</v>
      </c>
      <c r="AO60" s="62">
        <f t="shared" si="36"/>
        <v>204.10961748628708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2.569903372248783</v>
      </c>
      <c r="AW60" s="23">
        <f>EXP(-LN(2)/2)*AW59+(1-EXP(-LN(2)/2))/(LN(2)/2)*AQ60*AT60*VLOOKUP('Données projet'!$B$10,Paramètres!$A$1:$I$89,3,0)*0.475*44/12</f>
        <v>6.2796270638797104E-4</v>
      </c>
      <c r="AX60" s="23">
        <f t="shared" si="6"/>
        <v>2.5705313349551711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5.6</v>
      </c>
      <c r="BD60" s="13">
        <f>IF('Données projet'!$A$88&gt;35,BD59+BC60-BL59,IF(A60&lt;'Données projet'!$A$88,$BA$205^A60,IF(A60='Données projet'!$A$88,'Données projet'!$B$88,BD59+BC60-BL59)))</f>
        <v>132.19999999999993</v>
      </c>
      <c r="BE60" s="14">
        <f>BD60*VLOOKUP('Données projet'!$B$11,Paramètres!$A$1:$I$89,3,0)*VLOOKUP('Données projet'!$B$11,Paramètres!$A$1:$I$89,5,0)</f>
        <v>131.98847999999995</v>
      </c>
      <c r="BF60" s="14">
        <f t="shared" si="37"/>
        <v>34.455431945787332</v>
      </c>
      <c r="BG60" s="22">
        <f t="shared" si="7"/>
        <v>289.88981330557948</v>
      </c>
      <c r="BH60" s="62">
        <f t="shared" si="8"/>
        <v>549.41645335625719</v>
      </c>
      <c r="BI60" s="62">
        <f ca="1">AVERAGE(OFFSET($BH$3,0,0,'Données projet'!$E$11+1,1))-AVERAGE(OFFSET($H$3,0,0,'Données projet'!$E$11+1,1))</f>
        <v>341.48836779133632</v>
      </c>
      <c r="BJ60" s="62">
        <f t="shared" si="38"/>
        <v>176.87842498964287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1.6696050152728021</v>
      </c>
      <c r="BR60" s="23">
        <f>EXP(-LN(2)/2)*BR59+(1-EXP(-LN(2)/2))/(LN(2)/2)*BL60*BO60*VLOOKUP('Données projet'!$B$11,Paramètres!$A$1:$I$89,3,0)*0.475*44/12</f>
        <v>2.9898009106558254E-3</v>
      </c>
      <c r="BS60" s="24">
        <f t="shared" si="9"/>
        <v>1.6725948161834581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5.6</v>
      </c>
      <c r="BY60" s="13">
        <f>IF('Données projet'!$A$114&gt;35,BY59+BX60-CG59,IF(A60&lt;'Données projet'!$A$114,$BV$205^A60,IF(A60='Données projet'!$A$114,'Données projet'!$B$114,BY59+BX60-CG59)))</f>
        <v>132.19999999999993</v>
      </c>
      <c r="BZ60" s="14">
        <f>BY60*VLOOKUP('Données projet'!$B$12,Paramètres!$A$1:$I$89,3,0)*VLOOKUP('Données projet'!$B$12,Paramètres!$A$1:$I$89,5,0)</f>
        <v>88.679759999999959</v>
      </c>
      <c r="CA60" s="14">
        <f t="shared" si="39"/>
        <v>24.246541557336982</v>
      </c>
      <c r="CB60" s="22">
        <f t="shared" si="10"/>
        <v>196.67997521236182</v>
      </c>
      <c r="CC60" s="62">
        <f t="shared" si="11"/>
        <v>456.20661526303957</v>
      </c>
      <c r="CD60" s="62">
        <f ca="1">AVERAGE(OFFSET($CC$3,0,0,'Données projet'!$E$12+1,1))-AVERAGE(OFFSET($H$3,0,0,'Données projet'!$E$12+1,1))</f>
        <v>253.16238957399855</v>
      </c>
      <c r="CE60" s="62">
        <f t="shared" si="40"/>
        <v>138.00705940844708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1.3826416532727899</v>
      </c>
      <c r="CM60" s="23">
        <f>EXP(-LN(2)/2)*CM59+(1-EXP(-LN(2)/2))/(LN(2)/2)*CG60*CJ60*VLOOKUP('Données projet'!$B$12,Paramètres!$A$1:$I$89,3,0)*0.475*44/12</f>
        <v>2.0087724868468825E-3</v>
      </c>
      <c r="CN60" s="24">
        <f t="shared" si="12"/>
        <v>1.3846504257596368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5.6</v>
      </c>
      <c r="N61" s="14">
        <f>IF('Données projet'!$A$36&gt;35,N60+M61-V60,IF(A61&lt;'Données projet'!$A$36,$K$205^A61,IF(A61='Données projet'!$A$36,'Données projet'!$B$36,N60+M61-V60)))</f>
        <v>137.79999999999993</v>
      </c>
      <c r="O61" s="14">
        <f>N61*VLOOKUP('Données projet'!$B$9,Paramètres!$A$1:$I$89,3,0)*VLOOKUP('Données projet'!$B$9,Paramètres!$A$1:$I$89,5,0)</f>
        <v>139.72919999999993</v>
      </c>
      <c r="P61" s="14">
        <f t="shared" si="33"/>
        <v>36.234962028891381</v>
      </c>
      <c r="Q61" s="22">
        <f t="shared" si="53"/>
        <v>306.47091553365232</v>
      </c>
      <c r="R61" s="62">
        <f t="shared" si="0"/>
        <v>566.5840261323408</v>
      </c>
      <c r="S61" s="62">
        <f ca="1">AVERAGE(OFFSET($R$3,0,0,'Données projet'!$E$9+1,1))-AVERAGE(OFFSET($H$3,0,0,'Données projet'!$E$9+1,1))</f>
        <v>345.67675698621832</v>
      </c>
      <c r="T61" s="62">
        <f t="shared" si="34"/>
        <v>178.72086185623849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3</v>
      </c>
      <c r="AI61" s="14">
        <f>IF('Données projet'!$A$62&gt;35,AI60+AH61-AQ60,IF(A61&lt;'Données projet'!$A$62,$AF$205^A61,IF(A61='Données projet'!$A$62,'Données projet'!$B$62,AI60+AH61-AQ60)))</f>
        <v>133.99999999999994</v>
      </c>
      <c r="AJ61" s="14">
        <f>AI61*VLOOKUP('Données projet'!$B$10,Paramètres!$A$1:$I$89,3,0)*VLOOKUP('Données projet'!$B$10,Paramètres!$A$1:$I$89,5,0)</f>
        <v>117.06239999999997</v>
      </c>
      <c r="AK61" s="14">
        <f t="shared" si="35"/>
        <v>30.988867171899123</v>
      </c>
      <c r="AL61" s="22">
        <f t="shared" si="4"/>
        <v>257.85595699105755</v>
      </c>
      <c r="AM61" s="62">
        <f t="shared" si="5"/>
        <v>517.96906758974592</v>
      </c>
      <c r="AN61" s="62">
        <f ca="1">AVERAGE(OFFSET($AM$3,0,0,'Données projet'!$E$10+1,1))-AVERAGE(OFFSET($H$3,0,0,'Données projet'!$E$10+1,1))</f>
        <v>219.21539650048186</v>
      </c>
      <c r="AO61" s="62">
        <f t="shared" si="36"/>
        <v>204.10961748628708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2.4996292293892952</v>
      </c>
      <c r="AW61" s="23">
        <f>EXP(-LN(2)/2)*AW60+(1-EXP(-LN(2)/2))/(LN(2)/2)*AQ61*AT61*VLOOKUP('Données projet'!$B$10,Paramètres!$A$1:$I$89,3,0)*0.475*44/12</f>
        <v>4.4403668801919124E-4</v>
      </c>
      <c r="AX61" s="23">
        <f t="shared" si="6"/>
        <v>2.5000732660773144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5.6</v>
      </c>
      <c r="BD61" s="13">
        <f>IF('Données projet'!$A$88&gt;35,BD60+BC61-BL60,IF(A61&lt;'Données projet'!$A$88,$BA$205^A61,IF(A61='Données projet'!$A$88,'Données projet'!$B$88,BD60+BC61-BL60)))</f>
        <v>137.79999999999993</v>
      </c>
      <c r="BE61" s="14">
        <f>BD61*VLOOKUP('Données projet'!$B$11,Paramètres!$A$1:$I$89,3,0)*VLOOKUP('Données projet'!$B$11,Paramètres!$A$1:$I$89,5,0)</f>
        <v>137.57951999999992</v>
      </c>
      <c r="BF61" s="14">
        <f t="shared" si="37"/>
        <v>35.741945942068483</v>
      </c>
      <c r="BG61" s="22">
        <f t="shared" si="7"/>
        <v>301.86821984910245</v>
      </c>
      <c r="BH61" s="62">
        <f t="shared" si="8"/>
        <v>561.98133044779092</v>
      </c>
      <c r="BI61" s="62">
        <f ca="1">AVERAGE(OFFSET($BH$3,0,0,'Données projet'!$E$11+1,1))-AVERAGE(OFFSET($H$3,0,0,'Données projet'!$E$11+1,1))</f>
        <v>341.48836779133632</v>
      </c>
      <c r="BJ61" s="62">
        <f t="shared" si="38"/>
        <v>176.87842498964287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1.6239495783294555</v>
      </c>
      <c r="BR61" s="23">
        <f>EXP(-LN(2)/2)*BR60+(1-EXP(-LN(2)/2))/(LN(2)/2)*BL61*BO61*VLOOKUP('Données projet'!$B$11,Paramètres!$A$1:$I$89,3,0)*0.475*44/12</f>
        <v>2.1141084983224492E-3</v>
      </c>
      <c r="BS61" s="24">
        <f t="shared" si="9"/>
        <v>1.626063686827778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5.6</v>
      </c>
      <c r="BY61" s="13">
        <f>IF('Données projet'!$A$114&gt;35,BY60+BX61-CG60,IF(A61&lt;'Données projet'!$A$114,$BV$205^A61,IF(A61='Données projet'!$A$114,'Données projet'!$B$114,BY60+BX61-CG60)))</f>
        <v>137.79999999999993</v>
      </c>
      <c r="BZ61" s="14">
        <f>BY61*VLOOKUP('Données projet'!$B$12,Paramètres!$A$1:$I$89,3,0)*VLOOKUP('Données projet'!$B$12,Paramètres!$A$1:$I$89,5,0)</f>
        <v>92.436239999999955</v>
      </c>
      <c r="CA61" s="14">
        <f t="shared" si="39"/>
        <v>25.15187094412299</v>
      </c>
      <c r="CB61" s="22">
        <f t="shared" si="10"/>
        <v>204.79929322768081</v>
      </c>
      <c r="CC61" s="62">
        <f t="shared" si="11"/>
        <v>464.9124038263692</v>
      </c>
      <c r="CD61" s="62">
        <f ca="1">AVERAGE(OFFSET($CC$3,0,0,'Données projet'!$E$12+1,1))-AVERAGE(OFFSET($H$3,0,0,'Données projet'!$E$12+1,1))</f>
        <v>253.16238957399855</v>
      </c>
      <c r="CE61" s="62">
        <f t="shared" si="40"/>
        <v>138.00705940844708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1.3448332445540809</v>
      </c>
      <c r="CM61" s="23">
        <f>EXP(-LN(2)/2)*CM60+(1-EXP(-LN(2)/2))/(LN(2)/2)*CG61*CJ61*VLOOKUP('Données projet'!$B$12,Paramètres!$A$1:$I$89,3,0)*0.475*44/12</f>
        <v>1.4204166473103955E-3</v>
      </c>
      <c r="CN61" s="24">
        <f t="shared" si="12"/>
        <v>1.3462536612013913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5.6</v>
      </c>
      <c r="N62" s="14">
        <f>IF('Données projet'!$A$36&gt;35,N61+M62-V61,IF(A62&lt;'Données projet'!$A$36,$K$205^A62,IF(A62='Données projet'!$A$36,'Données projet'!$B$36,N61+M62-V61)))</f>
        <v>143.39999999999992</v>
      </c>
      <c r="O62" s="14">
        <f>N62*VLOOKUP('Données projet'!$B$9,Paramètres!$A$1:$I$89,3,0)*VLOOKUP('Données projet'!$B$9,Paramètres!$A$1:$I$89,5,0)</f>
        <v>145.40759999999992</v>
      </c>
      <c r="P62" s="14">
        <f t="shared" si="33"/>
        <v>37.533065094701904</v>
      </c>
      <c r="Q62" s="22">
        <f t="shared" si="53"/>
        <v>318.62165837327228</v>
      </c>
      <c r="R62" s="62">
        <f t="shared" si="0"/>
        <v>579.31106556711507</v>
      </c>
      <c r="S62" s="62">
        <f ca="1">AVERAGE(OFFSET($R$3,0,0,'Données projet'!$E$9+1,1))-AVERAGE(OFFSET($H$3,0,0,'Données projet'!$E$9+1,1))</f>
        <v>345.67675698621832</v>
      </c>
      <c r="T62" s="62">
        <f t="shared" si="34"/>
        <v>178.72086185623849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3</v>
      </c>
      <c r="AI62" s="14">
        <f>IF('Données projet'!$A$62&gt;35,AI61+AH62-AQ61,IF(A62&lt;'Données projet'!$A$62,$AF$205^A62,IF(A62='Données projet'!$A$62,'Données projet'!$B$62,AI61+AH62-AQ61)))</f>
        <v>136.99999999999994</v>
      </c>
      <c r="AJ62" s="14">
        <f>AI62*VLOOKUP('Données projet'!$B$10,Paramètres!$A$1:$I$89,3,0)*VLOOKUP('Données projet'!$B$10,Paramètres!$A$1:$I$89,5,0)</f>
        <v>119.68319999999996</v>
      </c>
      <c r="AK62" s="14">
        <f t="shared" si="35"/>
        <v>31.601099532596166</v>
      </c>
      <c r="AL62" s="22">
        <f t="shared" si="4"/>
        <v>263.4868216859382</v>
      </c>
      <c r="AM62" s="62">
        <f t="shared" si="5"/>
        <v>524.17622887978098</v>
      </c>
      <c r="AN62" s="62">
        <f ca="1">AVERAGE(OFFSET($AM$3,0,0,'Données projet'!$E$10+1,1))-AVERAGE(OFFSET($H$3,0,0,'Données projet'!$E$10+1,1))</f>
        <v>219.21539650048186</v>
      </c>
      <c r="AO62" s="62">
        <f t="shared" si="36"/>
        <v>204.10961748628708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2.4312767366618568</v>
      </c>
      <c r="AW62" s="23">
        <f>EXP(-LN(2)/2)*AW61+(1-EXP(-LN(2)/2))/(LN(2)/2)*AQ62*AT62*VLOOKUP('Données projet'!$B$10,Paramètres!$A$1:$I$89,3,0)*0.475*44/12</f>
        <v>3.1398135319398552E-4</v>
      </c>
      <c r="AX62" s="23">
        <f t="shared" si="6"/>
        <v>2.4315907180150509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5.6</v>
      </c>
      <c r="BD62" s="13">
        <f>IF('Données projet'!$A$88&gt;35,BD61+BC62-BL61,IF(A62&lt;'Données projet'!$A$88,$BA$205^A62,IF(A62='Données projet'!$A$88,'Données projet'!$B$88,BD61+BC62-BL61)))</f>
        <v>143.39999999999992</v>
      </c>
      <c r="BE62" s="14">
        <f>BD62*VLOOKUP('Données projet'!$B$11,Paramètres!$A$1:$I$89,3,0)*VLOOKUP('Données projet'!$B$11,Paramètres!$A$1:$I$89,5,0)</f>
        <v>143.17055999999994</v>
      </c>
      <c r="BF62" s="14">
        <f t="shared" si="37"/>
        <v>37.022386903161262</v>
      </c>
      <c r="BG62" s="22">
        <f t="shared" si="7"/>
        <v>313.83604918967245</v>
      </c>
      <c r="BH62" s="62">
        <f t="shared" si="8"/>
        <v>574.52545638351523</v>
      </c>
      <c r="BI62" s="62">
        <f ca="1">AVERAGE(OFFSET($BH$3,0,0,'Données projet'!$E$11+1,1))-AVERAGE(OFFSET($H$3,0,0,'Données projet'!$E$11+1,1))</f>
        <v>341.48836779133632</v>
      </c>
      <c r="BJ62" s="62">
        <f t="shared" si="38"/>
        <v>176.87842498964287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1.5795425917102399</v>
      </c>
      <c r="BR62" s="23">
        <f>EXP(-LN(2)/2)*BR61+(1-EXP(-LN(2)/2))/(LN(2)/2)*BL62*BO62*VLOOKUP('Données projet'!$B$11,Paramètres!$A$1:$I$89,3,0)*0.475*44/12</f>
        <v>1.4949004553279127E-3</v>
      </c>
      <c r="BS62" s="24">
        <f t="shared" si="9"/>
        <v>1.5810374921655679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5.6</v>
      </c>
      <c r="BY62" s="13">
        <f>IF('Données projet'!$A$114&gt;35,BY61+BX62-CG61,IF(A62&lt;'Données projet'!$A$114,$BV$205^A62,IF(A62='Données projet'!$A$114,'Données projet'!$B$114,BY61+BX62-CG61)))</f>
        <v>143.39999999999992</v>
      </c>
      <c r="BZ62" s="14">
        <f>BY62*VLOOKUP('Données projet'!$B$12,Paramètres!$A$1:$I$89,3,0)*VLOOKUP('Données projet'!$B$12,Paramètres!$A$1:$I$89,5,0)</f>
        <v>96.192719999999952</v>
      </c>
      <c r="CA62" s="14">
        <f t="shared" si="39"/>
        <v>26.05292669126036</v>
      </c>
      <c r="CB62" s="22">
        <f t="shared" si="10"/>
        <v>212.91116798727833</v>
      </c>
      <c r="CC62" s="62">
        <f t="shared" si="11"/>
        <v>473.60057518112114</v>
      </c>
      <c r="CD62" s="62">
        <f ca="1">AVERAGE(OFFSET($CC$3,0,0,'Données projet'!$E$12+1,1))-AVERAGE(OFFSET($H$3,0,0,'Données projet'!$E$12+1,1))</f>
        <v>253.16238957399855</v>
      </c>
      <c r="CE62" s="62">
        <f t="shared" si="40"/>
        <v>138.00705940844708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1.3080587087600428</v>
      </c>
      <c r="CM62" s="23">
        <f>EXP(-LN(2)/2)*CM61+(1-EXP(-LN(2)/2))/(LN(2)/2)*CG62*CJ62*VLOOKUP('Données projet'!$B$12,Paramètres!$A$1:$I$89,3,0)*0.475*44/12</f>
        <v>1.0043862434234413E-3</v>
      </c>
      <c r="CN62" s="24">
        <f t="shared" si="12"/>
        <v>1.3090630950034663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149</v>
      </c>
      <c r="L63" s="13">
        <f>VLOOKUP(A63,'Données projet'!$A$35:$I$55,9,0)</f>
        <v>5.6</v>
      </c>
      <c r="M63" s="13">
        <f t="array" ref="M63">INDEX(L:L,MIN(IF(ISNUMBER(L63:L259),ROW(L63:L259),"")))</f>
        <v>5.6</v>
      </c>
      <c r="N63" s="14">
        <f>IF('Données projet'!$A$36&gt;35,N62+M63-V62,IF(A63&lt;'Données projet'!$A$36,$K$205^A63,IF(A63='Données projet'!$A$36,'Données projet'!$B$36,N62+M63-V62)))</f>
        <v>148.99999999999991</v>
      </c>
      <c r="O63" s="14">
        <f>N63*VLOOKUP('Données projet'!$B$9,Paramètres!$A$1:$I$89,3,0)*VLOOKUP('Données projet'!$B$9,Paramètres!$A$1:$I$89,5,0)</f>
        <v>151.08599999999993</v>
      </c>
      <c r="P63" s="14">
        <f t="shared" si="33"/>
        <v>38.825279304404233</v>
      </c>
      <c r="Q63" s="22">
        <f t="shared" si="53"/>
        <v>330.76214478850392</v>
      </c>
      <c r="R63" s="62">
        <f t="shared" si="0"/>
        <v>592.0178511199814</v>
      </c>
      <c r="S63" s="62">
        <f ca="1">AVERAGE(OFFSET($R$3,0,0,'Données projet'!$E$9+1,1))-AVERAGE(OFFSET($H$3,0,0,'Données projet'!$E$9+1,1))</f>
        <v>345.67675698621832</v>
      </c>
      <c r="T63" s="62">
        <f t="shared" si="34"/>
        <v>178.72086185623849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140</v>
      </c>
      <c r="AG63" s="13">
        <f>VLOOKUP(A63,'Données projet'!$A$61:$I$81,9,0)</f>
        <v>3</v>
      </c>
      <c r="AH63" s="13">
        <f t="array" ref="AH63">INDEX(AG:AG,MIN(IF(ISNUMBER(AG63:AG259),ROW(AG63:AG259),"")))</f>
        <v>3</v>
      </c>
      <c r="AI63" s="14">
        <f>IF('Données projet'!$A$62&gt;35,AI62+AH63-AQ62,IF(A63&lt;'Données projet'!$A$62,$AF$205^A63,IF(A63='Données projet'!$A$62,'Données projet'!$B$62,AI62+AH63-AQ62)))</f>
        <v>139.99999999999994</v>
      </c>
      <c r="AJ63" s="14">
        <f>AI63*VLOOKUP('Données projet'!$B$10,Paramètres!$A$1:$I$89,3,0)*VLOOKUP('Données projet'!$B$10,Paramètres!$A$1:$I$89,5,0)</f>
        <v>122.30399999999997</v>
      </c>
      <c r="AK63" s="14">
        <f t="shared" si="35"/>
        <v>32.211773226559373</v>
      </c>
      <c r="AL63" s="22">
        <f t="shared" si="4"/>
        <v>269.11497170292421</v>
      </c>
      <c r="AM63" s="62">
        <f t="shared" si="5"/>
        <v>530.37067803440164</v>
      </c>
      <c r="AN63" s="62">
        <f ca="1">AVERAGE(OFFSET($AM$3,0,0,'Données projet'!$E$10+1,1))-AVERAGE(OFFSET($H$3,0,0,'Données projet'!$E$10+1,1))</f>
        <v>219.21539650048186</v>
      </c>
      <c r="AO63" s="62">
        <f t="shared" si="36"/>
        <v>204.10961748628708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2.3647933464425517</v>
      </c>
      <c r="AW63" s="23">
        <f>EXP(-LN(2)/2)*AW62+(1-EXP(-LN(2)/2))/(LN(2)/2)*AQ63*AT63*VLOOKUP('Données projet'!$B$10,Paramètres!$A$1:$I$89,3,0)*0.475*44/12</f>
        <v>2.2201834400959562E-4</v>
      </c>
      <c r="AX63" s="23">
        <f t="shared" si="6"/>
        <v>2.3650153647865615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149</v>
      </c>
      <c r="BB63" s="13">
        <f>VLOOKUP(A63,'Données projet'!$A$87:$I$107,9,0)</f>
        <v>5.6</v>
      </c>
      <c r="BC63" s="13">
        <f t="array" ref="BC63">INDEX(BB:BB,MIN(IF(ISNUMBER(BB63:BB259),ROW(BB63:BB259),"")))</f>
        <v>5.6</v>
      </c>
      <c r="BD63" s="13">
        <f>IF('Données projet'!$A$88&gt;35,BD62+BC63-BL62,IF(A63&lt;'Données projet'!$A$88,$BA$205^A63,IF(A63='Données projet'!$A$88,'Données projet'!$B$88,BD62+BC63-BL62)))</f>
        <v>148.99999999999991</v>
      </c>
      <c r="BE63" s="14">
        <f>BD63*VLOOKUP('Données projet'!$B$11,Paramètres!$A$1:$I$89,3,0)*VLOOKUP('Données projet'!$B$11,Paramètres!$A$1:$I$89,5,0)</f>
        <v>148.7615999999999</v>
      </c>
      <c r="BF63" s="14">
        <f t="shared" si="37"/>
        <v>38.297019132441001</v>
      </c>
      <c r="BG63" s="22">
        <f t="shared" si="7"/>
        <v>325.79376165566788</v>
      </c>
      <c r="BH63" s="62">
        <f t="shared" si="8"/>
        <v>587.04946798714536</v>
      </c>
      <c r="BI63" s="62">
        <f ca="1">AVERAGE(OFFSET($BH$3,0,0,'Données projet'!$E$11+1,1))-AVERAGE(OFFSET($H$3,0,0,'Données projet'!$E$11+1,1))</f>
        <v>341.48836779133632</v>
      </c>
      <c r="BJ63" s="62">
        <f t="shared" si="38"/>
        <v>176.87842498964287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1.5363499164753887</v>
      </c>
      <c r="BR63" s="23">
        <f>EXP(-LN(2)/2)*BR62+(1-EXP(-LN(2)/2))/(LN(2)/2)*BL63*BO63*VLOOKUP('Données projet'!$B$11,Paramètres!$A$1:$I$89,3,0)*0.475*44/12</f>
        <v>1.0570542491612246E-3</v>
      </c>
      <c r="BS63" s="24">
        <f t="shared" si="9"/>
        <v>1.5374069707245499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149</v>
      </c>
      <c r="BW63" s="13">
        <f>VLOOKUP(A63,'Données projet'!$A$113:$I$133,9,0)</f>
        <v>5.6</v>
      </c>
      <c r="BX63" s="13">
        <f t="array" ref="BX63">INDEX(BW:BW,MIN(IF(ISNUMBER(BW63:BW259),ROW(BW63:BW259),"")))</f>
        <v>5.6</v>
      </c>
      <c r="BY63" s="13">
        <f>IF('Données projet'!$A$114&gt;35,BY62+BX63-CG62,IF(A63&lt;'Données projet'!$A$114,$BV$205^A63,IF(A63='Données projet'!$A$114,'Données projet'!$B$114,BY62+BX63-CG62)))</f>
        <v>148.99999999999991</v>
      </c>
      <c r="BZ63" s="14">
        <f>BY63*VLOOKUP('Données projet'!$B$12,Paramètres!$A$1:$I$89,3,0)*VLOOKUP('Données projet'!$B$12,Paramètres!$A$1:$I$89,5,0)</f>
        <v>99.949199999999948</v>
      </c>
      <c r="CA63" s="14">
        <f t="shared" si="39"/>
        <v>26.949894790983482</v>
      </c>
      <c r="CB63" s="22">
        <f t="shared" si="10"/>
        <v>221.01592342762945</v>
      </c>
      <c r="CC63" s="62">
        <f t="shared" si="11"/>
        <v>482.27162975910693</v>
      </c>
      <c r="CD63" s="62">
        <f ca="1">AVERAGE(OFFSET($CC$3,0,0,'Données projet'!$E$12+1,1))-AVERAGE(OFFSET($H$3,0,0,'Données projet'!$E$12+1,1))</f>
        <v>253.16238957399855</v>
      </c>
      <c r="CE63" s="62">
        <f t="shared" si="40"/>
        <v>138.00705940844708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1.2722897745811816</v>
      </c>
      <c r="CM63" s="23">
        <f>EXP(-LN(2)/2)*CM62+(1-EXP(-LN(2)/2))/(LN(2)/2)*CG63*CJ63*VLOOKUP('Données projet'!$B$12,Paramètres!$A$1:$I$89,3,0)*0.475*44/12</f>
        <v>7.1020832365519774E-4</v>
      </c>
      <c r="CN63" s="24">
        <f t="shared" si="12"/>
        <v>1.2729999829048368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140.1999999999999</v>
      </c>
      <c r="O64" s="14">
        <f>N64*VLOOKUP('Données projet'!$B$9,Paramètres!$A$1:$I$89,3,0)*VLOOKUP('Données projet'!$B$9,Paramètres!$A$1:$I$89,5,0)</f>
        <v>142.16279999999992</v>
      </c>
      <c r="P64" s="14">
        <f t="shared" si="33"/>
        <v>36.792029666383577</v>
      </c>
      <c r="Q64" s="22">
        <f t="shared" si="53"/>
        <v>311.67966166895121</v>
      </c>
      <c r="R64" s="62">
        <f t="shared" si="0"/>
        <v>573.49184311408055</v>
      </c>
      <c r="S64" s="62">
        <f ca="1">AVERAGE(OFFSET($R$3,0,0,'Données projet'!$E$9+1,1))-AVERAGE(OFFSET($H$3,0,0,'Données projet'!$E$9+1,1))</f>
        <v>345.67675698621832</v>
      </c>
      <c r="T64" s="62">
        <f t="shared" si="34"/>
        <v>178.72086185623849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2.6</v>
      </c>
      <c r="AI64" s="14">
        <f>IF('Données projet'!$A$62&gt;35,AI63+AH64-AQ63,IF(A64&lt;'Données projet'!$A$62,$AF$205^A64,IF(A64='Données projet'!$A$62,'Données projet'!$B$62,AI63+AH64-AQ63)))</f>
        <v>135.59999999999994</v>
      </c>
      <c r="AJ64" s="14">
        <f>AI64*VLOOKUP('Données projet'!$B$10,Paramètres!$A$1:$I$89,3,0)*VLOOKUP('Données projet'!$B$10,Paramètres!$A$1:$I$89,5,0)</f>
        <v>118.46015999999997</v>
      </c>
      <c r="AK64" s="14">
        <f t="shared" si="35"/>
        <v>31.315587396029674</v>
      </c>
      <c r="AL64" s="22">
        <f t="shared" si="4"/>
        <v>260.85942671475163</v>
      </c>
      <c r="AM64" s="62">
        <f t="shared" si="5"/>
        <v>522.67160815988098</v>
      </c>
      <c r="AN64" s="62">
        <f ca="1">AVERAGE(OFFSET($AM$3,0,0,'Données projet'!$E$10+1,1))-AVERAGE(OFFSET($H$3,0,0,'Données projet'!$E$10+1,1))</f>
        <v>219.21539650048186</v>
      </c>
      <c r="AO64" s="62">
        <f t="shared" si="36"/>
        <v>204.10961748628708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2.3001279480250028</v>
      </c>
      <c r="AW64" s="23">
        <f>EXP(-LN(2)/2)*AW63+(1-EXP(-LN(2)/2))/(LN(2)/2)*AQ64*AT64*VLOOKUP('Données projet'!$B$10,Paramètres!$A$1:$I$89,3,0)*0.475*44/12</f>
        <v>1.5699067659699276E-4</v>
      </c>
      <c r="AX64" s="23">
        <f t="shared" si="6"/>
        <v>2.3002849387015996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140.1999999999999</v>
      </c>
      <c r="BE64" s="14">
        <f>BD64*VLOOKUP('Données projet'!$B$11,Paramètres!$A$1:$I$89,3,0)*VLOOKUP('Données projet'!$B$11,Paramètres!$A$1:$I$89,5,0)</f>
        <v>139.9756799999999</v>
      </c>
      <c r="BF64" s="14">
        <f t="shared" si="37"/>
        <v>36.291434068189503</v>
      </c>
      <c r="BG64" s="22">
        <f t="shared" si="7"/>
        <v>306.99855700209656</v>
      </c>
      <c r="BH64" s="62">
        <f t="shared" si="8"/>
        <v>568.81073844722596</v>
      </c>
      <c r="BI64" s="62">
        <f ca="1">AVERAGE(OFFSET($BH$3,0,0,'Données projet'!$E$11+1,1))-AVERAGE(OFFSET($H$3,0,0,'Données projet'!$E$11+1,1))</f>
        <v>341.48836779133632</v>
      </c>
      <c r="BJ64" s="62">
        <f t="shared" si="38"/>
        <v>176.87842498964287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1.4943383472162384</v>
      </c>
      <c r="BR64" s="23">
        <f>EXP(-LN(2)/2)*BR63+(1-EXP(-LN(2)/2))/(LN(2)/2)*BL64*BO64*VLOOKUP('Données projet'!$B$11,Paramètres!$A$1:$I$89,3,0)*0.475*44/12</f>
        <v>7.4745022766395635E-4</v>
      </c>
      <c r="BS64" s="24">
        <f t="shared" si="9"/>
        <v>1.4950857974439022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140.1999999999999</v>
      </c>
      <c r="BZ64" s="14">
        <f>BY64*VLOOKUP('Données projet'!$B$12,Paramètres!$A$1:$I$89,3,0)*VLOOKUP('Données projet'!$B$12,Paramètres!$A$1:$I$89,5,0)</f>
        <v>94.046159999999944</v>
      </c>
      <c r="CA64" s="14">
        <f t="shared" si="39"/>
        <v>25.538549790762293</v>
      </c>
      <c r="CB64" s="22">
        <f t="shared" si="10"/>
        <v>208.27670288557758</v>
      </c>
      <c r="CC64" s="62">
        <f t="shared" si="11"/>
        <v>470.08888433070695</v>
      </c>
      <c r="CD64" s="62">
        <f ca="1">AVERAGE(OFFSET($CC$3,0,0,'Données projet'!$E$12+1,1))-AVERAGE(OFFSET($H$3,0,0,'Données projet'!$E$12+1,1))</f>
        <v>253.16238957399855</v>
      </c>
      <c r="CE64" s="62">
        <f t="shared" si="40"/>
        <v>138.00705940844708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1.2374989437884478</v>
      </c>
      <c r="CM64" s="23">
        <f>EXP(-LN(2)/2)*CM63+(1-EXP(-LN(2)/2))/(LN(2)/2)*CG64*CJ64*VLOOKUP('Données projet'!$B$12,Paramètres!$A$1:$I$89,3,0)*0.475*44/12</f>
        <v>5.0219312171172063E-4</v>
      </c>
      <c r="CN64" s="24">
        <f t="shared" si="12"/>
        <v>1.2380011369101596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145.39999999999989</v>
      </c>
      <c r="O65" s="14">
        <f>N65*VLOOKUP('Données projet'!$B$9,Paramètres!$A$1:$I$89,3,0)*VLOOKUP('Données projet'!$B$9,Paramètres!$A$1:$I$89,5,0)</f>
        <v>147.43559999999991</v>
      </c>
      <c r="P65" s="14">
        <f t="shared" si="33"/>
        <v>37.995232948340991</v>
      </c>
      <c r="Q65" s="22">
        <f t="shared" si="53"/>
        <v>322.95870071836038</v>
      </c>
      <c r="R65" s="62">
        <f t="shared" si="0"/>
        <v>585.31770367801164</v>
      </c>
      <c r="S65" s="62">
        <f ca="1">AVERAGE(OFFSET($R$3,0,0,'Données projet'!$E$9+1,1))-AVERAGE(OFFSET($H$3,0,0,'Données projet'!$E$9+1,1))</f>
        <v>345.67675698621832</v>
      </c>
      <c r="T65" s="62">
        <f t="shared" si="34"/>
        <v>178.72086185623849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2.6</v>
      </c>
      <c r="AI65" s="14">
        <f>IF('Données projet'!$A$62&gt;35,AI64+AH65-AQ64,IF(A65&lt;'Données projet'!$A$62,$AF$205^A65,IF(A65='Données projet'!$A$62,'Données projet'!$B$62,AI64+AH65-AQ64)))</f>
        <v>138.19999999999993</v>
      </c>
      <c r="AJ65" s="14">
        <f>AI65*VLOOKUP('Données projet'!$B$10,Paramètres!$A$1:$I$89,3,0)*VLOOKUP('Données projet'!$B$10,Paramètres!$A$1:$I$89,5,0)</f>
        <v>120.73151999999995</v>
      </c>
      <c r="AK65" s="14">
        <f t="shared" si="35"/>
        <v>31.845553926050336</v>
      </c>
      <c r="AL65" s="22">
        <f t="shared" si="4"/>
        <v>265.73840375453756</v>
      </c>
      <c r="AM65" s="62">
        <f t="shared" si="5"/>
        <v>528.09740671418888</v>
      </c>
      <c r="AN65" s="62">
        <f ca="1">AVERAGE(OFFSET($AM$3,0,0,'Données projet'!$E$10+1,1))-AVERAGE(OFFSET($H$3,0,0,'Données projet'!$E$10+1,1))</f>
        <v>219.21539650048186</v>
      </c>
      <c r="AO65" s="62">
        <f t="shared" si="36"/>
        <v>204.10961748628708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2.2372308283277871</v>
      </c>
      <c r="AW65" s="23">
        <f>EXP(-LN(2)/2)*AW64+(1-EXP(-LN(2)/2))/(LN(2)/2)*AQ65*AT65*VLOOKUP('Données projet'!$B$10,Paramètres!$A$1:$I$89,3,0)*0.475*44/12</f>
        <v>1.1100917200479781E-4</v>
      </c>
      <c r="AX65" s="23">
        <f t="shared" si="6"/>
        <v>2.237341837499792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145.39999999999989</v>
      </c>
      <c r="BE65" s="14">
        <f>BD65*VLOOKUP('Données projet'!$B$11,Paramètres!$A$1:$I$89,3,0)*VLOOKUP('Données projet'!$B$11,Paramètres!$A$1:$I$89,5,0)</f>
        <v>145.16735999999989</v>
      </c>
      <c r="BF65" s="14">
        <f t="shared" si="37"/>
        <v>37.478266460251952</v>
      </c>
      <c r="BG65" s="22">
        <f t="shared" si="7"/>
        <v>318.10779941827195</v>
      </c>
      <c r="BH65" s="62">
        <f t="shared" si="8"/>
        <v>580.46680237792327</v>
      </c>
      <c r="BI65" s="62">
        <f ca="1">AVERAGE(OFFSET($BH$3,0,0,'Données projet'!$E$11+1,1))-AVERAGE(OFFSET($H$3,0,0,'Données projet'!$E$11+1,1))</f>
        <v>341.48836779133632</v>
      </c>
      <c r="BJ65" s="62">
        <f t="shared" si="38"/>
        <v>176.87842498964287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1.453475586527772</v>
      </c>
      <c r="BR65" s="23">
        <f>EXP(-LN(2)/2)*BR64+(1-EXP(-LN(2)/2))/(LN(2)/2)*BL65*BO65*VLOOKUP('Données projet'!$B$11,Paramètres!$A$1:$I$89,3,0)*0.475*44/12</f>
        <v>5.2852712458061231E-4</v>
      </c>
      <c r="BS65" s="24">
        <f t="shared" si="9"/>
        <v>1.4540041136523525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145.39999999999989</v>
      </c>
      <c r="BZ65" s="14">
        <f>BY65*VLOOKUP('Données projet'!$B$12,Paramètres!$A$1:$I$89,3,0)*VLOOKUP('Données projet'!$B$12,Paramètres!$A$1:$I$89,5,0)</f>
        <v>97.534319999999937</v>
      </c>
      <c r="CA65" s="14">
        <f t="shared" si="39"/>
        <v>26.373732497541688</v>
      </c>
      <c r="CB65" s="22">
        <f t="shared" si="10"/>
        <v>215.80652476655166</v>
      </c>
      <c r="CC65" s="62">
        <f t="shared" si="11"/>
        <v>478.16552772620298</v>
      </c>
      <c r="CD65" s="62">
        <f ca="1">AVERAGE(OFFSET($CC$3,0,0,'Données projet'!$E$12+1,1))-AVERAGE(OFFSET($H$3,0,0,'Données projet'!$E$12+1,1))</f>
        <v>253.16238957399855</v>
      </c>
      <c r="CE65" s="62">
        <f t="shared" si="40"/>
        <v>138.00705940844708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1.2036594700933116</v>
      </c>
      <c r="CM65" s="23">
        <f>EXP(-LN(2)/2)*CM64+(1-EXP(-LN(2)/2))/(LN(2)/2)*CG65*CJ65*VLOOKUP('Données projet'!$B$12,Paramètres!$A$1:$I$89,3,0)*0.475*44/12</f>
        <v>3.5510416182759887E-4</v>
      </c>
      <c r="CN65" s="24">
        <f t="shared" si="12"/>
        <v>1.2040145742551391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150.59999999999988</v>
      </c>
      <c r="O66" s="14">
        <f>N66*VLOOKUP('Données projet'!$B$9,Paramètres!$A$1:$I$89,3,0)*VLOOKUP('Données projet'!$B$9,Paramètres!$A$1:$I$89,5,0)</f>
        <v>152.7083999999999</v>
      </c>
      <c r="P66" s="14">
        <f t="shared" si="33"/>
        <v>39.193436747373994</v>
      </c>
      <c r="Q66" s="22">
        <f t="shared" si="53"/>
        <v>334.22903233500955</v>
      </c>
      <c r="R66" s="62">
        <f t="shared" si="0"/>
        <v>597.12537067841572</v>
      </c>
      <c r="S66" s="62">
        <f ca="1">AVERAGE(OFFSET($R$3,0,0,'Données projet'!$E$9+1,1))-AVERAGE(OFFSET($H$3,0,0,'Données projet'!$E$9+1,1))</f>
        <v>345.67675698621832</v>
      </c>
      <c r="T66" s="62">
        <f t="shared" si="34"/>
        <v>178.72086185623849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2.6</v>
      </c>
      <c r="AI66" s="14">
        <f>IF('Données projet'!$A$62&gt;35,AI65+AH66-AQ65,IF(A66&lt;'Données projet'!$A$62,$AF$205^A66,IF(A66='Données projet'!$A$62,'Données projet'!$B$62,AI65+AH66-AQ65)))</f>
        <v>140.79999999999993</v>
      </c>
      <c r="AJ66" s="14">
        <f>AI66*VLOOKUP('Données projet'!$B$10,Paramètres!$A$1:$I$89,3,0)*VLOOKUP('Données projet'!$B$10,Paramètres!$A$1:$I$89,5,0)</f>
        <v>123.00287999999996</v>
      </c>
      <c r="AK66" s="14">
        <f t="shared" si="35"/>
        <v>32.374361095906167</v>
      </c>
      <c r="AL66" s="22">
        <f t="shared" si="4"/>
        <v>270.61536157536983</v>
      </c>
      <c r="AM66" s="62">
        <f t="shared" si="5"/>
        <v>533.511699918776</v>
      </c>
      <c r="AN66" s="62">
        <f ca="1">AVERAGE(OFFSET($AM$3,0,0,'Données projet'!$E$10+1,1))-AVERAGE(OFFSET($H$3,0,0,'Données projet'!$E$10+1,1))</f>
        <v>219.21539650048186</v>
      </c>
      <c r="AO66" s="62">
        <f t="shared" si="36"/>
        <v>204.10961748628708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2.1760536336763079</v>
      </c>
      <c r="AW66" s="23">
        <f>EXP(-LN(2)/2)*AW65+(1-EXP(-LN(2)/2))/(LN(2)/2)*AQ66*AT66*VLOOKUP('Données projet'!$B$10,Paramètres!$A$1:$I$89,3,0)*0.475*44/12</f>
        <v>7.849533829849638E-5</v>
      </c>
      <c r="AX66" s="23">
        <f t="shared" si="6"/>
        <v>2.1761321290146065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150.59999999999988</v>
      </c>
      <c r="BE66" s="14">
        <f>BD66*VLOOKUP('Données projet'!$B$11,Paramètres!$A$1:$I$89,3,0)*VLOOKUP('Données projet'!$B$11,Paramètres!$A$1:$I$89,5,0)</f>
        <v>150.35903999999991</v>
      </c>
      <c r="BF66" s="14">
        <f t="shared" si="37"/>
        <v>38.66016739279528</v>
      </c>
      <c r="BG66" s="22">
        <f t="shared" si="7"/>
        <v>329.20845287578493</v>
      </c>
      <c r="BH66" s="62">
        <f t="shared" si="8"/>
        <v>592.10479121919104</v>
      </c>
      <c r="BI66" s="62">
        <f ca="1">AVERAGE(OFFSET($BH$3,0,0,'Données projet'!$E$11+1,1))-AVERAGE(OFFSET($H$3,0,0,'Données projet'!$E$11+1,1))</f>
        <v>341.48836779133632</v>
      </c>
      <c r="BJ66" s="62">
        <f t="shared" si="38"/>
        <v>176.87842498964287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1.413730220179211</v>
      </c>
      <c r="BR66" s="23">
        <f>EXP(-LN(2)/2)*BR65+(1-EXP(-LN(2)/2))/(LN(2)/2)*BL66*BO66*VLOOKUP('Données projet'!$B$11,Paramètres!$A$1:$I$89,3,0)*0.475*44/12</f>
        <v>3.7372511383197818E-4</v>
      </c>
      <c r="BS66" s="24">
        <f t="shared" si="9"/>
        <v>1.4141039452930431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150.59999999999988</v>
      </c>
      <c r="BZ66" s="14">
        <f>BY66*VLOOKUP('Données projet'!$B$12,Paramètres!$A$1:$I$89,3,0)*VLOOKUP('Données projet'!$B$12,Paramètres!$A$1:$I$89,5,0)</f>
        <v>101.02247999999993</v>
      </c>
      <c r="CA66" s="14">
        <f t="shared" si="39"/>
        <v>27.205444899889642</v>
      </c>
      <c r="CB66" s="22">
        <f t="shared" si="10"/>
        <v>223.3303025339743</v>
      </c>
      <c r="CC66" s="62">
        <f t="shared" si="11"/>
        <v>486.22664087738042</v>
      </c>
      <c r="CD66" s="62">
        <f ca="1">AVERAGE(OFFSET($CC$3,0,0,'Données projet'!$E$12+1,1))-AVERAGE(OFFSET($H$3,0,0,'Données projet'!$E$12+1,1))</f>
        <v>253.16238957399855</v>
      </c>
      <c r="CE66" s="62">
        <f t="shared" si="40"/>
        <v>138.00705940844708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1.1707453385859095</v>
      </c>
      <c r="CM66" s="23">
        <f>EXP(-LN(2)/2)*CM65+(1-EXP(-LN(2)/2))/(LN(2)/2)*CG66*CJ66*VLOOKUP('Données projet'!$B$12,Paramètres!$A$1:$I$89,3,0)*0.475*44/12</f>
        <v>2.5109656085586031E-4</v>
      </c>
      <c r="CN66" s="24">
        <f t="shared" si="12"/>
        <v>1.1709964351467652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155.79999999999987</v>
      </c>
      <c r="O67" s="14">
        <f>N67*VLOOKUP('Données projet'!$B$9,Paramètres!$A$1:$I$89,3,0)*VLOOKUP('Données projet'!$B$9,Paramètres!$A$1:$I$89,5,0)</f>
        <v>157.98119999999989</v>
      </c>
      <c r="P67" s="14">
        <f t="shared" si="33"/>
        <v>40.386833472870542</v>
      </c>
      <c r="Q67" s="22">
        <f t="shared" ref="Q67:Q98" si="54">(O67+P67)*0.475*44/12</f>
        <v>345.49099163191596</v>
      </c>
      <c r="R67" s="62">
        <f t="shared" ref="R67:R130" si="55">Q67+(I67+J67)*44/12</f>
        <v>608.91534379147072</v>
      </c>
      <c r="S67" s="62">
        <f ca="1">AVERAGE(OFFSET($R$3,0,0,'Données projet'!$E$9+1,1))-AVERAGE(OFFSET($H$3,0,0,'Données projet'!$E$9+1,1))</f>
        <v>345.67675698621832</v>
      </c>
      <c r="T67" s="62">
        <f t="shared" si="34"/>
        <v>178.72086185623849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2.6</v>
      </c>
      <c r="AI67" s="14">
        <f>IF('Données projet'!$A$62&gt;35,AI66+AH67-AQ66,IF(A67&lt;'Données projet'!$A$62,$AF$205^A67,IF(A67='Données projet'!$A$62,'Données projet'!$B$62,AI66+AH67-AQ66)))</f>
        <v>143.39999999999992</v>
      </c>
      <c r="AJ67" s="14">
        <f>AI67*VLOOKUP('Données projet'!$B$10,Paramètres!$A$1:$I$89,3,0)*VLOOKUP('Données projet'!$B$10,Paramètres!$A$1:$I$89,5,0)</f>
        <v>125.27423999999993</v>
      </c>
      <c r="AK67" s="14">
        <f t="shared" si="35"/>
        <v>32.902032783270968</v>
      </c>
      <c r="AL67" s="22">
        <f t="shared" si="4"/>
        <v>275.49034176419684</v>
      </c>
      <c r="AM67" s="62">
        <f t="shared" si="5"/>
        <v>538.91469392375166</v>
      </c>
      <c r="AN67" s="62">
        <f ca="1">AVERAGE(OFFSET($AM$3,0,0,'Données projet'!$E$10+1,1))-AVERAGE(OFFSET($H$3,0,0,'Données projet'!$E$10+1,1))</f>
        <v>219.21539650048186</v>
      </c>
      <c r="AO67" s="62">
        <f t="shared" si="36"/>
        <v>204.10961748628708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2.116549332629742</v>
      </c>
      <c r="AW67" s="23">
        <f>EXP(-LN(2)/2)*AW66+(1-EXP(-LN(2)/2))/(LN(2)/2)*AQ67*AT67*VLOOKUP('Données projet'!$B$10,Paramètres!$A$1:$I$89,3,0)*0.475*44/12</f>
        <v>5.5504586002398905E-5</v>
      </c>
      <c r="AX67" s="23">
        <f t="shared" si="6"/>
        <v>2.1166048372157444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155.79999999999987</v>
      </c>
      <c r="BE67" s="14">
        <f>BD67*VLOOKUP('Données projet'!$B$11,Paramètres!$A$1:$I$89,3,0)*VLOOKUP('Données projet'!$B$11,Paramètres!$A$1:$I$89,5,0)</f>
        <v>155.55071999999987</v>
      </c>
      <c r="BF67" s="14">
        <f t="shared" si="37"/>
        <v>39.837326657268385</v>
      </c>
      <c r="BG67" s="22">
        <f t="shared" si="7"/>
        <v>340.30084792807554</v>
      </c>
      <c r="BH67" s="62">
        <f t="shared" si="8"/>
        <v>603.72520008763036</v>
      </c>
      <c r="BI67" s="62">
        <f ca="1">AVERAGE(OFFSET($BH$3,0,0,'Données projet'!$E$11+1,1))-AVERAGE(OFFSET($H$3,0,0,'Données projet'!$E$11+1,1))</f>
        <v>341.48836779133632</v>
      </c>
      <c r="BJ67" s="62">
        <f t="shared" si="38"/>
        <v>176.87842498964287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1.3750716929635693</v>
      </c>
      <c r="BR67" s="23">
        <f>EXP(-LN(2)/2)*BR66+(1-EXP(-LN(2)/2))/(LN(2)/2)*BL67*BO67*VLOOKUP('Données projet'!$B$11,Paramètres!$A$1:$I$89,3,0)*0.475*44/12</f>
        <v>2.6426356229030615E-4</v>
      </c>
      <c r="BS67" s="24">
        <f t="shared" si="9"/>
        <v>1.3753359565258596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155.79999999999987</v>
      </c>
      <c r="BZ67" s="14">
        <f>BY67*VLOOKUP('Données projet'!$B$12,Paramètres!$A$1:$I$89,3,0)*VLOOKUP('Données projet'!$B$12,Paramètres!$A$1:$I$89,5,0)</f>
        <v>104.51063999999991</v>
      </c>
      <c r="CA67" s="14">
        <f t="shared" si="39"/>
        <v>28.033820555448383</v>
      </c>
      <c r="CB67" s="22">
        <f t="shared" si="10"/>
        <v>230.84826880073911</v>
      </c>
      <c r="CC67" s="62">
        <f t="shared" si="11"/>
        <v>494.27262096029386</v>
      </c>
      <c r="CD67" s="62">
        <f ca="1">AVERAGE(OFFSET($CC$3,0,0,'Données projet'!$E$12+1,1))-AVERAGE(OFFSET($H$3,0,0,'Données projet'!$E$12+1,1))</f>
        <v>253.16238957399855</v>
      </c>
      <c r="CE67" s="62">
        <f t="shared" si="40"/>
        <v>138.00705940844708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1.1387312457354561</v>
      </c>
      <c r="CM67" s="23">
        <f>EXP(-LN(2)/2)*CM66+(1-EXP(-LN(2)/2))/(LN(2)/2)*CG67*CJ67*VLOOKUP('Données projet'!$B$12,Paramètres!$A$1:$I$89,3,0)*0.475*44/12</f>
        <v>1.7755208091379943E-4</v>
      </c>
      <c r="CN67" s="24">
        <f t="shared" si="12"/>
        <v>1.1389087978163699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161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160.99999999999986</v>
      </c>
      <c r="O68" s="14">
        <f>N68*VLOOKUP('Données projet'!$B$9,Paramètres!$A$1:$I$89,3,0)*VLOOKUP('Données projet'!$B$9,Paramètres!$A$1:$I$89,5,0)</f>
        <v>163.25399999999985</v>
      </c>
      <c r="P68" s="14">
        <f t="shared" si="33"/>
        <v>41.575601961656879</v>
      </c>
      <c r="Q68" s="22">
        <f t="shared" si="54"/>
        <v>356.74489008321876</v>
      </c>
      <c r="R68" s="62">
        <f t="shared" si="55"/>
        <v>620.68809619967396</v>
      </c>
      <c r="S68" s="62">
        <f ca="1">AVERAGE(OFFSET($R$3,0,0,'Données projet'!$E$9+1,1))-AVERAGE(OFFSET($H$3,0,0,'Données projet'!$E$9+1,1))</f>
        <v>345.67675698621832</v>
      </c>
      <c r="T68" s="62">
        <f t="shared" si="34"/>
        <v>178.72086185623849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146</v>
      </c>
      <c r="AG68" s="13">
        <f>VLOOKUP(A68,'Données projet'!$A$61:$I$81,9,0)</f>
        <v>2.6</v>
      </c>
      <c r="AH68" s="13">
        <f t="array" ref="AH68">INDEX(AG:AG,MIN(IF(ISNUMBER(AG68:AG264),ROW(AG68:AG264),"")))</f>
        <v>2.6</v>
      </c>
      <c r="AI68" s="14">
        <f>IF('Données projet'!$A$62&gt;35,AI67+AH68-AQ67,IF(A68&lt;'Données projet'!$A$62,$AF$205^A68,IF(A68='Données projet'!$A$62,'Données projet'!$B$62,AI67+AH68-AQ67)))</f>
        <v>145.99999999999991</v>
      </c>
      <c r="AJ68" s="14">
        <f>AI68*VLOOKUP('Données projet'!$B$10,Paramètres!$A$1:$I$89,3,0)*VLOOKUP('Données projet'!$B$10,Paramètres!$A$1:$I$89,5,0)</f>
        <v>127.54559999999995</v>
      </c>
      <c r="AK68" s="14">
        <f t="shared" si="35"/>
        <v>33.428591950384806</v>
      </c>
      <c r="AL68" s="22">
        <f t="shared" ref="AL68:AL131" si="58">(AJ68+AK68)*0.475*44/12</f>
        <v>280.36338431358678</v>
      </c>
      <c r="AM68" s="62">
        <f t="shared" ref="AM68:AM131" si="59">AL68+(AD68+AE68)*44/12</f>
        <v>544.30659043004198</v>
      </c>
      <c r="AN68" s="62">
        <f ca="1">AVERAGE(OFFSET($AM$3,0,0,'Données projet'!$E$10+1,1))-AVERAGE(OFFSET($H$3,0,0,'Données projet'!$E$10+1,1))</f>
        <v>219.21539650048186</v>
      </c>
      <c r="AO68" s="62">
        <f t="shared" si="36"/>
        <v>204.10961748628708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2.0586721798244896</v>
      </c>
      <c r="AW68" s="23">
        <f>EXP(-LN(2)/2)*AW67+(1-EXP(-LN(2)/2))/(LN(2)/2)*AQ68*AT68*VLOOKUP('Données projet'!$B$10,Paramètres!$A$1:$I$89,3,0)*0.475*44/12</f>
        <v>3.924766914924819E-5</v>
      </c>
      <c r="AX68" s="23">
        <f t="shared" ref="AX68:AX131" si="60">SUM(AU68:AW68)</f>
        <v>2.0587114274936389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160.99999999999986</v>
      </c>
      <c r="BE68" s="14">
        <f>BD68*VLOOKUP('Données projet'!$B$11,Paramètres!$A$1:$I$89,3,0)*VLOOKUP('Données projet'!$B$11,Paramètres!$A$1:$I$89,5,0)</f>
        <v>160.74239999999986</v>
      </c>
      <c r="BF68" s="14">
        <f t="shared" si="37"/>
        <v>41.009920657227809</v>
      </c>
      <c r="BG68" s="22">
        <f t="shared" ref="BG68:BG131" si="61">(BE68+BF68)*0.475*44/12</f>
        <v>351.38529181133816</v>
      </c>
      <c r="BH68" s="62">
        <f t="shared" ref="BH68:BH131" si="62">BG68+(AY68+AZ68)*44/12</f>
        <v>615.32849792779336</v>
      </c>
      <c r="BI68" s="62">
        <f ca="1">AVERAGE(OFFSET($BH$3,0,0,'Données projet'!$E$11+1,1))-AVERAGE(OFFSET($H$3,0,0,'Données projet'!$E$11+1,1))</f>
        <v>341.48836779133632</v>
      </c>
      <c r="BJ68" s="62">
        <f t="shared" si="38"/>
        <v>176.87842498964287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1.337470285207603</v>
      </c>
      <c r="BR68" s="23">
        <f>EXP(-LN(2)/2)*BR67+(1-EXP(-LN(2)/2))/(LN(2)/2)*BL68*BO68*VLOOKUP('Données projet'!$B$11,Paramètres!$A$1:$I$89,3,0)*0.475*44/12</f>
        <v>1.8686255691598909E-4</v>
      </c>
      <c r="BS68" s="24">
        <f t="shared" ref="BS68:BS131" si="63">SUM(BP68:BR68)</f>
        <v>1.3376571477645189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161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160.99999999999986</v>
      </c>
      <c r="BZ68" s="14">
        <f>BY68*VLOOKUP('Données projet'!$B$12,Paramètres!$A$1:$I$89,3,0)*VLOOKUP('Données projet'!$B$12,Paramètres!$A$1:$I$89,5,0)</f>
        <v>107.9987999999999</v>
      </c>
      <c r="CA68" s="14">
        <f t="shared" si="39"/>
        <v>28.858983600701585</v>
      </c>
      <c r="CB68" s="22">
        <f t="shared" ref="CB68:CB131" si="64">(BZ68+CA68)*0.475*44/12</f>
        <v>238.36063977122171</v>
      </c>
      <c r="CC68" s="62">
        <f t="shared" ref="CC68:CC131" si="65">CB68+(BT68+BU68)*44/12</f>
        <v>502.30384588767691</v>
      </c>
      <c r="CD68" s="62">
        <f ca="1">AVERAGE(OFFSET($CC$3,0,0,'Données projet'!$E$12+1,1))-AVERAGE(OFFSET($H$3,0,0,'Données projet'!$E$12+1,1))</f>
        <v>253.16238957399855</v>
      </c>
      <c r="CE68" s="62">
        <f t="shared" si="40"/>
        <v>138.00705940844708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14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1.1075925799375466</v>
      </c>
      <c r="CM68" s="23">
        <f>EXP(-LN(2)/2)*CM67+(1-EXP(-LN(2)/2))/(LN(2)/2)*CG68*CJ68*VLOOKUP('Données projet'!$B$12,Paramètres!$A$1:$I$89,3,0)*0.475*44/12</f>
        <v>1.2554828042793016E-4</v>
      </c>
      <c r="CN68" s="24">
        <f t="shared" ref="CN68:CN131" si="66">SUM(CK68:CM68)</f>
        <v>1.1077181282179744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152.19999999999985</v>
      </c>
      <c r="O69" s="14">
        <f>N69*VLOOKUP('Données projet'!$B$9,Paramètres!$A$1:$I$89,3,0)*VLOOKUP('Données projet'!$B$9,Paramètres!$A$1:$I$89,5,0)</f>
        <v>154.33079999999987</v>
      </c>
      <c r="P69" s="14">
        <f t="shared" ref="P69:P132" si="87">EXP(-1.0587+0.8836*LN(O69)+0.284)</f>
        <v>39.561139179540312</v>
      </c>
      <c r="Q69" s="22">
        <f t="shared" si="54"/>
        <v>337.69512740436579</v>
      </c>
      <c r="R69" s="62">
        <f t="shared" si="55"/>
        <v>602.14818652155282</v>
      </c>
      <c r="S69" s="62">
        <f ca="1">AVERAGE(OFFSET($R$3,0,0,'Données projet'!$E$9+1,1))-AVERAGE(OFFSET($H$3,0,0,'Données projet'!$E$9+1,1))</f>
        <v>345.67675698621832</v>
      </c>
      <c r="T69" s="62">
        <f t="shared" ref="T69:T132" si="88">$T$3</f>
        <v>178.72086185623849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</v>
      </c>
      <c r="AI69" s="14">
        <f>IF('Données projet'!$A$62&gt;35,AI68+AH69-AQ68,IF(A69&lt;'Données projet'!$A$62,$AF$205^A69,IF(A69='Données projet'!$A$62,'Données projet'!$B$62,AI68+AH69-AQ68)))</f>
        <v>141.99999999999991</v>
      </c>
      <c r="AJ69" s="14">
        <f>AI69*VLOOKUP('Données projet'!$B$10,Paramètres!$A$1:$I$89,3,0)*VLOOKUP('Données projet'!$B$10,Paramètres!$A$1:$I$89,5,0)</f>
        <v>124.05119999999994</v>
      </c>
      <c r="AK69" s="14">
        <f t="shared" ref="AK69:AK132" si="89">EXP(-1.0587+0.8836*LN(AJ69)+0.284)</f>
        <v>32.618041559365977</v>
      </c>
      <c r="AL69" s="22">
        <f t="shared" si="58"/>
        <v>272.86559571589561</v>
      </c>
      <c r="AM69" s="62">
        <f t="shared" si="59"/>
        <v>537.31865483308275</v>
      </c>
      <c r="AN69" s="62">
        <f ca="1">AVERAGE(OFFSET($AM$3,0,0,'Données projet'!$E$10+1,1))-AVERAGE(OFFSET($H$3,0,0,'Données projet'!$E$10+1,1))</f>
        <v>219.21539650048186</v>
      </c>
      <c r="AO69" s="62">
        <f t="shared" ref="AO69:AO132" si="90">$AO$3</f>
        <v>204.10961748628708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2.0023776808063243</v>
      </c>
      <c r="AW69" s="23">
        <f>EXP(-LN(2)/2)*AW68+(1-EXP(-LN(2)/2))/(LN(2)/2)*AQ69*AT69*VLOOKUP('Données projet'!$B$10,Paramètres!$A$1:$I$89,3,0)*0.475*44/12</f>
        <v>2.7752293001199452E-5</v>
      </c>
      <c r="AX69" s="23">
        <f t="shared" si="60"/>
        <v>2.0024054330993253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152.19999999999985</v>
      </c>
      <c r="BE69" s="14">
        <f>BD69*VLOOKUP('Données projet'!$B$11,Paramètres!$A$1:$I$89,3,0)*VLOOKUP('Données projet'!$B$11,Paramètres!$A$1:$I$89,5,0)</f>
        <v>151.95647999999986</v>
      </c>
      <c r="BF69" s="14">
        <f t="shared" ref="BF69:BF132" si="91">EXP(-1.0587+0.8836*LN(BE69)+0.284)</f>
        <v>39.022866833263215</v>
      </c>
      <c r="BG69" s="22">
        <f t="shared" si="61"/>
        <v>332.62236240126646</v>
      </c>
      <c r="BH69" s="62">
        <f t="shared" si="62"/>
        <v>597.0754215184536</v>
      </c>
      <c r="BI69" s="62">
        <f ca="1">AVERAGE(OFFSET($BH$3,0,0,'Données projet'!$E$11+1,1))-AVERAGE(OFFSET($H$3,0,0,'Données projet'!$E$11+1,1))</f>
        <v>341.48836779133632</v>
      </c>
      <c r="BJ69" s="62">
        <f t="shared" ref="BJ69:BJ132" si="92">$BJ$3</f>
        <v>176.87842498964287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1.3008970899240957</v>
      </c>
      <c r="BR69" s="23">
        <f>EXP(-LN(2)/2)*BR68+(1-EXP(-LN(2)/2))/(LN(2)/2)*BL69*BO69*VLOOKUP('Données projet'!$B$11,Paramètres!$A$1:$I$89,3,0)*0.475*44/12</f>
        <v>1.3213178114515308E-4</v>
      </c>
      <c r="BS69" s="24">
        <f t="shared" si="63"/>
        <v>1.3010292217052408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5.2</v>
      </c>
      <c r="BY69" s="13">
        <f>IF('Données projet'!$A$114&gt;35,BY68+BX69-CG68,IF(A69&lt;'Données projet'!$A$114,$BV$205^A69,IF(A69='Données projet'!$A$114,'Données projet'!$B$114,BY68+BX69-CG68)))</f>
        <v>152.19999999999985</v>
      </c>
      <c r="BZ69" s="14">
        <f>BY69*VLOOKUP('Données projet'!$B$12,Paramètres!$A$1:$I$89,3,0)*VLOOKUP('Données projet'!$B$12,Paramètres!$A$1:$I$89,5,0)</f>
        <v>102.09575999999988</v>
      </c>
      <c r="CA69" s="14">
        <f t="shared" ref="CA69:CA132" si="93">EXP(-1.0587+0.8836*LN(BZ69)+0.284)</f>
        <v>27.460679170931883</v>
      </c>
      <c r="CB69" s="22">
        <f t="shared" si="64"/>
        <v>225.64413155603947</v>
      </c>
      <c r="CC69" s="62">
        <f t="shared" si="65"/>
        <v>490.09719067322658</v>
      </c>
      <c r="CD69" s="62">
        <f ca="1">AVERAGE(OFFSET($CC$3,0,0,'Données projet'!$E$12+1,1))-AVERAGE(OFFSET($H$3,0,0,'Données projet'!$E$12+1,1))</f>
        <v>253.16238957399855</v>
      </c>
      <c r="CE69" s="62">
        <f t="shared" ref="CE69:CE132" si="94">$CE$3</f>
        <v>138.00705940844708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1.0773054025933919</v>
      </c>
      <c r="CM69" s="23">
        <f>EXP(-LN(2)/2)*CM68+(1-EXP(-LN(2)/2))/(LN(2)/2)*CG69*CJ69*VLOOKUP('Données projet'!$B$12,Paramètres!$A$1:$I$89,3,0)*0.475*44/12</f>
        <v>8.8776040456899717E-5</v>
      </c>
      <c r="CN69" s="24">
        <f t="shared" si="66"/>
        <v>1.0773941786338488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157.39999999999984</v>
      </c>
      <c r="O70" s="14">
        <f>N70*VLOOKUP('Données projet'!$B$9,Paramètres!$A$1:$I$89,3,0)*VLOOKUP('Données projet'!$B$9,Paramètres!$A$1:$I$89,5,0)</f>
        <v>159.60359999999986</v>
      </c>
      <c r="P70" s="14">
        <f t="shared" si="87"/>
        <v>40.753093376363118</v>
      </c>
      <c r="Q70" s="22">
        <f t="shared" si="54"/>
        <v>348.95457429716549</v>
      </c>
      <c r="R70" s="62">
        <f t="shared" si="55"/>
        <v>613.9086416053824</v>
      </c>
      <c r="S70" s="62">
        <f ca="1">AVERAGE(OFFSET($R$3,0,0,'Données projet'!$E$9+1,1))-AVERAGE(OFFSET($H$3,0,0,'Données projet'!$E$9+1,1))</f>
        <v>345.67675698621832</v>
      </c>
      <c r="T70" s="62">
        <f t="shared" si="88"/>
        <v>178.72086185623849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</v>
      </c>
      <c r="AI70" s="14">
        <f>IF('Données projet'!$A$62&gt;35,AI69+AH70-AQ69,IF(A70&lt;'Données projet'!$A$62,$AF$205^A70,IF(A70='Données projet'!$A$62,'Données projet'!$B$62,AI69+AH70-AQ69)))</f>
        <v>143.99999999999991</v>
      </c>
      <c r="AJ70" s="14">
        <f>AI70*VLOOKUP('Données projet'!$B$10,Paramètres!$A$1:$I$89,3,0)*VLOOKUP('Données projet'!$B$10,Paramètres!$A$1:$I$89,5,0)</f>
        <v>125.79839999999994</v>
      </c>
      <c r="AK70" s="14">
        <f t="shared" si="89"/>
        <v>33.023644363399924</v>
      </c>
      <c r="AL70" s="22">
        <f t="shared" si="58"/>
        <v>276.61506059958811</v>
      </c>
      <c r="AM70" s="62">
        <f t="shared" si="59"/>
        <v>541.56912790780507</v>
      </c>
      <c r="AN70" s="62">
        <f ca="1">AVERAGE(OFFSET($AM$3,0,0,'Données projet'!$E$10+1,1))-AVERAGE(OFFSET($H$3,0,0,'Données projet'!$E$10+1,1))</f>
        <v>219.21539650048186</v>
      </c>
      <c r="AO70" s="62">
        <f t="shared" si="90"/>
        <v>204.10961748628708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1.9476225578242097</v>
      </c>
      <c r="AW70" s="23">
        <f>EXP(-LN(2)/2)*AW69+(1-EXP(-LN(2)/2))/(LN(2)/2)*AQ70*AT70*VLOOKUP('Données projet'!$B$10,Paramètres!$A$1:$I$89,3,0)*0.475*44/12</f>
        <v>1.9623834574624095E-5</v>
      </c>
      <c r="AX70" s="23">
        <f t="shared" si="60"/>
        <v>1.9476421816587843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157.39999999999984</v>
      </c>
      <c r="BE70" s="14">
        <f>BD70*VLOOKUP('Données projet'!$B$11,Paramètres!$A$1:$I$89,3,0)*VLOOKUP('Données projet'!$B$11,Paramètres!$A$1:$I$89,5,0)</f>
        <v>157.14815999999985</v>
      </c>
      <c r="BF70" s="14">
        <f t="shared" si="91"/>
        <v>40.198603196234764</v>
      </c>
      <c r="BG70" s="22">
        <f t="shared" si="61"/>
        <v>343.7122792334419</v>
      </c>
      <c r="BH70" s="62">
        <f t="shared" si="62"/>
        <v>608.66634654165887</v>
      </c>
      <c r="BI70" s="62">
        <f ca="1">AVERAGE(OFFSET($BH$3,0,0,'Données projet'!$E$11+1,1))-AVERAGE(OFFSET($H$3,0,0,'Données projet'!$E$11+1,1))</f>
        <v>341.48836779133632</v>
      </c>
      <c r="BJ70" s="62">
        <f t="shared" si="92"/>
        <v>176.87842498964287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1.2653239905889166</v>
      </c>
      <c r="BR70" s="23">
        <f>EXP(-LN(2)/2)*BR69+(1-EXP(-LN(2)/2))/(LN(2)/2)*BL70*BO70*VLOOKUP('Données projet'!$B$11,Paramètres!$A$1:$I$89,3,0)*0.475*44/12</f>
        <v>9.3431278457994544E-5</v>
      </c>
      <c r="BS70" s="24">
        <f t="shared" si="63"/>
        <v>1.2654174218673746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5.2</v>
      </c>
      <c r="BY70" s="13">
        <f>IF('Données projet'!$A$114&gt;35,BY69+BX70-CG69,IF(A70&lt;'Données projet'!$A$114,$BV$205^A70,IF(A70='Données projet'!$A$114,'Données projet'!$B$114,BY69+BX70-CG69)))</f>
        <v>157.39999999999984</v>
      </c>
      <c r="BZ70" s="14">
        <f>BY70*VLOOKUP('Données projet'!$B$12,Paramètres!$A$1:$I$89,3,0)*VLOOKUP('Données projet'!$B$12,Paramètres!$A$1:$I$89,5,0)</f>
        <v>105.58391999999989</v>
      </c>
      <c r="CA70" s="14">
        <f t="shared" si="93"/>
        <v>28.288053520210592</v>
      </c>
      <c r="CB70" s="22">
        <f t="shared" si="64"/>
        <v>233.16035388103322</v>
      </c>
      <c r="CC70" s="62">
        <f t="shared" si="65"/>
        <v>498.11442118925015</v>
      </c>
      <c r="CD70" s="62">
        <f ca="1">AVERAGE(OFFSET($CC$3,0,0,'Données projet'!$E$12+1,1))-AVERAGE(OFFSET($H$3,0,0,'Données projet'!$E$12+1,1))</f>
        <v>253.16238957399855</v>
      </c>
      <c r="CE70" s="62">
        <f t="shared" si="94"/>
        <v>138.00705940844708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1.0478464297064467</v>
      </c>
      <c r="CM70" s="23">
        <f>EXP(-LN(2)/2)*CM69+(1-EXP(-LN(2)/2))/(LN(2)/2)*CG70*CJ70*VLOOKUP('Données projet'!$B$12,Paramètres!$A$1:$I$89,3,0)*0.475*44/12</f>
        <v>6.2774140213965078E-5</v>
      </c>
      <c r="CN70" s="24">
        <f t="shared" si="66"/>
        <v>1.0479092038466606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162.59999999999982</v>
      </c>
      <c r="O71" s="14">
        <f>N71*VLOOKUP('Données projet'!$B$9,Paramètres!$A$1:$I$89,3,0)*VLOOKUP('Données projet'!$B$9,Paramètres!$A$1:$I$89,5,0)</f>
        <v>164.87639999999982</v>
      </c>
      <c r="P71" s="14">
        <f t="shared" si="87"/>
        <v>41.94047184875933</v>
      </c>
      <c r="Q71" s="22">
        <f t="shared" si="54"/>
        <v>360.20605180325543</v>
      </c>
      <c r="R71" s="62">
        <f t="shared" si="55"/>
        <v>625.65243593047421</v>
      </c>
      <c r="S71" s="62">
        <f ca="1">AVERAGE(OFFSET($R$3,0,0,'Données projet'!$E$9+1,1))-AVERAGE(OFFSET($H$3,0,0,'Données projet'!$E$9+1,1))</f>
        <v>345.67675698621832</v>
      </c>
      <c r="T71" s="62">
        <f t="shared" si="88"/>
        <v>178.72086185623849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</v>
      </c>
      <c r="AI71" s="14">
        <f>IF('Données projet'!$A$62&gt;35,AI70+AH71-AQ70,IF(A71&lt;'Données projet'!$A$62,$AF$205^A71,IF(A71='Données projet'!$A$62,'Données projet'!$B$62,AI70+AH71-AQ70)))</f>
        <v>145.99999999999991</v>
      </c>
      <c r="AJ71" s="14">
        <f>AI71*VLOOKUP('Données projet'!$B$10,Paramètres!$A$1:$I$89,3,0)*VLOOKUP('Données projet'!$B$10,Paramètres!$A$1:$I$89,5,0)</f>
        <v>127.54559999999995</v>
      </c>
      <c r="AK71" s="14">
        <f t="shared" si="89"/>
        <v>33.428591950384806</v>
      </c>
      <c r="AL71" s="22">
        <f t="shared" si="58"/>
        <v>280.36338431358678</v>
      </c>
      <c r="AM71" s="62">
        <f t="shared" si="59"/>
        <v>545.80976844080556</v>
      </c>
      <c r="AN71" s="62">
        <f ca="1">AVERAGE(OFFSET($AM$3,0,0,'Données projet'!$E$10+1,1))-AVERAGE(OFFSET($H$3,0,0,'Données projet'!$E$10+1,1))</f>
        <v>219.21539650048186</v>
      </c>
      <c r="AO71" s="62">
        <f t="shared" si="90"/>
        <v>204.10961748628708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1.8943647165594877</v>
      </c>
      <c r="AW71" s="23">
        <f>EXP(-LN(2)/2)*AW70+(1-EXP(-LN(2)/2))/(LN(2)/2)*AQ71*AT71*VLOOKUP('Données projet'!$B$10,Paramètres!$A$1:$I$89,3,0)*0.475*44/12</f>
        <v>1.3876146500599726E-5</v>
      </c>
      <c r="AX71" s="23">
        <f t="shared" si="60"/>
        <v>1.8943785927059882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162.59999999999982</v>
      </c>
      <c r="BE71" s="14">
        <f>BD71*VLOOKUP('Données projet'!$B$11,Paramètres!$A$1:$I$89,3,0)*VLOOKUP('Données projet'!$B$11,Paramètres!$A$1:$I$89,5,0)</f>
        <v>162.33983999999984</v>
      </c>
      <c r="BF71" s="14">
        <f t="shared" si="91"/>
        <v>41.36982609248961</v>
      </c>
      <c r="BG71" s="22">
        <f t="shared" si="61"/>
        <v>354.79433511108573</v>
      </c>
      <c r="BH71" s="62">
        <f t="shared" si="62"/>
        <v>620.24071923830456</v>
      </c>
      <c r="BI71" s="62">
        <f ca="1">AVERAGE(OFFSET($BH$3,0,0,'Données projet'!$E$11+1,1))-AVERAGE(OFFSET($H$3,0,0,'Données projet'!$E$11+1,1))</f>
        <v>341.48836779133632</v>
      </c>
      <c r="BJ71" s="62">
        <f t="shared" si="92"/>
        <v>176.87842498964287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1.2307236395257659</v>
      </c>
      <c r="BR71" s="23">
        <f>EXP(-LN(2)/2)*BR70+(1-EXP(-LN(2)/2))/(LN(2)/2)*BL71*BO71*VLOOKUP('Données projet'!$B$11,Paramètres!$A$1:$I$89,3,0)*0.475*44/12</f>
        <v>6.6065890572576539E-5</v>
      </c>
      <c r="BS71" s="24">
        <f t="shared" si="63"/>
        <v>1.2307897054163386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5.2</v>
      </c>
      <c r="BY71" s="13">
        <f>IF('Données projet'!$A$114&gt;35,BY70+BX71-CG70,IF(A71&lt;'Données projet'!$A$114,$BV$205^A71,IF(A71='Données projet'!$A$114,'Données projet'!$B$114,BY70+BX71-CG70)))</f>
        <v>162.59999999999982</v>
      </c>
      <c r="BZ71" s="14">
        <f>BY71*VLOOKUP('Données projet'!$B$12,Paramètres!$A$1:$I$89,3,0)*VLOOKUP('Données projet'!$B$12,Paramètres!$A$1:$I$89,5,0)</f>
        <v>109.07207999999989</v>
      </c>
      <c r="CA71" s="14">
        <f t="shared" si="93"/>
        <v>29.112251709675458</v>
      </c>
      <c r="CB71" s="22">
        <f t="shared" si="64"/>
        <v>240.67104439435124</v>
      </c>
      <c r="CC71" s="62">
        <f t="shared" si="65"/>
        <v>506.1174285215701</v>
      </c>
      <c r="CD71" s="62">
        <f ca="1">AVERAGE(OFFSET($CC$3,0,0,'Données projet'!$E$12+1,1))-AVERAGE(OFFSET($H$3,0,0,'Données projet'!$E$12+1,1))</f>
        <v>253.16238957399855</v>
      </c>
      <c r="CE71" s="62">
        <f t="shared" si="94"/>
        <v>138.00705940844708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1.0191930139822751</v>
      </c>
      <c r="CM71" s="23">
        <f>EXP(-LN(2)/2)*CM70+(1-EXP(-LN(2)/2))/(LN(2)/2)*CG71*CJ71*VLOOKUP('Données projet'!$B$12,Paramètres!$A$1:$I$89,3,0)*0.475*44/12</f>
        <v>4.4388020228449859E-5</v>
      </c>
      <c r="CN71" s="24">
        <f t="shared" si="66"/>
        <v>1.0192374020025037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167.79999999999981</v>
      </c>
      <c r="O72" s="14">
        <f>N72*VLOOKUP('Données projet'!$B$9,Paramètres!$A$1:$I$89,3,0)*VLOOKUP('Données projet'!$B$9,Paramètres!$A$1:$I$89,5,0)</f>
        <v>170.14919999999981</v>
      </c>
      <c r="P72" s="14">
        <f t="shared" si="87"/>
        <v>43.123437715785229</v>
      </c>
      <c r="Q72" s="22">
        <f t="shared" si="54"/>
        <v>371.44984402165892</v>
      </c>
      <c r="R72" s="62">
        <f t="shared" si="55"/>
        <v>637.38000437172548</v>
      </c>
      <c r="S72" s="62">
        <f ca="1">AVERAGE(OFFSET($R$3,0,0,'Données projet'!$E$9+1,1))-AVERAGE(OFFSET($H$3,0,0,'Données projet'!$E$9+1,1))</f>
        <v>345.67675698621832</v>
      </c>
      <c r="T72" s="62">
        <f t="shared" si="88"/>
        <v>178.72086185623849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</v>
      </c>
      <c r="AI72" s="14">
        <f>IF('Données projet'!$A$62&gt;35,AI71+AH72-AQ71,IF(A72&lt;'Données projet'!$A$62,$AF$205^A72,IF(A72='Données projet'!$A$62,'Données projet'!$B$62,AI71+AH72-AQ71)))</f>
        <v>147.99999999999991</v>
      </c>
      <c r="AJ72" s="14">
        <f>AI72*VLOOKUP('Données projet'!$B$10,Paramètres!$A$1:$I$89,3,0)*VLOOKUP('Données projet'!$B$10,Paramètres!$A$1:$I$89,5,0)</f>
        <v>129.29279999999994</v>
      </c>
      <c r="AK72" s="14">
        <f t="shared" si="89"/>
        <v>33.832894333299215</v>
      </c>
      <c r="AL72" s="22">
        <f t="shared" si="58"/>
        <v>284.11058429716269</v>
      </c>
      <c r="AM72" s="62">
        <f t="shared" si="59"/>
        <v>550.0407446472293</v>
      </c>
      <c r="AN72" s="62">
        <f ca="1">AVERAGE(OFFSET($AM$3,0,0,'Données projet'!$E$10+1,1))-AVERAGE(OFFSET($H$3,0,0,'Données projet'!$E$10+1,1))</f>
        <v>219.21539650048186</v>
      </c>
      <c r="AO72" s="62">
        <f t="shared" si="90"/>
        <v>204.10961748628708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1.8425632137648578</v>
      </c>
      <c r="AW72" s="23">
        <f>EXP(-LN(2)/2)*AW71+(1-EXP(-LN(2)/2))/(LN(2)/2)*AQ72*AT72*VLOOKUP('Données projet'!$B$10,Paramètres!$A$1:$I$89,3,0)*0.475*44/12</f>
        <v>9.8119172873120475E-6</v>
      </c>
      <c r="AX72" s="23">
        <f t="shared" si="60"/>
        <v>1.8425730256821451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167.79999999999981</v>
      </c>
      <c r="BE72" s="14">
        <f>BD72*VLOOKUP('Données projet'!$B$11,Paramètres!$A$1:$I$89,3,0)*VLOOKUP('Données projet'!$B$11,Paramètres!$A$1:$I$89,5,0)</f>
        <v>167.53151999999983</v>
      </c>
      <c r="BF72" s="14">
        <f t="shared" si="91"/>
        <v>42.536696421671707</v>
      </c>
      <c r="BG72" s="22">
        <f t="shared" si="61"/>
        <v>365.86881026774455</v>
      </c>
      <c r="BH72" s="62">
        <f t="shared" si="62"/>
        <v>631.79897061781116</v>
      </c>
      <c r="BI72" s="62">
        <f ca="1">AVERAGE(OFFSET($BH$3,0,0,'Données projet'!$E$11+1,1))-AVERAGE(OFFSET($H$3,0,0,'Données projet'!$E$11+1,1))</f>
        <v>341.48836779133632</v>
      </c>
      <c r="BJ72" s="62">
        <f t="shared" si="92"/>
        <v>176.87842498964287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1.1970694368819905</v>
      </c>
      <c r="BR72" s="23">
        <f>EXP(-LN(2)/2)*BR71+(1-EXP(-LN(2)/2))/(LN(2)/2)*BL72*BO72*VLOOKUP('Données projet'!$B$11,Paramètres!$A$1:$I$89,3,0)*0.475*44/12</f>
        <v>4.6715639228997272E-5</v>
      </c>
      <c r="BS72" s="24">
        <f t="shared" si="63"/>
        <v>1.1971161525212195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5.2</v>
      </c>
      <c r="BY72" s="13">
        <f>IF('Données projet'!$A$114&gt;35,BY71+BX72-CG71,IF(A72&lt;'Données projet'!$A$114,$BV$205^A72,IF(A72='Données projet'!$A$114,'Données projet'!$B$114,BY71+BX72-CG71)))</f>
        <v>167.79999999999981</v>
      </c>
      <c r="BZ72" s="14">
        <f>BY72*VLOOKUP('Données projet'!$B$12,Paramètres!$A$1:$I$89,3,0)*VLOOKUP('Données projet'!$B$12,Paramètres!$A$1:$I$89,5,0)</f>
        <v>112.56023999999989</v>
      </c>
      <c r="CA72" s="14">
        <f t="shared" si="93"/>
        <v>29.933386965592501</v>
      </c>
      <c r="CB72" s="22">
        <f t="shared" si="64"/>
        <v>248.17640029840672</v>
      </c>
      <c r="CC72" s="62">
        <f t="shared" si="65"/>
        <v>514.10656064847331</v>
      </c>
      <c r="CD72" s="62">
        <f ca="1">AVERAGE(OFFSET($CC$3,0,0,'Données projet'!$E$12+1,1))-AVERAGE(OFFSET($H$3,0,0,'Données projet'!$E$12+1,1))</f>
        <v>253.16238957399855</v>
      </c>
      <c r="CE72" s="62">
        <f t="shared" si="94"/>
        <v>138.00705940844708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0.99132312741789863</v>
      </c>
      <c r="CM72" s="23">
        <f>EXP(-LN(2)/2)*CM71+(1-EXP(-LN(2)/2))/(LN(2)/2)*CG72*CJ72*VLOOKUP('Données projet'!$B$12,Paramètres!$A$1:$I$89,3,0)*0.475*44/12</f>
        <v>3.1387070106982539E-5</v>
      </c>
      <c r="CN72" s="24">
        <f t="shared" si="66"/>
        <v>0.9913545144880056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173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172.9999999999998</v>
      </c>
      <c r="O73" s="14">
        <f>N73*VLOOKUP('Données projet'!$B$9,Paramètres!$A$1:$I$89,3,0)*VLOOKUP('Données projet'!$B$9,Paramètres!$A$1:$I$89,5,0)</f>
        <v>175.4219999999998</v>
      </c>
      <c r="P73" s="14">
        <f t="shared" si="87"/>
        <v>44.302143412304694</v>
      </c>
      <c r="Q73" s="22">
        <f t="shared" si="54"/>
        <v>382.68621644309695</v>
      </c>
      <c r="R73" s="62">
        <f t="shared" si="55"/>
        <v>649.09176058010644</v>
      </c>
      <c r="S73" s="62">
        <f ca="1">AVERAGE(OFFSET($R$3,0,0,'Données projet'!$E$9+1,1))-AVERAGE(OFFSET($H$3,0,0,'Données projet'!$E$9+1,1))</f>
        <v>345.67675698621832</v>
      </c>
      <c r="T73" s="62">
        <f t="shared" si="88"/>
        <v>178.72086185623849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14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150</v>
      </c>
      <c r="AG73" s="13">
        <f>VLOOKUP(A73,'Données projet'!$A$61:$I$81,9,0)</f>
        <v>2</v>
      </c>
      <c r="AH73" s="13">
        <f t="array" ref="AH73">INDEX(AG:AG,MIN(IF(ISNUMBER(AG73:AG269),ROW(AG73:AG269),"")))</f>
        <v>2</v>
      </c>
      <c r="AI73" s="14">
        <f>IF('Données projet'!$A$62&gt;35,AI72+AH73-AQ72,IF(A73&lt;'Données projet'!$A$62,$AF$205^A73,IF(A73='Données projet'!$A$62,'Données projet'!$B$62,AI72+AH73-AQ72)))</f>
        <v>149.99999999999991</v>
      </c>
      <c r="AJ73" s="14">
        <f>AI73*VLOOKUP('Données projet'!$B$10,Paramètres!$A$1:$I$89,3,0)*VLOOKUP('Données projet'!$B$10,Paramètres!$A$1:$I$89,5,0)</f>
        <v>131.03999999999994</v>
      </c>
      <c r="AK73" s="14">
        <f t="shared" si="89"/>
        <v>34.236561238949889</v>
      </c>
      <c r="AL73" s="22">
        <f t="shared" si="58"/>
        <v>287.85667749117096</v>
      </c>
      <c r="AM73" s="62">
        <f t="shared" si="59"/>
        <v>554.26222162818044</v>
      </c>
      <c r="AN73" s="62">
        <f ca="1">AVERAGE(OFFSET($AM$3,0,0,'Données projet'!$E$10+1,1))-AVERAGE(OFFSET($H$3,0,0,'Données projet'!$E$10+1,1))</f>
        <v>219.21539650048186</v>
      </c>
      <c r="AO73" s="62">
        <f t="shared" si="90"/>
        <v>204.10961748628708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1.7921782257882695</v>
      </c>
      <c r="AW73" s="23">
        <f>EXP(-LN(2)/2)*AW72+(1-EXP(-LN(2)/2))/(LN(2)/2)*AQ73*AT73*VLOOKUP('Données projet'!$B$10,Paramètres!$A$1:$I$89,3,0)*0.475*44/12</f>
        <v>6.9380732502998631E-6</v>
      </c>
      <c r="AX73" s="23">
        <f t="shared" si="60"/>
        <v>1.7921851638615198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173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172.9999999999998</v>
      </c>
      <c r="BE73" s="14">
        <f>BD73*VLOOKUP('Données projet'!$B$11,Paramètres!$A$1:$I$89,3,0)*VLOOKUP('Données projet'!$B$11,Paramètres!$A$1:$I$89,5,0)</f>
        <v>172.72319999999979</v>
      </c>
      <c r="BF73" s="14">
        <f t="shared" si="91"/>
        <v>43.699364544602666</v>
      </c>
      <c r="BG73" s="22">
        <f t="shared" si="61"/>
        <v>376.93596658184924</v>
      </c>
      <c r="BH73" s="62">
        <f t="shared" si="62"/>
        <v>643.34151071885867</v>
      </c>
      <c r="BI73" s="62">
        <f ca="1">AVERAGE(OFFSET($BH$3,0,0,'Données projet'!$E$11+1,1))-AVERAGE(OFFSET($H$3,0,0,'Données projet'!$E$11+1,1))</f>
        <v>341.48836779133632</v>
      </c>
      <c r="BJ73" s="62">
        <f t="shared" si="92"/>
        <v>176.87842498964287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1.1643355101793067</v>
      </c>
      <c r="BR73" s="23">
        <f>EXP(-LN(2)/2)*BR72+(1-EXP(-LN(2)/2))/(LN(2)/2)*BL73*BO73*VLOOKUP('Données projet'!$B$11,Paramètres!$A$1:$I$89,3,0)*0.475*44/12</f>
        <v>3.3032945286288269E-5</v>
      </c>
      <c r="BS73" s="24">
        <f t="shared" si="63"/>
        <v>1.1643685431245929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173</v>
      </c>
      <c r="BW73" s="13">
        <f>VLOOKUP(A73,'Données projet'!$A$113:$I$133,9,0)</f>
        <v>5.2</v>
      </c>
      <c r="BX73" s="13">
        <f t="array" ref="BX73">INDEX(BW:BW,MIN(IF(ISNUMBER(BW73:BW269),ROW(BW73:BW269),"")))</f>
        <v>5.2</v>
      </c>
      <c r="BY73" s="13">
        <f>IF('Données projet'!$A$114&gt;35,BY72+BX73-CG72,IF(A73&lt;'Données projet'!$A$114,$BV$205^A73,IF(A73='Données projet'!$A$114,'Données projet'!$B$114,BY72+BX73-CG72)))</f>
        <v>172.9999999999998</v>
      </c>
      <c r="BZ73" s="14">
        <f>BY73*VLOOKUP('Données projet'!$B$12,Paramètres!$A$1:$I$89,3,0)*VLOOKUP('Données projet'!$B$12,Paramètres!$A$1:$I$89,5,0)</f>
        <v>116.04839999999987</v>
      </c>
      <c r="CA73" s="14">
        <f t="shared" si="93"/>
        <v>30.751565097980826</v>
      </c>
      <c r="CB73" s="22">
        <f t="shared" si="64"/>
        <v>255.67660587898308</v>
      </c>
      <c r="CC73" s="62">
        <f t="shared" si="65"/>
        <v>522.08215001599251</v>
      </c>
      <c r="CD73" s="62">
        <f ca="1">AVERAGE(OFFSET($CC$3,0,0,'Données projet'!$E$12+1,1))-AVERAGE(OFFSET($H$3,0,0,'Données projet'!$E$12+1,1))</f>
        <v>253.16238957399855</v>
      </c>
      <c r="CE73" s="62">
        <f t="shared" si="94"/>
        <v>138.00705940844708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14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0.96421534436723866</v>
      </c>
      <c r="CM73" s="23">
        <f>EXP(-LN(2)/2)*CM72+(1-EXP(-LN(2)/2))/(LN(2)/2)*CG73*CJ73*VLOOKUP('Données projet'!$B$12,Paramètres!$A$1:$I$89,3,0)*0.475*44/12</f>
        <v>2.2194010114224929E-5</v>
      </c>
      <c r="CN73" s="24">
        <f t="shared" si="66"/>
        <v>0.96423753837735293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4.8</v>
      </c>
      <c r="N74" s="14">
        <f>IF('Données projet'!$A$36&gt;35,N73+M74-V73,IF(A74&lt;'Données projet'!$A$36,$K$205^A74,IF(A74='Données projet'!$A$36,'Données projet'!$B$36,N73+M74-V73)))</f>
        <v>163.79999999999981</v>
      </c>
      <c r="O74" s="14">
        <f>N74*VLOOKUP('Données projet'!$B$9,Paramètres!$A$1:$I$89,3,0)*VLOOKUP('Données projet'!$B$9,Paramètres!$A$1:$I$89,5,0)</f>
        <v>166.09319999999983</v>
      </c>
      <c r="P74" s="14">
        <f t="shared" si="87"/>
        <v>42.213849908165869</v>
      </c>
      <c r="Q74" s="22">
        <f t="shared" si="54"/>
        <v>362.80144525672193</v>
      </c>
      <c r="R74" s="62">
        <f t="shared" si="55"/>
        <v>629.67412633476988</v>
      </c>
      <c r="S74" s="62">
        <f ca="1">AVERAGE(OFFSET($R$3,0,0,'Données projet'!$E$9+1,1))-AVERAGE(OFFSET($H$3,0,0,'Données projet'!$E$9+1,1))</f>
        <v>345.67675698621832</v>
      </c>
      <c r="T74" s="62">
        <f t="shared" si="88"/>
        <v>178.72086185623849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</v>
      </c>
      <c r="AI74" s="14">
        <f>IF('Données projet'!$A$62&gt;35,AI73+AH74-AQ73,IF(A74&lt;'Données projet'!$A$62,$AF$205^A74,IF(A74='Données projet'!$A$62,'Données projet'!$B$62,AI73+AH74-AQ73)))</f>
        <v>146.99999999999991</v>
      </c>
      <c r="AJ74" s="14">
        <f>AI74*VLOOKUP('Données projet'!$B$10,Paramètres!$A$1:$I$89,3,0)*VLOOKUP('Données projet'!$B$10,Paramètres!$A$1:$I$89,5,0)</f>
        <v>128.41919999999996</v>
      </c>
      <c r="AK74" s="14">
        <f t="shared" si="89"/>
        <v>33.630823177860727</v>
      </c>
      <c r="AL74" s="22">
        <f t="shared" si="58"/>
        <v>282.23712370144068</v>
      </c>
      <c r="AM74" s="62">
        <f t="shared" si="59"/>
        <v>549.10980477948863</v>
      </c>
      <c r="AN74" s="62">
        <f ca="1">AVERAGE(OFFSET($AM$3,0,0,'Données projet'!$E$10+1,1))-AVERAGE(OFFSET($H$3,0,0,'Données projet'!$E$10+1,1))</f>
        <v>219.21539650048186</v>
      </c>
      <c r="AO74" s="62">
        <f t="shared" si="90"/>
        <v>204.10961748628708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1.7431710179575324</v>
      </c>
      <c r="AW74" s="23">
        <f>EXP(-LN(2)/2)*AW73+(1-EXP(-LN(2)/2))/(LN(2)/2)*AQ74*AT74*VLOOKUP('Données projet'!$B$10,Paramètres!$A$1:$I$89,3,0)*0.475*44/12</f>
        <v>4.9059586436560238E-6</v>
      </c>
      <c r="AX74" s="23">
        <f t="shared" si="60"/>
        <v>1.7431759239161759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163.79999999999981</v>
      </c>
      <c r="BE74" s="14">
        <f>BD74*VLOOKUP('Données projet'!$B$11,Paramètres!$A$1:$I$89,3,0)*VLOOKUP('Données projet'!$B$11,Paramètres!$A$1:$I$89,5,0)</f>
        <v>163.53791999999981</v>
      </c>
      <c r="BF74" s="14">
        <f t="shared" si="91"/>
        <v>41.639484545926564</v>
      </c>
      <c r="BG74" s="22">
        <f t="shared" si="61"/>
        <v>357.35064625082174</v>
      </c>
      <c r="BH74" s="62">
        <f t="shared" si="62"/>
        <v>624.22332732886969</v>
      </c>
      <c r="BI74" s="62">
        <f ca="1">AVERAGE(OFFSET($BH$3,0,0,'Données projet'!$E$11+1,1))-AVERAGE(OFFSET($H$3,0,0,'Données projet'!$E$11+1,1))</f>
        <v>341.48836779133632</v>
      </c>
      <c r="BJ74" s="62">
        <f t="shared" si="92"/>
        <v>176.87842498964287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1.1324966944237103</v>
      </c>
      <c r="BR74" s="23">
        <f>EXP(-LN(2)/2)*BR73+(1-EXP(-LN(2)/2))/(LN(2)/2)*BL74*BO74*VLOOKUP('Données projet'!$B$11,Paramètres!$A$1:$I$89,3,0)*0.475*44/12</f>
        <v>2.3357819614498636E-5</v>
      </c>
      <c r="BS74" s="24">
        <f t="shared" si="63"/>
        <v>1.1325200522433247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4.8</v>
      </c>
      <c r="BY74" s="13">
        <f>IF('Données projet'!$A$114&gt;35,BY73+BX74-CG73,IF(A74&lt;'Données projet'!$A$114,$BV$205^A74,IF(A74='Données projet'!$A$114,'Données projet'!$B$114,BY73+BX74-CG73)))</f>
        <v>163.79999999999981</v>
      </c>
      <c r="BZ74" s="14">
        <f>BY74*VLOOKUP('Données projet'!$B$12,Paramètres!$A$1:$I$89,3,0)*VLOOKUP('Données projet'!$B$12,Paramètres!$A$1:$I$89,5,0)</f>
        <v>109.87703999999987</v>
      </c>
      <c r="CA74" s="14">
        <f t="shared" si="93"/>
        <v>29.302012351998354</v>
      </c>
      <c r="CB74" s="22">
        <f t="shared" si="64"/>
        <v>242.40351617973022</v>
      </c>
      <c r="CC74" s="62">
        <f t="shared" si="65"/>
        <v>509.27619725777816</v>
      </c>
      <c r="CD74" s="62">
        <f ca="1">AVERAGE(OFFSET($CC$3,0,0,'Données projet'!$E$12+1,1))-AVERAGE(OFFSET($H$3,0,0,'Données projet'!$E$12+1,1))</f>
        <v>253.16238957399855</v>
      </c>
      <c r="CE74" s="62">
        <f t="shared" si="94"/>
        <v>138.00705940844708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0.93784882506963529</v>
      </c>
      <c r="CM74" s="23">
        <f>EXP(-LN(2)/2)*CM73+(1-EXP(-LN(2)/2))/(LN(2)/2)*CG74*CJ74*VLOOKUP('Données projet'!$B$12,Paramètres!$A$1:$I$89,3,0)*0.475*44/12</f>
        <v>1.569353505349127E-5</v>
      </c>
      <c r="CN74" s="24">
        <f t="shared" si="66"/>
        <v>0.93786451860468878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4.8</v>
      </c>
      <c r="N75" s="14">
        <f>IF('Données projet'!$A$36&gt;35,N74+M75-V74,IF(A75&lt;'Données projet'!$A$36,$K$205^A75,IF(A75='Données projet'!$A$36,'Données projet'!$B$36,N74+M75-V74)))</f>
        <v>168.59999999999982</v>
      </c>
      <c r="O75" s="14">
        <f>N75*VLOOKUP('Données projet'!$B$9,Paramètres!$A$1:$I$89,3,0)*VLOOKUP('Données projet'!$B$9,Paramètres!$A$1:$I$89,5,0)</f>
        <v>170.96039999999982</v>
      </c>
      <c r="P75" s="14">
        <f t="shared" si="87"/>
        <v>43.305050662028606</v>
      </c>
      <c r="Q75" s="22">
        <f t="shared" si="54"/>
        <v>373.17899323636624</v>
      </c>
      <c r="R75" s="62">
        <f t="shared" si="55"/>
        <v>640.51070747388735</v>
      </c>
      <c r="S75" s="62">
        <f ca="1">AVERAGE(OFFSET($R$3,0,0,'Données projet'!$E$9+1,1))-AVERAGE(OFFSET($H$3,0,0,'Données projet'!$E$9+1,1))</f>
        <v>345.67675698621832</v>
      </c>
      <c r="T75" s="62">
        <f t="shared" si="88"/>
        <v>178.72086185623849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</v>
      </c>
      <c r="AI75" s="14">
        <f>IF('Données projet'!$A$62&gt;35,AI74+AH75-AQ74,IF(A75&lt;'Données projet'!$A$62,$AF$205^A75,IF(A75='Données projet'!$A$62,'Données projet'!$B$62,AI74+AH75-AQ74)))</f>
        <v>148.99999999999991</v>
      </c>
      <c r="AJ75" s="14">
        <f>AI75*VLOOKUP('Données projet'!$B$10,Paramètres!$A$1:$I$89,3,0)*VLOOKUP('Données projet'!$B$10,Paramètres!$A$1:$I$89,5,0)</f>
        <v>130.16639999999992</v>
      </c>
      <c r="AK75" s="14">
        <f t="shared" si="89"/>
        <v>34.034806623706274</v>
      </c>
      <c r="AL75" s="22">
        <f t="shared" si="58"/>
        <v>285.98376820295493</v>
      </c>
      <c r="AM75" s="62">
        <f t="shared" si="59"/>
        <v>553.31548244047599</v>
      </c>
      <c r="AN75" s="62">
        <f ca="1">AVERAGE(OFFSET($AM$3,0,0,'Données projet'!$E$10+1,1))-AVERAGE(OFFSET($H$3,0,0,'Données projet'!$E$10+1,1))</f>
        <v>219.21539650048186</v>
      </c>
      <c r="AO75" s="62">
        <f t="shared" si="90"/>
        <v>204.10961748628708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1.6955039148021038</v>
      </c>
      <c r="AW75" s="23">
        <f>EXP(-LN(2)/2)*AW74+(1-EXP(-LN(2)/2))/(LN(2)/2)*AQ75*AT75*VLOOKUP('Données projet'!$B$10,Paramètres!$A$1:$I$89,3,0)*0.475*44/12</f>
        <v>3.4690366251499315E-6</v>
      </c>
      <c r="AX75" s="23">
        <f t="shared" si="60"/>
        <v>1.6955073838387289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168.59999999999982</v>
      </c>
      <c r="BE75" s="14">
        <f>BD75*VLOOKUP('Données projet'!$B$11,Paramètres!$A$1:$I$89,3,0)*VLOOKUP('Données projet'!$B$11,Paramètres!$A$1:$I$89,5,0)</f>
        <v>168.33023999999983</v>
      </c>
      <c r="BF75" s="14">
        <f t="shared" si="91"/>
        <v>42.715838326162554</v>
      </c>
      <c r="BG75" s="22">
        <f t="shared" si="61"/>
        <v>367.57191975139949</v>
      </c>
      <c r="BH75" s="62">
        <f t="shared" si="62"/>
        <v>634.90363398892055</v>
      </c>
      <c r="BI75" s="62">
        <f ca="1">AVERAGE(OFFSET($BH$3,0,0,'Données projet'!$E$11+1,1))-AVERAGE(OFFSET($H$3,0,0,'Données projet'!$E$11+1,1))</f>
        <v>341.48836779133632</v>
      </c>
      <c r="BJ75" s="62">
        <f t="shared" si="92"/>
        <v>176.87842498964287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1.1015285127592811</v>
      </c>
      <c r="BR75" s="23">
        <f>EXP(-LN(2)/2)*BR74+(1-EXP(-LN(2)/2))/(LN(2)/2)*BL75*BO75*VLOOKUP('Données projet'!$B$11,Paramètres!$A$1:$I$89,3,0)*0.475*44/12</f>
        <v>1.6516472643144135E-5</v>
      </c>
      <c r="BS75" s="24">
        <f t="shared" si="63"/>
        <v>1.1015450292319242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4.8</v>
      </c>
      <c r="BY75" s="13">
        <f>IF('Données projet'!$A$114&gt;35,BY74+BX75-CG74,IF(A75&lt;'Données projet'!$A$114,$BV$205^A75,IF(A75='Données projet'!$A$114,'Données projet'!$B$114,BY74+BX75-CG74)))</f>
        <v>168.59999999999982</v>
      </c>
      <c r="BZ75" s="14">
        <f>BY75*VLOOKUP('Données projet'!$B$12,Paramètres!$A$1:$I$89,3,0)*VLOOKUP('Données projet'!$B$12,Paramètres!$A$1:$I$89,5,0)</f>
        <v>113.09687999999989</v>
      </c>
      <c r="CA75" s="14">
        <f t="shared" si="93"/>
        <v>30.059450444893326</v>
      </c>
      <c r="CB75" s="22">
        <f t="shared" si="64"/>
        <v>249.33060885818895</v>
      </c>
      <c r="CC75" s="62">
        <f t="shared" si="65"/>
        <v>516.66232309571001</v>
      </c>
      <c r="CD75" s="62">
        <f ca="1">AVERAGE(OFFSET($CC$3,0,0,'Données projet'!$E$12+1,1))-AVERAGE(OFFSET($H$3,0,0,'Données projet'!$E$12+1,1))</f>
        <v>253.16238957399855</v>
      </c>
      <c r="CE75" s="62">
        <f t="shared" si="94"/>
        <v>138.00705940844708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0.91220329962877988</v>
      </c>
      <c r="CM75" s="23">
        <f>EXP(-LN(2)/2)*CM74+(1-EXP(-LN(2)/2))/(LN(2)/2)*CG75*CJ75*VLOOKUP('Données projet'!$B$12,Paramètres!$A$1:$I$89,3,0)*0.475*44/12</f>
        <v>1.1097005057112465E-5</v>
      </c>
      <c r="CN75" s="24">
        <f t="shared" si="66"/>
        <v>0.91221439663383697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4.8</v>
      </c>
      <c r="N76" s="14">
        <f>IF('Données projet'!$A$36&gt;35,N75+M76-V75,IF(A76&lt;'Données projet'!$A$36,$K$205^A76,IF(A76='Données projet'!$A$36,'Données projet'!$B$36,N75+M76-V75)))</f>
        <v>173.39999999999984</v>
      </c>
      <c r="O76" s="14">
        <f>N76*VLOOKUP('Données projet'!$B$9,Paramètres!$A$1:$I$89,3,0)*VLOOKUP('Données projet'!$B$9,Paramètres!$A$1:$I$89,5,0)</f>
        <v>175.82759999999985</v>
      </c>
      <c r="P76" s="14">
        <f t="shared" si="87"/>
        <v>44.392640778295565</v>
      </c>
      <c r="Q76" s="22">
        <f t="shared" si="54"/>
        <v>383.55025268886453</v>
      </c>
      <c r="R76" s="62">
        <f t="shared" si="55"/>
        <v>651.33303688678632</v>
      </c>
      <c r="S76" s="62">
        <f ca="1">AVERAGE(OFFSET($R$3,0,0,'Données projet'!$E$9+1,1))-AVERAGE(OFFSET($H$3,0,0,'Données projet'!$E$9+1,1))</f>
        <v>345.67675698621832</v>
      </c>
      <c r="T76" s="62">
        <f t="shared" si="88"/>
        <v>178.72086185623849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</v>
      </c>
      <c r="AI76" s="14">
        <f>IF('Données projet'!$A$62&gt;35,AI75+AH76-AQ75,IF(A76&lt;'Données projet'!$A$62,$AF$205^A76,IF(A76='Données projet'!$A$62,'Données projet'!$B$62,AI75+AH76-AQ75)))</f>
        <v>150.99999999999991</v>
      </c>
      <c r="AJ76" s="14">
        <f>AI76*VLOOKUP('Données projet'!$B$10,Paramètres!$A$1:$I$89,3,0)*VLOOKUP('Données projet'!$B$10,Paramètres!$A$1:$I$89,5,0)</f>
        <v>131.91359999999995</v>
      </c>
      <c r="AK76" s="14">
        <f t="shared" si="89"/>
        <v>34.438159352115974</v>
      </c>
      <c r="AL76" s="22">
        <f t="shared" si="58"/>
        <v>289.72931420493518</v>
      </c>
      <c r="AM76" s="62">
        <f t="shared" si="59"/>
        <v>557.51209840285696</v>
      </c>
      <c r="AN76" s="62">
        <f ca="1">AVERAGE(OFFSET($AM$3,0,0,'Données projet'!$E$10+1,1))-AVERAGE(OFFSET($H$3,0,0,'Données projet'!$E$10+1,1))</f>
        <v>219.21539650048186</v>
      </c>
      <c r="AO76" s="62">
        <f t="shared" si="90"/>
        <v>204.10961748628708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1.6491402710891645</v>
      </c>
      <c r="AW76" s="23">
        <f>EXP(-LN(2)/2)*AW75+(1-EXP(-LN(2)/2))/(LN(2)/2)*AQ76*AT76*VLOOKUP('Données projet'!$B$10,Paramètres!$A$1:$I$89,3,0)*0.475*44/12</f>
        <v>2.4529793218280119E-6</v>
      </c>
      <c r="AX76" s="23">
        <f t="shared" si="60"/>
        <v>1.6491427240684864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173.39999999999984</v>
      </c>
      <c r="BE76" s="14">
        <f>BD76*VLOOKUP('Données projet'!$B$11,Paramètres!$A$1:$I$89,3,0)*VLOOKUP('Données projet'!$B$11,Paramètres!$A$1:$I$89,5,0)</f>
        <v>173.12255999999985</v>
      </c>
      <c r="BF76" s="14">
        <f t="shared" si="91"/>
        <v>43.788630595456191</v>
      </c>
      <c r="BG76" s="22">
        <f t="shared" si="61"/>
        <v>377.78699028708593</v>
      </c>
      <c r="BH76" s="62">
        <f t="shared" si="62"/>
        <v>645.56977448500766</v>
      </c>
      <c r="BI76" s="62">
        <f ca="1">AVERAGE(OFFSET($BH$3,0,0,'Données projet'!$E$11+1,1))-AVERAGE(OFFSET($H$3,0,0,'Données projet'!$E$11+1,1))</f>
        <v>341.48836779133632</v>
      </c>
      <c r="BJ76" s="62">
        <f t="shared" si="92"/>
        <v>176.87842498964287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1.0714071576510116</v>
      </c>
      <c r="BR76" s="23">
        <f>EXP(-LN(2)/2)*BR75+(1-EXP(-LN(2)/2))/(LN(2)/2)*BL76*BO76*VLOOKUP('Données projet'!$B$11,Paramètres!$A$1:$I$89,3,0)*0.475*44/12</f>
        <v>1.1678909807249318E-5</v>
      </c>
      <c r="BS76" s="24">
        <f t="shared" si="63"/>
        <v>1.0714188365608188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</v>
      </c>
      <c r="BY76" s="13">
        <f>IF('Données projet'!$A$114&gt;35,BY75+BX76-CG75,IF(A76&lt;'Données projet'!$A$114,$BV$205^A76,IF(A76='Données projet'!$A$114,'Données projet'!$B$114,BY75+BX76-CG75)))</f>
        <v>173.39999999999984</v>
      </c>
      <c r="BZ76" s="14">
        <f>BY76*VLOOKUP('Données projet'!$B$12,Paramètres!$A$1:$I$89,3,0)*VLOOKUP('Données projet'!$B$12,Paramètres!$A$1:$I$89,5,0)</f>
        <v>116.31671999999989</v>
      </c>
      <c r="CA76" s="14">
        <f t="shared" si="93"/>
        <v>30.814382276273175</v>
      </c>
      <c r="CB76" s="22">
        <f t="shared" si="64"/>
        <v>256.25333646450889</v>
      </c>
      <c r="CC76" s="62">
        <f t="shared" si="65"/>
        <v>524.03612066243068</v>
      </c>
      <c r="CD76" s="62">
        <f ca="1">AVERAGE(OFFSET($CC$3,0,0,'Données projet'!$E$12+1,1))-AVERAGE(OFFSET($H$3,0,0,'Données projet'!$E$12+1,1))</f>
        <v>253.16238957399855</v>
      </c>
      <c r="CE76" s="62">
        <f t="shared" si="94"/>
        <v>138.00705940844708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0.88725905242974423</v>
      </c>
      <c r="CM76" s="23">
        <f>EXP(-LN(2)/2)*CM75+(1-EXP(-LN(2)/2))/(LN(2)/2)*CG76*CJ76*VLOOKUP('Données projet'!$B$12,Paramètres!$A$1:$I$89,3,0)*0.475*44/12</f>
        <v>7.8467675267456348E-6</v>
      </c>
      <c r="CN76" s="24">
        <f t="shared" si="66"/>
        <v>0.88726689919727098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4.8</v>
      </c>
      <c r="N77" s="14">
        <f>IF('Données projet'!$A$36&gt;35,N76+M77-V76,IF(A77&lt;'Données projet'!$A$36,$K$205^A77,IF(A77='Données projet'!$A$36,'Données projet'!$B$36,N76+M77-V76)))</f>
        <v>178.19999999999985</v>
      </c>
      <c r="O77" s="14">
        <f>N77*VLOOKUP('Données projet'!$B$9,Paramètres!$A$1:$I$89,3,0)*VLOOKUP('Données projet'!$B$9,Paramètres!$A$1:$I$89,5,0)</f>
        <v>180.69479999999984</v>
      </c>
      <c r="P77" s="14">
        <f t="shared" si="87"/>
        <v>45.476731688663754</v>
      </c>
      <c r="Q77" s="22">
        <f t="shared" si="54"/>
        <v>393.91541769108909</v>
      </c>
      <c r="R77" s="62">
        <f t="shared" si="55"/>
        <v>662.14144679403989</v>
      </c>
      <c r="S77" s="62">
        <f ca="1">AVERAGE(OFFSET($R$3,0,0,'Données projet'!$E$9+1,1))-AVERAGE(OFFSET($H$3,0,0,'Données projet'!$E$9+1,1))</f>
        <v>345.67675698621832</v>
      </c>
      <c r="T77" s="62">
        <f t="shared" si="88"/>
        <v>178.72086185623849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</v>
      </c>
      <c r="AI77" s="14">
        <f>IF('Données projet'!$A$62&gt;35,AI76+AH77-AQ76,IF(A77&lt;'Données projet'!$A$62,$AF$205^A77,IF(A77='Données projet'!$A$62,'Données projet'!$B$62,AI76+AH77-AQ76)))</f>
        <v>152.99999999999991</v>
      </c>
      <c r="AJ77" s="14">
        <f>AI77*VLOOKUP('Données projet'!$B$10,Paramètres!$A$1:$I$89,3,0)*VLOOKUP('Données projet'!$B$10,Paramètres!$A$1:$I$89,5,0)</f>
        <v>133.66079999999994</v>
      </c>
      <c r="AK77" s="14">
        <f t="shared" si="89"/>
        <v>34.840890682716719</v>
      </c>
      <c r="AL77" s="22">
        <f t="shared" si="58"/>
        <v>293.47377793906486</v>
      </c>
      <c r="AM77" s="62">
        <f t="shared" si="59"/>
        <v>561.69980704201566</v>
      </c>
      <c r="AN77" s="62">
        <f ca="1">AVERAGE(OFFSET($AM$3,0,0,'Données projet'!$E$10+1,1))-AVERAGE(OFFSET($H$3,0,0,'Données projet'!$E$10+1,1))</f>
        <v>219.21539650048186</v>
      </c>
      <c r="AO77" s="62">
        <f t="shared" si="90"/>
        <v>204.10961748628708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1.6040444436517136</v>
      </c>
      <c r="AW77" s="23">
        <f>EXP(-LN(2)/2)*AW76+(1-EXP(-LN(2)/2))/(LN(2)/2)*AQ77*AT77*VLOOKUP('Données projet'!$B$10,Paramètres!$A$1:$I$89,3,0)*0.475*44/12</f>
        <v>1.7345183125749658E-6</v>
      </c>
      <c r="AX77" s="23">
        <f t="shared" si="60"/>
        <v>1.6040461781700261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178.19999999999985</v>
      </c>
      <c r="BE77" s="14">
        <f>BD77*VLOOKUP('Données projet'!$B$11,Paramètres!$A$1:$I$89,3,0)*VLOOKUP('Données projet'!$B$11,Paramètres!$A$1:$I$89,5,0)</f>
        <v>177.91487999999984</v>
      </c>
      <c r="BF77" s="14">
        <f t="shared" si="91"/>
        <v>44.857971269354827</v>
      </c>
      <c r="BG77" s="22">
        <f t="shared" si="61"/>
        <v>387.99604929412607</v>
      </c>
      <c r="BH77" s="62">
        <f t="shared" si="62"/>
        <v>656.22207839707698</v>
      </c>
      <c r="BI77" s="62">
        <f ca="1">AVERAGE(OFFSET($BH$3,0,0,'Données projet'!$E$11+1,1))-AVERAGE(OFFSET($H$3,0,0,'Données projet'!$E$11+1,1))</f>
        <v>341.48836779133632</v>
      </c>
      <c r="BJ77" s="62">
        <f t="shared" si="92"/>
        <v>176.87842498964287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1.0421094725821909</v>
      </c>
      <c r="BR77" s="23">
        <f>EXP(-LN(2)/2)*BR76+(1-EXP(-LN(2)/2))/(LN(2)/2)*BL77*BO77*VLOOKUP('Données projet'!$B$11,Paramètres!$A$1:$I$89,3,0)*0.475*44/12</f>
        <v>8.2582363215720673E-6</v>
      </c>
      <c r="BS77" s="24">
        <f t="shared" si="63"/>
        <v>1.0421177308185126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</v>
      </c>
      <c r="BY77" s="13">
        <f>IF('Données projet'!$A$114&gt;35,BY76+BX77-CG76,IF(A77&lt;'Données projet'!$A$114,$BV$205^A77,IF(A77='Données projet'!$A$114,'Données projet'!$B$114,BY76+BX77-CG76)))</f>
        <v>178.19999999999985</v>
      </c>
      <c r="BZ77" s="14">
        <f>BY77*VLOOKUP('Données projet'!$B$12,Paramètres!$A$1:$I$89,3,0)*VLOOKUP('Données projet'!$B$12,Paramètres!$A$1:$I$89,5,0)</f>
        <v>119.53655999999989</v>
      </c>
      <c r="CA77" s="14">
        <f t="shared" si="93"/>
        <v>31.566885194519251</v>
      </c>
      <c r="CB77" s="22">
        <f t="shared" si="64"/>
        <v>263.17183371378752</v>
      </c>
      <c r="CC77" s="62">
        <f t="shared" si="65"/>
        <v>531.39786281673832</v>
      </c>
      <c r="CD77" s="62">
        <f ca="1">AVERAGE(OFFSET($CC$3,0,0,'Données projet'!$E$12+1,1))-AVERAGE(OFFSET($H$3,0,0,'Données projet'!$E$12+1,1))</f>
        <v>253.16238957399855</v>
      </c>
      <c r="CE77" s="62">
        <f t="shared" si="94"/>
        <v>138.00705940844708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0.86299690698212717</v>
      </c>
      <c r="CM77" s="23">
        <f>EXP(-LN(2)/2)*CM76+(1-EXP(-LN(2)/2))/(LN(2)/2)*CG77*CJ77*VLOOKUP('Données projet'!$B$12,Paramètres!$A$1:$I$89,3,0)*0.475*44/12</f>
        <v>5.5485025285562323E-6</v>
      </c>
      <c r="CN77" s="24">
        <f t="shared" si="66"/>
        <v>0.86300245548465571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183</v>
      </c>
      <c r="L78" s="13">
        <f>VLOOKUP(A78,'Données projet'!$A$35:$I$55,9,0)</f>
        <v>4.8</v>
      </c>
      <c r="M78" s="13">
        <f t="array" ref="M78">INDEX(L:L,MIN(IF(ISNUMBER(L78:L274),ROW(L78:L274),"")))</f>
        <v>4.8</v>
      </c>
      <c r="N78" s="14">
        <f>IF('Données projet'!$A$36&gt;35,N77+M78-V77,IF(A78&lt;'Données projet'!$A$36,$K$205^A78,IF(A78='Données projet'!$A$36,'Données projet'!$B$36,N77+M78-V77)))</f>
        <v>182.99999999999986</v>
      </c>
      <c r="O78" s="14">
        <f>N78*VLOOKUP('Données projet'!$B$9,Paramètres!$A$1:$I$89,3,0)*VLOOKUP('Données projet'!$B$9,Paramètres!$A$1:$I$89,5,0)</f>
        <v>185.56199999999987</v>
      </c>
      <c r="P78" s="14">
        <f t="shared" si="87"/>
        <v>46.557428480028548</v>
      </c>
      <c r="Q78" s="22">
        <f t="shared" si="54"/>
        <v>404.27467126938285</v>
      </c>
      <c r="R78" s="62">
        <f t="shared" si="55"/>
        <v>672.93625596920765</v>
      </c>
      <c r="S78" s="62">
        <f ca="1">AVERAGE(OFFSET($R$3,0,0,'Données projet'!$E$9+1,1))-AVERAGE(OFFSET($H$3,0,0,'Données projet'!$E$9+1,1))</f>
        <v>345.67675698621832</v>
      </c>
      <c r="T78" s="62">
        <f t="shared" si="88"/>
        <v>178.72086185623849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14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155</v>
      </c>
      <c r="AG78" s="13">
        <f>VLOOKUP(A78,'Données projet'!$A$61:$I$81,9,0)</f>
        <v>2</v>
      </c>
      <c r="AH78" s="13">
        <f t="array" ref="AH78">INDEX(AG:AG,MIN(IF(ISNUMBER(AG78:AG274),ROW(AG78:AG274),"")))</f>
        <v>2</v>
      </c>
      <c r="AI78" s="14">
        <f>IF('Données projet'!$A$62&gt;35,AI77+AH78-AQ77,IF(A78&lt;'Données projet'!$A$62,$AF$205^A78,IF(A78='Données projet'!$A$62,'Données projet'!$B$62,AI77+AH78-AQ77)))</f>
        <v>154.99999999999991</v>
      </c>
      <c r="AJ78" s="14">
        <f>AI78*VLOOKUP('Données projet'!$B$10,Paramètres!$A$1:$I$89,3,0)*VLOOKUP('Données projet'!$B$10,Paramètres!$A$1:$I$89,5,0)</f>
        <v>135.40799999999993</v>
      </c>
      <c r="AK78" s="14">
        <f t="shared" si="89"/>
        <v>35.243009677478732</v>
      </c>
      <c r="AL78" s="22">
        <f t="shared" si="58"/>
        <v>297.21717518827535</v>
      </c>
      <c r="AM78" s="62">
        <f t="shared" si="59"/>
        <v>565.87875988810015</v>
      </c>
      <c r="AN78" s="62">
        <f ca="1">AVERAGE(OFFSET($AM$3,0,0,'Données projet'!$E$10+1,1))-AVERAGE(OFFSET($H$3,0,0,'Données projet'!$E$10+1,1))</f>
        <v>219.21539650048186</v>
      </c>
      <c r="AO78" s="62">
        <f t="shared" si="90"/>
        <v>204.10961748628708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1.5601817639870263</v>
      </c>
      <c r="AW78" s="23">
        <f>EXP(-LN(2)/2)*AW77+(1-EXP(-LN(2)/2))/(LN(2)/2)*AQ78*AT78*VLOOKUP('Données projet'!$B$10,Paramètres!$A$1:$I$89,3,0)*0.475*44/12</f>
        <v>1.2264896609140059E-6</v>
      </c>
      <c r="AX78" s="23">
        <f t="shared" si="60"/>
        <v>1.5601829904766873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182.99999999999986</v>
      </c>
      <c r="BE78" s="14">
        <f>BD78*VLOOKUP('Données projet'!$B$11,Paramètres!$A$1:$I$89,3,0)*VLOOKUP('Données projet'!$B$11,Paramètres!$A$1:$I$89,5,0)</f>
        <v>182.70719999999986</v>
      </c>
      <c r="BF78" s="14">
        <f t="shared" si="91"/>
        <v>45.923964004932401</v>
      </c>
      <c r="BG78" s="22">
        <f t="shared" si="61"/>
        <v>398.19927730859035</v>
      </c>
      <c r="BH78" s="62">
        <f t="shared" si="62"/>
        <v>666.8608620084151</v>
      </c>
      <c r="BI78" s="62">
        <f ca="1">AVERAGE(OFFSET($BH$3,0,0,'Données projet'!$E$11+1,1))-AVERAGE(OFFSET($H$3,0,0,'Données projet'!$E$11+1,1))</f>
        <v>341.48836779133632</v>
      </c>
      <c r="BJ78" s="62">
        <f t="shared" si="92"/>
        <v>176.87842498964287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1.0136129342522755</v>
      </c>
      <c r="BR78" s="23">
        <f>EXP(-LN(2)/2)*BR77+(1-EXP(-LN(2)/2))/(LN(2)/2)*BL78*BO78*VLOOKUP('Données projet'!$B$11,Paramètres!$A$1:$I$89,3,0)*0.475*44/12</f>
        <v>5.839454903624659E-6</v>
      </c>
      <c r="BS78" s="24">
        <f t="shared" si="63"/>
        <v>1.0136187737071791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183</v>
      </c>
      <c r="BW78" s="13">
        <f>VLOOKUP(A78,'Données projet'!$A$113:$I$133,9,0)</f>
        <v>4.8</v>
      </c>
      <c r="BX78" s="13">
        <f t="array" ref="BX78">INDEX(BW:BW,MIN(IF(ISNUMBER(BW78:BW274),ROW(BW78:BW274),"")))</f>
        <v>4.8</v>
      </c>
      <c r="BY78" s="13">
        <f>IF('Données projet'!$A$114&gt;35,BY77+BX78-CG77,IF(A78&lt;'Données projet'!$A$114,$BV$205^A78,IF(A78='Données projet'!$A$114,'Données projet'!$B$114,BY77+BX78-CG77)))</f>
        <v>182.99999999999986</v>
      </c>
      <c r="BZ78" s="14">
        <f>BY78*VLOOKUP('Données projet'!$B$12,Paramètres!$A$1:$I$89,3,0)*VLOOKUP('Données projet'!$B$12,Paramètres!$A$1:$I$89,5,0)</f>
        <v>122.75639999999991</v>
      </c>
      <c r="CA78" s="14">
        <f t="shared" si="93"/>
        <v>32.31703214387889</v>
      </c>
      <c r="CB78" s="22">
        <f t="shared" si="64"/>
        <v>270.08622765058885</v>
      </c>
      <c r="CC78" s="62">
        <f t="shared" si="65"/>
        <v>538.7478123504136</v>
      </c>
      <c r="CD78" s="62">
        <f ca="1">AVERAGE(OFFSET($CC$3,0,0,'Données projet'!$E$12+1,1))-AVERAGE(OFFSET($H$3,0,0,'Données projet'!$E$12+1,1))</f>
        <v>253.16238957399855</v>
      </c>
      <c r="CE78" s="62">
        <f t="shared" si="94"/>
        <v>138.00705940844708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14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0.839398211177666</v>
      </c>
      <c r="CM78" s="23">
        <f>EXP(-LN(2)/2)*CM77+(1-EXP(-LN(2)/2))/(LN(2)/2)*CG78*CJ78*VLOOKUP('Données projet'!$B$12,Paramètres!$A$1:$I$89,3,0)*0.475*44/12</f>
        <v>3.9233837633728174E-6</v>
      </c>
      <c r="CN78" s="24">
        <f t="shared" si="66"/>
        <v>0.83940213456142942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4.5999999999999996</v>
      </c>
      <c r="N79" s="14">
        <f>IF('Données projet'!$A$36&gt;35,N78+M79-V78,IF(A79&lt;'Données projet'!$A$36,$K$205^A79,IF(A79='Données projet'!$A$36,'Données projet'!$B$36,N78+M79-V78)))</f>
        <v>173.59999999999985</v>
      </c>
      <c r="O79" s="14">
        <f>N79*VLOOKUP('Données projet'!$B$9,Paramètres!$A$1:$I$89,3,0)*VLOOKUP('Données projet'!$B$9,Paramètres!$A$1:$I$89,5,0)</f>
        <v>176.03039999999984</v>
      </c>
      <c r="P79" s="14">
        <f t="shared" si="87"/>
        <v>44.437880346232902</v>
      </c>
      <c r="Q79" s="22">
        <f t="shared" si="54"/>
        <v>383.98225493635533</v>
      </c>
      <c r="R79" s="62">
        <f t="shared" si="55"/>
        <v>653.07183931720476</v>
      </c>
      <c r="S79" s="62">
        <f ca="1">AVERAGE(OFFSET($R$3,0,0,'Données projet'!$E$9+1,1))-AVERAGE(OFFSET($H$3,0,0,'Données projet'!$E$9+1,1))</f>
        <v>345.67675698621832</v>
      </c>
      <c r="T79" s="62">
        <f t="shared" si="88"/>
        <v>178.72086185623849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1.6</v>
      </c>
      <c r="AI79" s="14">
        <f>IF('Données projet'!$A$62&gt;35,AI78+AH79-AQ78,IF(A79&lt;'Données projet'!$A$62,$AF$205^A79,IF(A79='Données projet'!$A$62,'Données projet'!$B$62,AI78+AH79-AQ78)))</f>
        <v>152.59999999999991</v>
      </c>
      <c r="AJ79" s="14">
        <f>AI79*VLOOKUP('Données projet'!$B$10,Paramètres!$A$1:$I$89,3,0)*VLOOKUP('Données projet'!$B$10,Paramètres!$A$1:$I$89,5,0)</f>
        <v>133.31135999999995</v>
      </c>
      <c r="AK79" s="14">
        <f t="shared" si="89"/>
        <v>34.760393689821598</v>
      </c>
      <c r="AL79" s="22">
        <f t="shared" si="58"/>
        <v>292.72497100977256</v>
      </c>
      <c r="AM79" s="62">
        <f t="shared" si="59"/>
        <v>561.81455539062199</v>
      </c>
      <c r="AN79" s="62">
        <f ca="1">AVERAGE(OFFSET($AM$3,0,0,'Données projet'!$E$10+1,1))-AVERAGE(OFFSET($H$3,0,0,'Données projet'!$E$10+1,1))</f>
        <v>219.21539650048186</v>
      </c>
      <c r="AO79" s="62">
        <f t="shared" si="90"/>
        <v>204.10961748628708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1.5175185116044081</v>
      </c>
      <c r="AW79" s="23">
        <f>EXP(-LN(2)/2)*AW78+(1-EXP(-LN(2)/2))/(LN(2)/2)*AQ79*AT79*VLOOKUP('Données projet'!$B$10,Paramètres!$A$1:$I$89,3,0)*0.475*44/12</f>
        <v>8.6725915628748288E-7</v>
      </c>
      <c r="AX79" s="23">
        <f t="shared" si="60"/>
        <v>1.5175193788635644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173.59999999999985</v>
      </c>
      <c r="BE79" s="14">
        <f>BD79*VLOOKUP('Données projet'!$B$11,Paramètres!$A$1:$I$89,3,0)*VLOOKUP('Données projet'!$B$11,Paramètres!$A$1:$I$89,5,0)</f>
        <v>173.32223999999988</v>
      </c>
      <c r="BF79" s="14">
        <f t="shared" si="91"/>
        <v>43.833254629845086</v>
      </c>
      <c r="BG79" s="22">
        <f t="shared" si="61"/>
        <v>378.2124864803132</v>
      </c>
      <c r="BH79" s="62">
        <f t="shared" si="62"/>
        <v>647.30207086116263</v>
      </c>
      <c r="BI79" s="62">
        <f ca="1">AVERAGE(OFFSET($BH$3,0,0,'Données projet'!$E$11+1,1))-AVERAGE(OFFSET($H$3,0,0,'Données projet'!$E$11+1,1))</f>
        <v>341.48836779133632</v>
      </c>
      <c r="BJ79" s="62">
        <f t="shared" si="92"/>
        <v>176.87842498964287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0.98589563526155943</v>
      </c>
      <c r="BR79" s="23">
        <f>EXP(-LN(2)/2)*BR78+(1-EXP(-LN(2)/2))/(LN(2)/2)*BL79*BO79*VLOOKUP('Données projet'!$B$11,Paramètres!$A$1:$I$89,3,0)*0.475*44/12</f>
        <v>4.1291181607860337E-6</v>
      </c>
      <c r="BS79" s="24">
        <f t="shared" si="63"/>
        <v>0.98589976437972027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4.5999999999999996</v>
      </c>
      <c r="BY79" s="13">
        <f>IF('Données projet'!$A$114&gt;35,BY78+BX79-CG78,IF(A79&lt;'Données projet'!$A$114,$BV$205^A79,IF(A79='Données projet'!$A$114,'Données projet'!$B$114,BY78+BX79-CG78)))</f>
        <v>173.59999999999985</v>
      </c>
      <c r="BZ79" s="14">
        <f>BY79*VLOOKUP('Données projet'!$B$12,Paramètres!$A$1:$I$89,3,0)*VLOOKUP('Données projet'!$B$12,Paramètres!$A$1:$I$89,5,0)</f>
        <v>116.45087999999991</v>
      </c>
      <c r="CA79" s="14">
        <f t="shared" si="93"/>
        <v>30.845784538359709</v>
      </c>
      <c r="CB79" s="22">
        <f t="shared" si="64"/>
        <v>256.54169073764297</v>
      </c>
      <c r="CC79" s="62">
        <f t="shared" si="65"/>
        <v>525.63127511849234</v>
      </c>
      <c r="CD79" s="62">
        <f ca="1">AVERAGE(OFFSET($CC$3,0,0,'Données projet'!$E$12+1,1))-AVERAGE(OFFSET($H$3,0,0,'Données projet'!$E$12+1,1))</f>
        <v>253.16238957399855</v>
      </c>
      <c r="CE79" s="62">
        <f t="shared" si="94"/>
        <v>138.00705940844708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0.81644482295097931</v>
      </c>
      <c r="CM79" s="23">
        <f>EXP(-LN(2)/2)*CM78+(1-EXP(-LN(2)/2))/(LN(2)/2)*CG79*CJ79*VLOOKUP('Données projet'!$B$12,Paramètres!$A$1:$I$89,3,0)*0.475*44/12</f>
        <v>2.7742512642781162E-6</v>
      </c>
      <c r="CN79" s="24">
        <f t="shared" si="66"/>
        <v>0.81644759720224358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4.5999999999999996</v>
      </c>
      <c r="N80" s="14">
        <f>IF('Données projet'!$A$36&gt;35,N79+M80-V79,IF(A80&lt;'Données projet'!$A$36,$K$205^A80,IF(A80='Données projet'!$A$36,'Données projet'!$B$36,N79+M80-V79)))</f>
        <v>178.19999999999985</v>
      </c>
      <c r="O80" s="14">
        <f>N80*VLOOKUP('Données projet'!$B$9,Paramètres!$A$1:$I$89,3,0)*VLOOKUP('Données projet'!$B$9,Paramètres!$A$1:$I$89,5,0)</f>
        <v>180.69479999999984</v>
      </c>
      <c r="P80" s="14">
        <f t="shared" si="87"/>
        <v>45.476731688663754</v>
      </c>
      <c r="Q80" s="22">
        <f t="shared" si="54"/>
        <v>393.91541769108909</v>
      </c>
      <c r="R80" s="62">
        <f t="shared" si="55"/>
        <v>663.42557691536138</v>
      </c>
      <c r="S80" s="62">
        <f ca="1">AVERAGE(OFFSET($R$3,0,0,'Données projet'!$E$9+1,1))-AVERAGE(OFFSET($H$3,0,0,'Données projet'!$E$9+1,1))</f>
        <v>345.67675698621832</v>
      </c>
      <c r="T80" s="62">
        <f t="shared" si="88"/>
        <v>178.72086185623849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1.6</v>
      </c>
      <c r="AI80" s="14">
        <f>IF('Données projet'!$A$62&gt;35,AI79+AH80-AQ79,IF(A80&lt;'Données projet'!$A$62,$AF$205^A80,IF(A80='Données projet'!$A$62,'Données projet'!$B$62,AI79+AH80-AQ79)))</f>
        <v>154.1999999999999</v>
      </c>
      <c r="AJ80" s="14">
        <f>AI80*VLOOKUP('Données projet'!$B$10,Paramètres!$A$1:$I$89,3,0)*VLOOKUP('Données projet'!$B$10,Paramètres!$A$1:$I$89,5,0)</f>
        <v>134.70911999999993</v>
      </c>
      <c r="AK80" s="14">
        <f t="shared" si="89"/>
        <v>35.082234990312983</v>
      </c>
      <c r="AL80" s="22">
        <f t="shared" si="58"/>
        <v>295.71994327479496</v>
      </c>
      <c r="AM80" s="62">
        <f t="shared" si="59"/>
        <v>565.23010249906724</v>
      </c>
      <c r="AN80" s="62">
        <f ca="1">AVERAGE(OFFSET($AM$3,0,0,'Données projet'!$E$10+1,1))-AVERAGE(OFFSET($H$3,0,0,'Données projet'!$E$10+1,1))</f>
        <v>219.21539650048186</v>
      </c>
      <c r="AO80" s="62">
        <f t="shared" si="90"/>
        <v>204.10961748628708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1.4760218881017553</v>
      </c>
      <c r="AW80" s="23">
        <f>EXP(-LN(2)/2)*AW79+(1-EXP(-LN(2)/2))/(LN(2)/2)*AQ80*AT80*VLOOKUP('Données projet'!$B$10,Paramètres!$A$1:$I$89,3,0)*0.475*44/12</f>
        <v>6.1324483045700297E-7</v>
      </c>
      <c r="AX80" s="23">
        <f t="shared" si="60"/>
        <v>1.4760225013465857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178.19999999999985</v>
      </c>
      <c r="BE80" s="14">
        <f>BD80*VLOOKUP('Données projet'!$B$11,Paramètres!$A$1:$I$89,3,0)*VLOOKUP('Données projet'!$B$11,Paramètres!$A$1:$I$89,5,0)</f>
        <v>177.91487999999984</v>
      </c>
      <c r="BF80" s="14">
        <f t="shared" si="91"/>
        <v>44.857971269354827</v>
      </c>
      <c r="BG80" s="22">
        <f t="shared" si="61"/>
        <v>387.99604929412607</v>
      </c>
      <c r="BH80" s="62">
        <f t="shared" si="62"/>
        <v>657.50620851839835</v>
      </c>
      <c r="BI80" s="62">
        <f ca="1">AVERAGE(OFFSET($BH$3,0,0,'Données projet'!$E$11+1,1))-AVERAGE(OFFSET($H$3,0,0,'Données projet'!$E$11+1,1))</f>
        <v>341.48836779133632</v>
      </c>
      <c r="BJ80" s="62">
        <f t="shared" si="92"/>
        <v>176.87842498964287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0.9589362672693339</v>
      </c>
      <c r="BR80" s="23">
        <f>EXP(-LN(2)/2)*BR79+(1-EXP(-LN(2)/2))/(LN(2)/2)*BL80*BO80*VLOOKUP('Données projet'!$B$11,Paramètres!$A$1:$I$89,3,0)*0.475*44/12</f>
        <v>2.9197274518123295E-6</v>
      </c>
      <c r="BS80" s="24">
        <f t="shared" si="63"/>
        <v>0.95893918699678571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4.5999999999999996</v>
      </c>
      <c r="BY80" s="13">
        <f>IF('Données projet'!$A$114&gt;35,BY79+BX80-CG79,IF(A80&lt;'Données projet'!$A$114,$BV$205^A80,IF(A80='Données projet'!$A$114,'Données projet'!$B$114,BY79+BX80-CG79)))</f>
        <v>178.19999999999985</v>
      </c>
      <c r="BZ80" s="14">
        <f>BY80*VLOOKUP('Données projet'!$B$12,Paramètres!$A$1:$I$89,3,0)*VLOOKUP('Données projet'!$B$12,Paramètres!$A$1:$I$89,5,0)</f>
        <v>119.53655999999989</v>
      </c>
      <c r="CA80" s="14">
        <f t="shared" si="93"/>
        <v>31.566885194519251</v>
      </c>
      <c r="CB80" s="22">
        <f t="shared" si="64"/>
        <v>263.17183371378752</v>
      </c>
      <c r="CC80" s="62">
        <f t="shared" si="65"/>
        <v>532.68199293805981</v>
      </c>
      <c r="CD80" s="62">
        <f ca="1">AVERAGE(OFFSET($CC$3,0,0,'Données projet'!$E$12+1,1))-AVERAGE(OFFSET($H$3,0,0,'Données projet'!$E$12+1,1))</f>
        <v>253.16238957399855</v>
      </c>
      <c r="CE80" s="62">
        <f t="shared" si="94"/>
        <v>138.00705940844708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0.79411909633241751</v>
      </c>
      <c r="CM80" s="23">
        <f>EXP(-LN(2)/2)*CM79+(1-EXP(-LN(2)/2))/(LN(2)/2)*CG80*CJ80*VLOOKUP('Données projet'!$B$12,Paramètres!$A$1:$I$89,3,0)*0.475*44/12</f>
        <v>1.9616918816864087E-6</v>
      </c>
      <c r="CN80" s="24">
        <f t="shared" si="66"/>
        <v>0.79412105802429922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4.5999999999999996</v>
      </c>
      <c r="N81" s="14">
        <f>IF('Données projet'!$A$36&gt;35,N80+M81-V80,IF(A81&lt;'Données projet'!$A$36,$K$205^A81,IF(A81='Données projet'!$A$36,'Données projet'!$B$36,N80+M81-V80)))</f>
        <v>182.79999999999984</v>
      </c>
      <c r="O81" s="14">
        <f>N81*VLOOKUP('Données projet'!$B$9,Paramètres!$A$1:$I$89,3,0)*VLOOKUP('Données projet'!$B$9,Paramètres!$A$1:$I$89,5,0)</f>
        <v>185.35919999999984</v>
      </c>
      <c r="P81" s="14">
        <f t="shared" si="87"/>
        <v>46.51246589912639</v>
      </c>
      <c r="Q81" s="22">
        <f t="shared" si="54"/>
        <v>403.84315144097815</v>
      </c>
      <c r="R81" s="62">
        <f t="shared" si="55"/>
        <v>673.76658947540432</v>
      </c>
      <c r="S81" s="62">
        <f ca="1">AVERAGE(OFFSET($R$3,0,0,'Données projet'!$E$9+1,1))-AVERAGE(OFFSET($H$3,0,0,'Données projet'!$E$9+1,1))</f>
        <v>345.67675698621832</v>
      </c>
      <c r="T81" s="62">
        <f t="shared" si="88"/>
        <v>178.72086185623849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1.6</v>
      </c>
      <c r="AI81" s="14">
        <f>IF('Données projet'!$A$62&gt;35,AI80+AH81-AQ80,IF(A81&lt;'Données projet'!$A$62,$AF$205^A81,IF(A81='Données projet'!$A$62,'Données projet'!$B$62,AI80+AH81-AQ80)))</f>
        <v>155.7999999999999</v>
      </c>
      <c r="AJ81" s="14">
        <f>AI81*VLOOKUP('Données projet'!$B$10,Paramètres!$A$1:$I$89,3,0)*VLOOKUP('Données projet'!$B$10,Paramètres!$A$1:$I$89,5,0)</f>
        <v>136.10687999999993</v>
      </c>
      <c r="AK81" s="14">
        <f t="shared" si="89"/>
        <v>35.403687803916242</v>
      </c>
      <c r="AL81" s="22">
        <f t="shared" si="58"/>
        <v>298.71423892515395</v>
      </c>
      <c r="AM81" s="62">
        <f t="shared" si="59"/>
        <v>568.63767695958018</v>
      </c>
      <c r="AN81" s="62">
        <f ca="1">AVERAGE(OFFSET($AM$3,0,0,'Données projet'!$E$10+1,1))-AVERAGE(OFFSET($H$3,0,0,'Données projet'!$E$10+1,1))</f>
        <v>219.21539650048186</v>
      </c>
      <c r="AO81" s="62">
        <f t="shared" si="90"/>
        <v>204.10961748628708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1.4356599919509951</v>
      </c>
      <c r="AW81" s="23">
        <f>EXP(-LN(2)/2)*AW80+(1-EXP(-LN(2)/2))/(LN(2)/2)*AQ81*AT81*VLOOKUP('Données projet'!$B$10,Paramètres!$A$1:$I$89,3,0)*0.475*44/12</f>
        <v>4.3362957814374144E-7</v>
      </c>
      <c r="AX81" s="23">
        <f t="shared" si="60"/>
        <v>1.4356604255805734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182.79999999999984</v>
      </c>
      <c r="BE81" s="14">
        <f>BD81*VLOOKUP('Données projet'!$B$11,Paramètres!$A$1:$I$89,3,0)*VLOOKUP('Données projet'!$B$11,Paramètres!$A$1:$I$89,5,0)</f>
        <v>182.50751999999986</v>
      </c>
      <c r="BF81" s="14">
        <f t="shared" si="91"/>
        <v>45.879613188868632</v>
      </c>
      <c r="BG81" s="22">
        <f t="shared" si="61"/>
        <v>397.77425697061261</v>
      </c>
      <c r="BH81" s="62">
        <f t="shared" si="62"/>
        <v>667.6976950050389</v>
      </c>
      <c r="BI81" s="62">
        <f ca="1">AVERAGE(OFFSET($BH$3,0,0,'Données projet'!$E$11+1,1))-AVERAGE(OFFSET($H$3,0,0,'Données projet'!$E$11+1,1))</f>
        <v>341.48836779133632</v>
      </c>
      <c r="BJ81" s="62">
        <f t="shared" si="92"/>
        <v>176.87842498964287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0.9327141046125873</v>
      </c>
      <c r="BR81" s="23">
        <f>EXP(-LN(2)/2)*BR80+(1-EXP(-LN(2)/2))/(LN(2)/2)*BL81*BO81*VLOOKUP('Données projet'!$B$11,Paramètres!$A$1:$I$89,3,0)*0.475*44/12</f>
        <v>2.0645590803930168E-6</v>
      </c>
      <c r="BS81" s="24">
        <f t="shared" si="63"/>
        <v>0.93271616917166766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4.5999999999999996</v>
      </c>
      <c r="BY81" s="13">
        <f>IF('Données projet'!$A$114&gt;35,BY80+BX81-CG80,IF(A81&lt;'Données projet'!$A$114,$BV$205^A81,IF(A81='Données projet'!$A$114,'Données projet'!$B$114,BY80+BX81-CG80)))</f>
        <v>182.79999999999984</v>
      </c>
      <c r="BZ81" s="14">
        <f>BY81*VLOOKUP('Données projet'!$B$12,Paramètres!$A$1:$I$89,3,0)*VLOOKUP('Données projet'!$B$12,Paramètres!$A$1:$I$89,5,0)</f>
        <v>122.62223999999989</v>
      </c>
      <c r="CA81" s="14">
        <f t="shared" si="93"/>
        <v>32.285822147542639</v>
      </c>
      <c r="CB81" s="22">
        <f t="shared" si="64"/>
        <v>269.79820824030321</v>
      </c>
      <c r="CC81" s="62">
        <f t="shared" si="65"/>
        <v>539.72164627472944</v>
      </c>
      <c r="CD81" s="62">
        <f ca="1">AVERAGE(OFFSET($CC$3,0,0,'Données projet'!$E$12+1,1))-AVERAGE(OFFSET($H$3,0,0,'Données projet'!$E$12+1,1))</f>
        <v>253.16238957399855</v>
      </c>
      <c r="CE81" s="62">
        <f t="shared" si="94"/>
        <v>138.00705940844708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0.77240386788229931</v>
      </c>
      <c r="CM81" s="23">
        <f>EXP(-LN(2)/2)*CM80+(1-EXP(-LN(2)/2))/(LN(2)/2)*CG81*CJ81*VLOOKUP('Données projet'!$B$12,Paramètres!$A$1:$I$89,3,0)*0.475*44/12</f>
        <v>1.3871256321390581E-6</v>
      </c>
      <c r="CN81" s="24">
        <f t="shared" si="66"/>
        <v>0.77240525500793145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4.5999999999999996</v>
      </c>
      <c r="N82" s="14">
        <f>IF('Données projet'!$A$36&gt;35,N81+M82-V81,IF(A82&lt;'Données projet'!$A$36,$K$205^A82,IF(A82='Données projet'!$A$36,'Données projet'!$B$36,N81+M82-V81)))</f>
        <v>187.39999999999984</v>
      </c>
      <c r="O82" s="14">
        <f>N82*VLOOKUP('Données projet'!$B$9,Paramètres!$A$1:$I$89,3,0)*VLOOKUP('Données projet'!$B$9,Paramètres!$A$1:$I$89,5,0)</f>
        <v>190.02359999999985</v>
      </c>
      <c r="P82" s="14">
        <f t="shared" si="87"/>
        <v>47.545170438433438</v>
      </c>
      <c r="Q82" s="22">
        <f t="shared" si="54"/>
        <v>413.7656085136046</v>
      </c>
      <c r="R82" s="62">
        <f t="shared" si="55"/>
        <v>684.09515589478156</v>
      </c>
      <c r="S82" s="62">
        <f ca="1">AVERAGE(OFFSET($R$3,0,0,'Données projet'!$E$9+1,1))-AVERAGE(OFFSET($H$3,0,0,'Données projet'!$E$9+1,1))</f>
        <v>345.67675698621832</v>
      </c>
      <c r="T82" s="62">
        <f t="shared" si="88"/>
        <v>178.72086185623849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1.6</v>
      </c>
      <c r="AI82" s="14">
        <f>IF('Données projet'!$A$62&gt;35,AI81+AH82-AQ81,IF(A82&lt;'Données projet'!$A$62,$AF$205^A82,IF(A82='Données projet'!$A$62,'Données projet'!$B$62,AI81+AH82-AQ81)))</f>
        <v>157.39999999999989</v>
      </c>
      <c r="AJ82" s="14">
        <f>AI82*VLOOKUP('Données projet'!$B$10,Paramètres!$A$1:$I$89,3,0)*VLOOKUP('Données projet'!$B$10,Paramètres!$A$1:$I$89,5,0)</f>
        <v>137.50463999999994</v>
      </c>
      <c r="AK82" s="14">
        <f t="shared" si="89"/>
        <v>35.724756582112299</v>
      </c>
      <c r="AL82" s="22">
        <f t="shared" si="58"/>
        <v>301.70786571384548</v>
      </c>
      <c r="AM82" s="62">
        <f t="shared" si="59"/>
        <v>572.03741309502243</v>
      </c>
      <c r="AN82" s="62">
        <f ca="1">AVERAGE(OFFSET($AM$3,0,0,'Données projet'!$E$10+1,1))-AVERAGE(OFFSET($H$3,0,0,'Données projet'!$E$10+1,1))</f>
        <v>219.21539650048186</v>
      </c>
      <c r="AO82" s="62">
        <f t="shared" si="90"/>
        <v>204.10961748628708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1.3964017939730176</v>
      </c>
      <c r="AW82" s="23">
        <f>EXP(-LN(2)/2)*AW81+(1-EXP(-LN(2)/2))/(LN(2)/2)*AQ82*AT82*VLOOKUP('Données projet'!$B$10,Paramètres!$A$1:$I$89,3,0)*0.475*44/12</f>
        <v>3.0662241522850149E-7</v>
      </c>
      <c r="AX82" s="23">
        <f t="shared" si="60"/>
        <v>1.3964021005954328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187.39999999999984</v>
      </c>
      <c r="BE82" s="14">
        <f>BD82*VLOOKUP('Données projet'!$B$11,Paramètres!$A$1:$I$89,3,0)*VLOOKUP('Données projet'!$B$11,Paramètres!$A$1:$I$89,5,0)</f>
        <v>187.10015999999985</v>
      </c>
      <c r="BF82" s="14">
        <f t="shared" si="91"/>
        <v>46.898266659199606</v>
      </c>
      <c r="BG82" s="22">
        <f t="shared" si="61"/>
        <v>407.54725976477238</v>
      </c>
      <c r="BH82" s="62">
        <f t="shared" si="62"/>
        <v>677.87680714594933</v>
      </c>
      <c r="BI82" s="62">
        <f ca="1">AVERAGE(OFFSET($BH$3,0,0,'Données projet'!$E$11+1,1))-AVERAGE(OFFSET($H$3,0,0,'Données projet'!$E$11+1,1))</f>
        <v>341.48836779133632</v>
      </c>
      <c r="BJ82" s="62">
        <f t="shared" si="92"/>
        <v>176.87842498964287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0.90720898837265307</v>
      </c>
      <c r="BR82" s="23">
        <f>EXP(-LN(2)/2)*BR81+(1-EXP(-LN(2)/2))/(LN(2)/2)*BL82*BO82*VLOOKUP('Données projet'!$B$11,Paramètres!$A$1:$I$89,3,0)*0.475*44/12</f>
        <v>1.4598637259061648E-6</v>
      </c>
      <c r="BS82" s="24">
        <f t="shared" si="63"/>
        <v>0.90721044823637897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4.5999999999999996</v>
      </c>
      <c r="BY82" s="13">
        <f>IF('Données projet'!$A$114&gt;35,BY81+BX82-CG81,IF(A82&lt;'Données projet'!$A$114,$BV$205^A82,IF(A82='Données projet'!$A$114,'Données projet'!$B$114,BY81+BX82-CG81)))</f>
        <v>187.39999999999984</v>
      </c>
      <c r="BZ82" s="14">
        <f>BY82*VLOOKUP('Données projet'!$B$12,Paramètres!$A$1:$I$89,3,0)*VLOOKUP('Données projet'!$B$12,Paramètres!$A$1:$I$89,5,0)</f>
        <v>125.70791999999989</v>
      </c>
      <c r="CA82" s="14">
        <f t="shared" si="93"/>
        <v>33.002656106837271</v>
      </c>
      <c r="CB82" s="22">
        <f t="shared" si="64"/>
        <v>276.42092005274134</v>
      </c>
      <c r="CC82" s="62">
        <f t="shared" si="65"/>
        <v>546.75046743391829</v>
      </c>
      <c r="CD82" s="62">
        <f ca="1">AVERAGE(OFFSET($CC$3,0,0,'Données projet'!$E$12+1,1))-AVERAGE(OFFSET($H$3,0,0,'Données projet'!$E$12+1,1))</f>
        <v>253.16238957399855</v>
      </c>
      <c r="CE82" s="62">
        <f t="shared" si="94"/>
        <v>138.00705940844708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0.75128244349610374</v>
      </c>
      <c r="CM82" s="23">
        <f>EXP(-LN(2)/2)*CM81+(1-EXP(-LN(2)/2))/(LN(2)/2)*CG82*CJ82*VLOOKUP('Données projet'!$B$12,Paramètres!$A$1:$I$89,3,0)*0.475*44/12</f>
        <v>9.8084594084320435E-7</v>
      </c>
      <c r="CN82" s="24">
        <f t="shared" si="66"/>
        <v>0.75128342434204454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192</v>
      </c>
      <c r="L83" s="13">
        <f>VLOOKUP(A83,'Données projet'!$A$35:$I$55,9,0)</f>
        <v>4.5999999999999996</v>
      </c>
      <c r="M83" s="13">
        <f t="array" ref="M83">INDEX(L:L,MIN(IF(ISNUMBER(L83:L279),ROW(L83:L279),"")))</f>
        <v>4.5999999999999996</v>
      </c>
      <c r="N83" s="14">
        <f>IF('Données projet'!$A$36&gt;35,N82+M83-V82,IF(A83&lt;'Données projet'!$A$36,$K$205^A83,IF(A83='Données projet'!$A$36,'Données projet'!$B$36,N82+M83-V82)))</f>
        <v>191.99999999999983</v>
      </c>
      <c r="O83" s="14">
        <f>N83*VLOOKUP('Données projet'!$B$9,Paramètres!$A$1:$I$89,3,0)*VLOOKUP('Données projet'!$B$9,Paramètres!$A$1:$I$89,5,0)</f>
        <v>194.68799999999985</v>
      </c>
      <c r="P83" s="14">
        <f t="shared" si="87"/>
        <v>48.574928228914935</v>
      </c>
      <c r="Q83" s="22">
        <f t="shared" si="54"/>
        <v>423.68293333202655</v>
      </c>
      <c r="R83" s="62">
        <f t="shared" si="55"/>
        <v>694.41154497071261</v>
      </c>
      <c r="S83" s="62">
        <f ca="1">AVERAGE(OFFSET($R$3,0,0,'Données projet'!$E$9+1,1))-AVERAGE(OFFSET($H$3,0,0,'Données projet'!$E$9+1,1))</f>
        <v>345.67675698621832</v>
      </c>
      <c r="T83" s="62">
        <f t="shared" si="88"/>
        <v>178.72086185623849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14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159</v>
      </c>
      <c r="AG83" s="13">
        <f>VLOOKUP(A83,'Données projet'!$A$61:$I$81,9,0)</f>
        <v>1.6</v>
      </c>
      <c r="AH83" s="13">
        <f t="array" ref="AH83">INDEX(AG:AG,MIN(IF(ISNUMBER(AG83:AG279),ROW(AG83:AG279),"")))</f>
        <v>1.6</v>
      </c>
      <c r="AI83" s="14">
        <f>IF('Données projet'!$A$62&gt;35,AI82+AH83-AQ82,IF(A83&lt;'Données projet'!$A$62,$AF$205^A83,IF(A83='Données projet'!$A$62,'Données projet'!$B$62,AI82+AH83-AQ82)))</f>
        <v>158.99999999999989</v>
      </c>
      <c r="AJ83" s="14">
        <f>AI83*VLOOKUP('Données projet'!$B$10,Paramètres!$A$1:$I$89,3,0)*VLOOKUP('Données projet'!$B$10,Paramètres!$A$1:$I$89,5,0)</f>
        <v>138.90239999999991</v>
      </c>
      <c r="AK83" s="14">
        <f t="shared" si="89"/>
        <v>36.045445680666425</v>
      </c>
      <c r="AL83" s="22">
        <f t="shared" si="58"/>
        <v>304.70083122716051</v>
      </c>
      <c r="AM83" s="62">
        <f t="shared" si="59"/>
        <v>575.42944286584657</v>
      </c>
      <c r="AN83" s="62">
        <f ca="1">AVERAGE(OFFSET($AM$3,0,0,'Données projet'!$E$10+1,1))-AVERAGE(OFFSET($H$3,0,0,'Données projet'!$E$10+1,1))</f>
        <v>219.21539650048186</v>
      </c>
      <c r="AO83" s="62">
        <f t="shared" si="90"/>
        <v>204.10961748628708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159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1.3582171134832466</v>
      </c>
      <c r="AW83" s="23">
        <f>EXP(-LN(2)/2)*AW82+(1-EXP(-LN(2)/2))/(LN(2)/2)*AQ83*AT83*VLOOKUP('Données projet'!$B$10,Paramètres!$A$1:$I$89,3,0)*0.475*44/12</f>
        <v>2.1681478907187072E-7</v>
      </c>
      <c r="AX83" s="23">
        <f t="shared" si="60"/>
        <v>1.3582173302980356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191.99999999999983</v>
      </c>
      <c r="BE83" s="14">
        <f>BD83*VLOOKUP('Données projet'!$B$11,Paramètres!$A$1:$I$89,3,0)*VLOOKUP('Données projet'!$B$11,Paramètres!$A$1:$I$89,5,0)</f>
        <v>191.69279999999983</v>
      </c>
      <c r="BF83" s="14">
        <f t="shared" si="91"/>
        <v>47.914013474429254</v>
      </c>
      <c r="BG83" s="22">
        <f t="shared" si="61"/>
        <v>417.31520013463069</v>
      </c>
      <c r="BH83" s="62">
        <f t="shared" si="62"/>
        <v>688.04381177331675</v>
      </c>
      <c r="BI83" s="62">
        <f ca="1">AVERAGE(OFFSET($BH$3,0,0,'Données projet'!$E$11+1,1))-AVERAGE(OFFSET($H$3,0,0,'Données projet'!$E$11+1,1))</f>
        <v>341.48836779133632</v>
      </c>
      <c r="BJ83" s="62">
        <f t="shared" si="92"/>
        <v>176.87842498964287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0.88240131087755558</v>
      </c>
      <c r="BR83" s="23">
        <f>EXP(-LN(2)/2)*BR82+(1-EXP(-LN(2)/2))/(LN(2)/2)*BL83*BO83*VLOOKUP('Données projet'!$B$11,Paramètres!$A$1:$I$89,3,0)*0.475*44/12</f>
        <v>1.0322795401965084E-6</v>
      </c>
      <c r="BS83" s="24">
        <f t="shared" si="63"/>
        <v>0.88240234315709576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192</v>
      </c>
      <c r="BW83" s="13">
        <f>VLOOKUP(A83,'Données projet'!$A$113:$I$133,9,0)</f>
        <v>4.5999999999999996</v>
      </c>
      <c r="BX83" s="13">
        <f t="array" ref="BX83">INDEX(BW:BW,MIN(IF(ISNUMBER(BW83:BW279),ROW(BW83:BW279),"")))</f>
        <v>4.5999999999999996</v>
      </c>
      <c r="BY83" s="13">
        <f>IF('Données projet'!$A$114&gt;35,BY82+BX83-CG82,IF(A83&lt;'Données projet'!$A$114,$BV$205^A83,IF(A83='Données projet'!$A$114,'Données projet'!$B$114,BY82+BX83-CG82)))</f>
        <v>191.99999999999983</v>
      </c>
      <c r="BZ83" s="14">
        <f>BY83*VLOOKUP('Données projet'!$B$12,Paramètres!$A$1:$I$89,3,0)*VLOOKUP('Données projet'!$B$12,Paramètres!$A$1:$I$89,5,0)</f>
        <v>128.79359999999988</v>
      </c>
      <c r="CA83" s="14">
        <f t="shared" si="93"/>
        <v>33.717444631501536</v>
      </c>
      <c r="CB83" s="22">
        <f t="shared" si="64"/>
        <v>283.04006939986493</v>
      </c>
      <c r="CC83" s="62">
        <f t="shared" si="65"/>
        <v>553.76868103855099</v>
      </c>
      <c r="CD83" s="62">
        <f ca="1">AVERAGE(OFFSET($CC$3,0,0,'Données projet'!$E$12+1,1))-AVERAGE(OFFSET($H$3,0,0,'Données projet'!$E$12+1,1))</f>
        <v>253.16238957399855</v>
      </c>
      <c r="CE83" s="62">
        <f t="shared" si="94"/>
        <v>138.00705940844708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14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0.73073858557047611</v>
      </c>
      <c r="CM83" s="23">
        <f>EXP(-LN(2)/2)*CM82+(1-EXP(-LN(2)/2))/(LN(2)/2)*CG83*CJ83*VLOOKUP('Données projet'!$B$12,Paramètres!$A$1:$I$89,3,0)*0.475*44/12</f>
        <v>6.9356281606952904E-7</v>
      </c>
      <c r="CN83" s="24">
        <f t="shared" si="66"/>
        <v>0.73073927913329217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4.4000000000000004</v>
      </c>
      <c r="N84" s="14">
        <f>IF('Données projet'!$A$36&gt;35,N83+M84-V83,IF(A84&lt;'Données projet'!$A$36,$K$205^A84,IF(A84='Données projet'!$A$36,'Données projet'!$B$36,N83+M84-V83)))</f>
        <v>182.39999999999984</v>
      </c>
      <c r="O84" s="14">
        <f>N84*VLOOKUP('Données projet'!$B$9,Paramètres!$A$1:$I$89,3,0)*VLOOKUP('Données projet'!$B$9,Paramètres!$A$1:$I$89,5,0)</f>
        <v>184.95359999999985</v>
      </c>
      <c r="P84" s="14">
        <f t="shared" si="87"/>
        <v>46.422523550957948</v>
      </c>
      <c r="Q84" s="22">
        <f t="shared" si="54"/>
        <v>402.98008185125144</v>
      </c>
      <c r="R84" s="62">
        <f t="shared" si="55"/>
        <v>674.10083487475288</v>
      </c>
      <c r="S84" s="62">
        <f ca="1">AVERAGE(OFFSET($R$3,0,0,'Données projet'!$E$9+1,1))-AVERAGE(OFFSET($H$3,0,0,'Données projet'!$E$9+1,1))</f>
        <v>345.67675698621832</v>
      </c>
      <c r="T84" s="62">
        <f t="shared" si="88"/>
        <v>178.72086185623849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-1.1368683772161603E-13</v>
      </c>
      <c r="AJ84" s="14">
        <f>AI84*VLOOKUP('Données projet'!$B$10,Paramètres!$A$1:$I$89,3,0)*VLOOKUP('Données projet'!$B$10,Paramètres!$A$1:$I$89,5,0)</f>
        <v>-9.9316821433603781E-14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219.21539650048186</v>
      </c>
      <c r="AO84" s="62">
        <f t="shared" si="90"/>
        <v>204.10961748628708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1.3210765950895134</v>
      </c>
      <c r="AW84" s="23">
        <f>EXP(-LN(2)/2)*AW83+(1-EXP(-LN(2)/2))/(LN(2)/2)*AQ84*AT84*VLOOKUP('Données projet'!$B$10,Paramètres!$A$1:$I$89,3,0)*0.475*44/12</f>
        <v>1.5331120761425074E-7</v>
      </c>
      <c r="AX84" s="23">
        <f t="shared" si="60"/>
        <v>1.3210767484007209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182.39999999999984</v>
      </c>
      <c r="BE84" s="14">
        <f>BD84*VLOOKUP('Données projet'!$B$11,Paramètres!$A$1:$I$89,3,0)*VLOOKUP('Données projet'!$B$11,Paramètres!$A$1:$I$89,5,0)</f>
        <v>182.10815999999983</v>
      </c>
      <c r="BF84" s="14">
        <f t="shared" si="91"/>
        <v>45.790894604216163</v>
      </c>
      <c r="BG84" s="22">
        <f t="shared" si="61"/>
        <v>396.92418676900951</v>
      </c>
      <c r="BH84" s="62">
        <f t="shared" si="62"/>
        <v>668.04493979251095</v>
      </c>
      <c r="BI84" s="62">
        <f ca="1">AVERAGE(OFFSET($BH$3,0,0,'Données projet'!$E$11+1,1))-AVERAGE(OFFSET($H$3,0,0,'Données projet'!$E$11+1,1))</f>
        <v>341.48836779133632</v>
      </c>
      <c r="BJ84" s="62">
        <f t="shared" si="92"/>
        <v>176.87842498964287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0.85827200062814069</v>
      </c>
      <c r="BR84" s="23">
        <f>EXP(-LN(2)/2)*BR83+(1-EXP(-LN(2)/2))/(LN(2)/2)*BL84*BO84*VLOOKUP('Données projet'!$B$11,Paramètres!$A$1:$I$89,3,0)*0.475*44/12</f>
        <v>7.2993186295308238E-7</v>
      </c>
      <c r="BS84" s="24">
        <f t="shared" si="63"/>
        <v>0.85827273056000364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4.4000000000000004</v>
      </c>
      <c r="BY84" s="13">
        <f>IF('Données projet'!$A$114&gt;35,BY83+BX84-CG83,IF(A84&lt;'Données projet'!$A$114,$BV$205^A84,IF(A84='Données projet'!$A$114,'Données projet'!$B$114,BY83+BX84-CG83)))</f>
        <v>182.39999999999984</v>
      </c>
      <c r="BZ84" s="14">
        <f>BY84*VLOOKUP('Données projet'!$B$12,Paramètres!$A$1:$I$89,3,0)*VLOOKUP('Données projet'!$B$12,Paramètres!$A$1:$I$89,5,0)</f>
        <v>122.3539199999999</v>
      </c>
      <c r="CA84" s="14">
        <f t="shared" si="93"/>
        <v>32.223390225253326</v>
      </c>
      <c r="CB84" s="22">
        <f t="shared" si="64"/>
        <v>269.22214864231609</v>
      </c>
      <c r="CC84" s="62">
        <f t="shared" si="65"/>
        <v>540.34290166581752</v>
      </c>
      <c r="CD84" s="62">
        <f ca="1">AVERAGE(OFFSET($CC$3,0,0,'Données projet'!$E$12+1,1))-AVERAGE(OFFSET($H$3,0,0,'Données projet'!$E$12+1,1))</f>
        <v>253.16238957399855</v>
      </c>
      <c r="CE84" s="62">
        <f t="shared" si="94"/>
        <v>138.00705940844708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0.71075650052017936</v>
      </c>
      <c r="CM84" s="23">
        <f>EXP(-LN(2)/2)*CM83+(1-EXP(-LN(2)/2))/(LN(2)/2)*CG84*CJ84*VLOOKUP('Données projet'!$B$12,Paramètres!$A$1:$I$89,3,0)*0.475*44/12</f>
        <v>4.9042297042160217E-7</v>
      </c>
      <c r="CN84" s="24">
        <f t="shared" si="66"/>
        <v>0.71075699094314981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4.4000000000000004</v>
      </c>
      <c r="N85" s="14">
        <f>IF('Données projet'!$A$36&gt;35,N84+M85-V84,IF(A85&lt;'Données projet'!$A$36,$K$205^A85,IF(A85='Données projet'!$A$36,'Données projet'!$B$36,N84+M85-V84)))</f>
        <v>186.79999999999984</v>
      </c>
      <c r="O85" s="14">
        <f>N85*VLOOKUP('Données projet'!$B$9,Paramètres!$A$1:$I$89,3,0)*VLOOKUP('Données projet'!$B$9,Paramètres!$A$1:$I$89,5,0)</f>
        <v>189.41519999999986</v>
      </c>
      <c r="P85" s="14">
        <f t="shared" si="87"/>
        <v>47.410638687430875</v>
      </c>
      <c r="Q85" s="22">
        <f t="shared" si="54"/>
        <v>412.47166904727516</v>
      </c>
      <c r="R85" s="62">
        <f t="shared" si="55"/>
        <v>683.97776067926225</v>
      </c>
      <c r="S85" s="62">
        <f ca="1">AVERAGE(OFFSET($R$3,0,0,'Données projet'!$E$9+1,1))-AVERAGE(OFFSET($H$3,0,0,'Données projet'!$E$9+1,1))</f>
        <v>345.67675698621832</v>
      </c>
      <c r="T85" s="62">
        <f t="shared" si="88"/>
        <v>178.72086185623849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-1.1368683772161603E-13</v>
      </c>
      <c r="AJ85" s="14">
        <f>AI85*VLOOKUP('Données projet'!$B$10,Paramètres!$A$1:$I$89,3,0)*VLOOKUP('Données projet'!$B$10,Paramètres!$A$1:$I$89,5,0)</f>
        <v>-9.9316821433603781E-14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219.21539650048186</v>
      </c>
      <c r="AO85" s="62">
        <f t="shared" si="90"/>
        <v>204.10961748628708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1.2849516861243919</v>
      </c>
      <c r="AW85" s="23">
        <f>EXP(-LN(2)/2)*AW84+(1-EXP(-LN(2)/2))/(LN(2)/2)*AQ85*AT85*VLOOKUP('Données projet'!$B$10,Paramètres!$A$1:$I$89,3,0)*0.475*44/12</f>
        <v>1.0840739453593536E-7</v>
      </c>
      <c r="AX85" s="23">
        <f t="shared" si="60"/>
        <v>1.2849517945317865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186.79999999999984</v>
      </c>
      <c r="BE85" s="14">
        <f>BD85*VLOOKUP('Données projet'!$B$11,Paramètres!$A$1:$I$89,3,0)*VLOOKUP('Données projet'!$B$11,Paramètres!$A$1:$I$89,5,0)</f>
        <v>186.50111999999987</v>
      </c>
      <c r="BF85" s="14">
        <f t="shared" si="91"/>
        <v>46.765565359057732</v>
      </c>
      <c r="BG85" s="22">
        <f t="shared" si="61"/>
        <v>406.27281033369195</v>
      </c>
      <c r="BH85" s="62">
        <f t="shared" si="62"/>
        <v>677.77890196567898</v>
      </c>
      <c r="BI85" s="62">
        <f ca="1">AVERAGE(OFFSET($BH$3,0,0,'Données projet'!$E$11+1,1))-AVERAGE(OFFSET($H$3,0,0,'Données projet'!$E$11+1,1))</f>
        <v>341.48836779133632</v>
      </c>
      <c r="BJ85" s="62">
        <f t="shared" si="92"/>
        <v>176.87842498964287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0.83480250763640129</v>
      </c>
      <c r="BR85" s="23">
        <f>EXP(-LN(2)/2)*BR84+(1-EXP(-LN(2)/2))/(LN(2)/2)*BL85*BO85*VLOOKUP('Données projet'!$B$11,Paramètres!$A$1:$I$89,3,0)*0.475*44/12</f>
        <v>5.1613977009825421E-7</v>
      </c>
      <c r="BS85" s="24">
        <f t="shared" si="63"/>
        <v>0.83480302377617144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4.4000000000000004</v>
      </c>
      <c r="BY85" s="13">
        <f>IF('Données projet'!$A$114&gt;35,BY84+BX85-CG84,IF(A85&lt;'Données projet'!$A$114,$BV$205^A85,IF(A85='Données projet'!$A$114,'Données projet'!$B$114,BY84+BX85-CG84)))</f>
        <v>186.79999999999984</v>
      </c>
      <c r="BZ85" s="14">
        <f>BY85*VLOOKUP('Données projet'!$B$12,Paramètres!$A$1:$I$89,3,0)*VLOOKUP('Données projet'!$B$12,Paramètres!$A$1:$I$89,5,0)</f>
        <v>125.30543999999989</v>
      </c>
      <c r="CA85" s="14">
        <f t="shared" si="93"/>
        <v>32.909273223300495</v>
      </c>
      <c r="CB85" s="22">
        <f t="shared" si="64"/>
        <v>275.55729219724816</v>
      </c>
      <c r="CC85" s="62">
        <f t="shared" si="65"/>
        <v>547.06338382923514</v>
      </c>
      <c r="CD85" s="62">
        <f ca="1">AVERAGE(OFFSET($CC$3,0,0,'Données projet'!$E$12+1,1))-AVERAGE(OFFSET($H$3,0,0,'Données projet'!$E$12+1,1))</f>
        <v>253.16238957399855</v>
      </c>
      <c r="CE85" s="62">
        <f t="shared" si="94"/>
        <v>138.00705940844708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0.69132082663639516</v>
      </c>
      <c r="CM85" s="23">
        <f>EXP(-LN(2)/2)*CM84+(1-EXP(-LN(2)/2))/(LN(2)/2)*CG85*CJ85*VLOOKUP('Données projet'!$B$12,Paramètres!$A$1:$I$89,3,0)*0.475*44/12</f>
        <v>3.4678140803476452E-7</v>
      </c>
      <c r="CN85" s="24">
        <f t="shared" si="66"/>
        <v>0.69132117341780319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4.4000000000000004</v>
      </c>
      <c r="N86" s="14">
        <f>IF('Données projet'!$A$36&gt;35,N85+M86-V85,IF(A86&lt;'Données projet'!$A$36,$K$205^A86,IF(A86='Données projet'!$A$36,'Données projet'!$B$36,N85+M86-V85)))</f>
        <v>191.19999999999985</v>
      </c>
      <c r="O86" s="14">
        <f>N86*VLOOKUP('Données projet'!$B$9,Paramètres!$A$1:$I$89,3,0)*VLOOKUP('Données projet'!$B$9,Paramètres!$A$1:$I$89,5,0)</f>
        <v>193.87679999999986</v>
      </c>
      <c r="P86" s="14">
        <f t="shared" si="87"/>
        <v>48.396048099527562</v>
      </c>
      <c r="Q86" s="22">
        <f t="shared" si="54"/>
        <v>421.95854377334359</v>
      </c>
      <c r="R86" s="62">
        <f t="shared" si="55"/>
        <v>693.84328925044701</v>
      </c>
      <c r="S86" s="62">
        <f ca="1">AVERAGE(OFFSET($R$3,0,0,'Données projet'!$E$9+1,1))-AVERAGE(OFFSET($H$3,0,0,'Données projet'!$E$9+1,1))</f>
        <v>345.67675698621832</v>
      </c>
      <c r="T86" s="62">
        <f t="shared" si="88"/>
        <v>178.72086185623849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-1.1368683772161603E-13</v>
      </c>
      <c r="AJ86" s="14">
        <f>AI86*VLOOKUP('Données projet'!$B$10,Paramètres!$A$1:$I$89,3,0)*VLOOKUP('Données projet'!$B$10,Paramètres!$A$1:$I$89,5,0)</f>
        <v>-9.9316821433603781E-14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219.21539650048186</v>
      </c>
      <c r="AO86" s="62">
        <f t="shared" si="90"/>
        <v>204.10961748628708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1.2498146146946481</v>
      </c>
      <c r="AW86" s="23">
        <f>EXP(-LN(2)/2)*AW85+(1-EXP(-LN(2)/2))/(LN(2)/2)*AQ86*AT86*VLOOKUP('Données projet'!$B$10,Paramètres!$A$1:$I$89,3,0)*0.475*44/12</f>
        <v>7.6655603807125371E-8</v>
      </c>
      <c r="AX86" s="23">
        <f t="shared" si="60"/>
        <v>1.2498146913502519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191.19999999999985</v>
      </c>
      <c r="BE86" s="14">
        <f>BD86*VLOOKUP('Données projet'!$B$11,Paramètres!$A$1:$I$89,3,0)*VLOOKUP('Données projet'!$B$11,Paramètres!$A$1:$I$89,5,0)</f>
        <v>190.89407999999986</v>
      </c>
      <c r="BF86" s="14">
        <f t="shared" si="91"/>
        <v>47.737567203847384</v>
      </c>
      <c r="BG86" s="22">
        <f t="shared" si="61"/>
        <v>415.61678554670061</v>
      </c>
      <c r="BH86" s="62">
        <f t="shared" si="62"/>
        <v>687.50153102380409</v>
      </c>
      <c r="BI86" s="62">
        <f ca="1">AVERAGE(OFFSET($BH$3,0,0,'Données projet'!$E$11+1,1))-AVERAGE(OFFSET($H$3,0,0,'Données projet'!$E$11+1,1))</f>
        <v>341.48836779133632</v>
      </c>
      <c r="BJ86" s="62">
        <f t="shared" si="92"/>
        <v>176.87842498964287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0.81197478916472798</v>
      </c>
      <c r="BR86" s="23">
        <f>EXP(-LN(2)/2)*BR85+(1-EXP(-LN(2)/2))/(LN(2)/2)*BL86*BO86*VLOOKUP('Données projet'!$B$11,Paramètres!$A$1:$I$89,3,0)*0.475*44/12</f>
        <v>3.6496593147654119E-7</v>
      </c>
      <c r="BS86" s="24">
        <f t="shared" si="63"/>
        <v>0.81197515413065946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4.4000000000000004</v>
      </c>
      <c r="BY86" s="13">
        <f>IF('Données projet'!$A$114&gt;35,BY85+BX86-CG85,IF(A86&lt;'Données projet'!$A$114,$BV$205^A86,IF(A86='Données projet'!$A$114,'Données projet'!$B$114,BY85+BX86-CG85)))</f>
        <v>191.19999999999985</v>
      </c>
      <c r="BZ86" s="14">
        <f>BY86*VLOOKUP('Données projet'!$B$12,Paramètres!$A$1:$I$89,3,0)*VLOOKUP('Données projet'!$B$12,Paramètres!$A$1:$I$89,5,0)</f>
        <v>128.25695999999991</v>
      </c>
      <c r="CA86" s="14">
        <f t="shared" si="93"/>
        <v>33.593278089661837</v>
      </c>
      <c r="CB86" s="22">
        <f t="shared" si="64"/>
        <v>281.88916467282746</v>
      </c>
      <c r="CC86" s="62">
        <f t="shared" si="65"/>
        <v>553.773910149931</v>
      </c>
      <c r="CD86" s="62">
        <f ca="1">AVERAGE(OFFSET($CC$3,0,0,'Données projet'!$E$12+1,1))-AVERAGE(OFFSET($H$3,0,0,'Données projet'!$E$12+1,1))</f>
        <v>253.16238957399855</v>
      </c>
      <c r="CE86" s="62">
        <f t="shared" si="94"/>
        <v>138.00705940844708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0.67241662227704069</v>
      </c>
      <c r="CM86" s="23">
        <f>EXP(-LN(2)/2)*CM85+(1-EXP(-LN(2)/2))/(LN(2)/2)*CG86*CJ86*VLOOKUP('Données projet'!$B$12,Paramètres!$A$1:$I$89,3,0)*0.475*44/12</f>
        <v>2.4521148521080109E-7</v>
      </c>
      <c r="CN86" s="24">
        <f t="shared" si="66"/>
        <v>0.67241686748852592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4.4000000000000004</v>
      </c>
      <c r="N87" s="14">
        <f>IF('Données projet'!$A$36&gt;35,N86+M87-V86,IF(A87&lt;'Données projet'!$A$36,$K$205^A87,IF(A87='Données projet'!$A$36,'Données projet'!$B$36,N86+M87-V86)))</f>
        <v>195.59999999999985</v>
      </c>
      <c r="O87" s="14">
        <f>N87*VLOOKUP('Données projet'!$B$9,Paramètres!$A$1:$I$89,3,0)*VLOOKUP('Données projet'!$B$9,Paramètres!$A$1:$I$89,5,0)</f>
        <v>198.33839999999987</v>
      </c>
      <c r="P87" s="14">
        <f t="shared" si="87"/>
        <v>49.378821219958034</v>
      </c>
      <c r="Q87" s="22">
        <f t="shared" si="54"/>
        <v>431.44082695809334</v>
      </c>
      <c r="R87" s="62">
        <f t="shared" si="55"/>
        <v>703.69765748264365</v>
      </c>
      <c r="S87" s="62">
        <f ca="1">AVERAGE(OFFSET($R$3,0,0,'Données projet'!$E$9+1,1))-AVERAGE(OFFSET($H$3,0,0,'Données projet'!$E$9+1,1))</f>
        <v>345.67675698621832</v>
      </c>
      <c r="T87" s="62">
        <f t="shared" si="88"/>
        <v>178.72086185623849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-1.1368683772161603E-13</v>
      </c>
      <c r="AJ87" s="14">
        <f>AI87*VLOOKUP('Données projet'!$B$10,Paramètres!$A$1:$I$89,3,0)*VLOOKUP('Données projet'!$B$10,Paramètres!$A$1:$I$89,5,0)</f>
        <v>-9.9316821433603781E-14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219.21539650048186</v>
      </c>
      <c r="AO87" s="62">
        <f t="shared" si="90"/>
        <v>204.10961748628708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1.2156383683309289</v>
      </c>
      <c r="AW87" s="23">
        <f>EXP(-LN(2)/2)*AW86+(1-EXP(-LN(2)/2))/(LN(2)/2)*AQ87*AT87*VLOOKUP('Données projet'!$B$10,Paramètres!$A$1:$I$89,3,0)*0.475*44/12</f>
        <v>5.420369726796768E-8</v>
      </c>
      <c r="AX87" s="23">
        <f t="shared" si="60"/>
        <v>1.2156384225346262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195.59999999999985</v>
      </c>
      <c r="BE87" s="14">
        <f>BD87*VLOOKUP('Données projet'!$B$11,Paramètres!$A$1:$I$89,3,0)*VLOOKUP('Données projet'!$B$11,Paramètres!$A$1:$I$89,5,0)</f>
        <v>195.28703999999988</v>
      </c>
      <c r="BF87" s="14">
        <f t="shared" si="91"/>
        <v>48.706968626587567</v>
      </c>
      <c r="BG87" s="22">
        <f t="shared" si="61"/>
        <v>424.95623169130653</v>
      </c>
      <c r="BH87" s="62">
        <f t="shared" si="62"/>
        <v>697.21306221585678</v>
      </c>
      <c r="BI87" s="62">
        <f ca="1">AVERAGE(OFFSET($BH$3,0,0,'Données projet'!$E$11+1,1))-AVERAGE(OFFSET($H$3,0,0,'Données projet'!$E$11+1,1))</f>
        <v>341.48836779133632</v>
      </c>
      <c r="BJ87" s="62">
        <f t="shared" si="92"/>
        <v>176.87842498964287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0.78977129585512018</v>
      </c>
      <c r="BR87" s="23">
        <f>EXP(-LN(2)/2)*BR86+(1-EXP(-LN(2)/2))/(LN(2)/2)*BL87*BO87*VLOOKUP('Données projet'!$B$11,Paramètres!$A$1:$I$89,3,0)*0.475*44/12</f>
        <v>2.580698850491271E-7</v>
      </c>
      <c r="BS87" s="24">
        <f t="shared" si="63"/>
        <v>0.7897715539250052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4.4000000000000004</v>
      </c>
      <c r="BY87" s="13">
        <f>IF('Données projet'!$A$114&gt;35,BY86+BX87-CG86,IF(A87&lt;'Données projet'!$A$114,$BV$205^A87,IF(A87='Données projet'!$A$114,'Données projet'!$B$114,BY86+BX87-CG86)))</f>
        <v>195.59999999999985</v>
      </c>
      <c r="BZ87" s="14">
        <f>BY87*VLOOKUP('Données projet'!$B$12,Paramètres!$A$1:$I$89,3,0)*VLOOKUP('Données projet'!$B$12,Paramètres!$A$1:$I$89,5,0)</f>
        <v>131.20847999999989</v>
      </c>
      <c r="CA87" s="14">
        <f t="shared" si="93"/>
        <v>34.275453019849742</v>
      </c>
      <c r="CB87" s="22">
        <f t="shared" si="64"/>
        <v>288.21785000957146</v>
      </c>
      <c r="CC87" s="62">
        <f t="shared" si="65"/>
        <v>560.47468053412172</v>
      </c>
      <c r="CD87" s="62">
        <f ca="1">AVERAGE(OFFSET($CC$3,0,0,'Données projet'!$E$12+1,1))-AVERAGE(OFFSET($H$3,0,0,'Données projet'!$E$12+1,1))</f>
        <v>253.16238957399855</v>
      </c>
      <c r="CE87" s="62">
        <f t="shared" si="94"/>
        <v>138.00705940844708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0.65402935438002163</v>
      </c>
      <c r="CM87" s="23">
        <f>EXP(-LN(2)/2)*CM86+(1-EXP(-LN(2)/2))/(LN(2)/2)*CG87*CJ87*VLOOKUP('Données projet'!$B$12,Paramètres!$A$1:$I$89,3,0)*0.475*44/12</f>
        <v>1.7339070401738226E-7</v>
      </c>
      <c r="CN87" s="24">
        <f t="shared" si="66"/>
        <v>0.65402952777072565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200</v>
      </c>
      <c r="L88" s="13">
        <f>VLOOKUP(A88,'Données projet'!$A$35:$I$55,9,0)</f>
        <v>4.4000000000000004</v>
      </c>
      <c r="M88" s="13">
        <f t="array" ref="M88">INDEX(L:L,MIN(IF(ISNUMBER(L88:L284),ROW(L88:L284),"")))</f>
        <v>4.4000000000000004</v>
      </c>
      <c r="N88" s="14">
        <f>IF('Données projet'!$A$36&gt;35,N87+M88-V87,IF(A88&lt;'Données projet'!$A$36,$K$205^A88,IF(A88='Données projet'!$A$36,'Données projet'!$B$36,N87+M88-V87)))</f>
        <v>199.99999999999986</v>
      </c>
      <c r="O88" s="14">
        <f>N88*VLOOKUP('Données projet'!$B$9,Paramètres!$A$1:$I$89,3,0)*VLOOKUP('Données projet'!$B$9,Paramètres!$A$1:$I$89,5,0)</f>
        <v>202.79999999999987</v>
      </c>
      <c r="P88" s="14">
        <f t="shared" si="87"/>
        <v>50.359024179353973</v>
      </c>
      <c r="Q88" s="22">
        <f t="shared" si="54"/>
        <v>440.91863377904127</v>
      </c>
      <c r="R88" s="62">
        <f t="shared" si="55"/>
        <v>713.54109450732278</v>
      </c>
      <c r="S88" s="62">
        <f ca="1">AVERAGE(OFFSET($R$3,0,0,'Données projet'!$E$9+1,1))-AVERAGE(OFFSET($H$3,0,0,'Données projet'!$E$9+1,1))</f>
        <v>345.67675698621832</v>
      </c>
      <c r="T88" s="62">
        <f t="shared" si="88"/>
        <v>178.72086185623849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14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-1.1368683772161603E-13</v>
      </c>
      <c r="AJ88" s="14">
        <f>AI88*VLOOKUP('Données projet'!$B$10,Paramètres!$A$1:$I$89,3,0)*VLOOKUP('Données projet'!$B$10,Paramètres!$A$1:$I$89,5,0)</f>
        <v>-9.9316821433603781E-14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219.21539650048186</v>
      </c>
      <c r="AO88" s="62">
        <f t="shared" si="90"/>
        <v>204.10961748628708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1.1823966732212763</v>
      </c>
      <c r="AW88" s="23">
        <f>EXP(-LN(2)/2)*AW87+(1-EXP(-LN(2)/2))/(LN(2)/2)*AQ88*AT88*VLOOKUP('Données projet'!$B$10,Paramètres!$A$1:$I$89,3,0)*0.475*44/12</f>
        <v>3.8327801903562686E-8</v>
      </c>
      <c r="AX88" s="23">
        <f t="shared" si="60"/>
        <v>1.1823967115490781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199.99999999999986</v>
      </c>
      <c r="BE88" s="14">
        <f>BD88*VLOOKUP('Données projet'!$B$11,Paramètres!$A$1:$I$89,3,0)*VLOOKUP('Données projet'!$B$11,Paramètres!$A$1:$I$89,5,0)</f>
        <v>199.67999999999986</v>
      </c>
      <c r="BF88" s="14">
        <f t="shared" si="91"/>
        <v>49.673834858130768</v>
      </c>
      <c r="BG88" s="22">
        <f t="shared" si="61"/>
        <v>434.29126237791087</v>
      </c>
      <c r="BH88" s="62">
        <f t="shared" si="62"/>
        <v>706.91372310619238</v>
      </c>
      <c r="BI88" s="62">
        <f ca="1">AVERAGE(OFFSET($BH$3,0,0,'Données projet'!$E$11+1,1))-AVERAGE(OFFSET($H$3,0,0,'Données projet'!$E$11+1,1))</f>
        <v>341.48836779133632</v>
      </c>
      <c r="BJ88" s="62">
        <f t="shared" si="92"/>
        <v>176.87842498964287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0.76817495823769455</v>
      </c>
      <c r="BR88" s="23">
        <f>EXP(-LN(2)/2)*BR87+(1-EXP(-LN(2)/2))/(LN(2)/2)*BL88*BO88*VLOOKUP('Données projet'!$B$11,Paramètres!$A$1:$I$89,3,0)*0.475*44/12</f>
        <v>1.8248296573827059E-7</v>
      </c>
      <c r="BS88" s="24">
        <f t="shared" si="63"/>
        <v>0.76817514072066029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200</v>
      </c>
      <c r="BW88" s="13">
        <f>VLOOKUP(A88,'Données projet'!$A$113:$I$133,9,0)</f>
        <v>4.4000000000000004</v>
      </c>
      <c r="BX88" s="13">
        <f t="array" ref="BX88">INDEX(BW:BW,MIN(IF(ISNUMBER(BW88:BW284),ROW(BW88:BW284),"")))</f>
        <v>4.4000000000000004</v>
      </c>
      <c r="BY88" s="13">
        <f>IF('Données projet'!$A$114&gt;35,BY87+BX88-CG87,IF(A88&lt;'Données projet'!$A$114,$BV$205^A88,IF(A88='Données projet'!$A$114,'Données projet'!$B$114,BY87+BX88-CG87)))</f>
        <v>199.99999999999986</v>
      </c>
      <c r="BZ88" s="14">
        <f>BY88*VLOOKUP('Données projet'!$B$12,Paramètres!$A$1:$I$89,3,0)*VLOOKUP('Données projet'!$B$12,Paramètres!$A$1:$I$89,5,0)</f>
        <v>134.15999999999991</v>
      </c>
      <c r="CA88" s="14">
        <f t="shared" si="93"/>
        <v>34.95584391729615</v>
      </c>
      <c r="CB88" s="22">
        <f t="shared" si="64"/>
        <v>294.54342815595732</v>
      </c>
      <c r="CC88" s="62">
        <f t="shared" si="65"/>
        <v>567.16588888423883</v>
      </c>
      <c r="CD88" s="62">
        <f ca="1">AVERAGE(OFFSET($CC$3,0,0,'Données projet'!$E$12+1,1))-AVERAGE(OFFSET($H$3,0,0,'Données projet'!$E$12+1,1))</f>
        <v>253.16238957399855</v>
      </c>
      <c r="CE88" s="62">
        <f t="shared" si="94"/>
        <v>138.00705940844708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14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0.63614488729059104</v>
      </c>
      <c r="CM88" s="23">
        <f>EXP(-LN(2)/2)*CM87+(1-EXP(-LN(2)/2))/(LN(2)/2)*CG88*CJ88*VLOOKUP('Données projet'!$B$12,Paramètres!$A$1:$I$89,3,0)*0.475*44/12</f>
        <v>1.2260574260540054E-7</v>
      </c>
      <c r="CN88" s="24">
        <f t="shared" si="66"/>
        <v>0.6361450098963336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4.2</v>
      </c>
      <c r="N89" s="14">
        <f>IF('Données projet'!$A$36&gt;35,N88+M89-V88,IF(A89&lt;'Données projet'!$A$36,$K$205^A89,IF(A89='Données projet'!$A$36,'Données projet'!$B$36,N88+M89-V88)))</f>
        <v>190.19999999999985</v>
      </c>
      <c r="O89" s="14">
        <f>N89*VLOOKUP('Données projet'!$B$9,Paramètres!$A$1:$I$89,3,0)*VLOOKUP('Données projet'!$B$9,Paramètres!$A$1:$I$89,5,0)</f>
        <v>192.86279999999988</v>
      </c>
      <c r="P89" s="14">
        <f t="shared" si="87"/>
        <v>48.172325347436733</v>
      </c>
      <c r="Q89" s="22">
        <f t="shared" si="54"/>
        <v>419.80284331345206</v>
      </c>
      <c r="R89" s="62">
        <f t="shared" si="55"/>
        <v>692.7845913788567</v>
      </c>
      <c r="S89" s="62">
        <f ca="1">AVERAGE(OFFSET($R$3,0,0,'Données projet'!$E$9+1,1))-AVERAGE(OFFSET($H$3,0,0,'Données projet'!$E$9+1,1))</f>
        <v>345.67675698621832</v>
      </c>
      <c r="T89" s="62">
        <f t="shared" si="88"/>
        <v>178.72086185623849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-1.1368683772161603E-13</v>
      </c>
      <c r="AJ89" s="14">
        <f>AI89*VLOOKUP('Données projet'!$B$10,Paramètres!$A$1:$I$89,3,0)*VLOOKUP('Données projet'!$B$10,Paramètres!$A$1:$I$89,5,0)</f>
        <v>-9.9316821433603781E-14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219.21539650048186</v>
      </c>
      <c r="AO89" s="62">
        <f t="shared" si="90"/>
        <v>204.10961748628708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1.1500639740125018</v>
      </c>
      <c r="AW89" s="23">
        <f>EXP(-LN(2)/2)*AW88+(1-EXP(-LN(2)/2))/(LN(2)/2)*AQ89*AT89*VLOOKUP('Données projet'!$B$10,Paramètres!$A$1:$I$89,3,0)*0.475*44/12</f>
        <v>2.710184863398384E-8</v>
      </c>
      <c r="AX89" s="23">
        <f t="shared" si="60"/>
        <v>1.1500640011143504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190.19999999999985</v>
      </c>
      <c r="BE89" s="14">
        <f>BD89*VLOOKUP('Données projet'!$B$11,Paramètres!$A$1:$I$89,3,0)*VLOOKUP('Données projet'!$B$11,Paramètres!$A$1:$I$89,5,0)</f>
        <v>189.89567999999986</v>
      </c>
      <c r="BF89" s="14">
        <f t="shared" si="91"/>
        <v>47.516888443238621</v>
      </c>
      <c r="BG89" s="22">
        <f t="shared" si="61"/>
        <v>413.49355670530707</v>
      </c>
      <c r="BH89" s="62">
        <f t="shared" si="62"/>
        <v>686.47530477071177</v>
      </c>
      <c r="BI89" s="62">
        <f ca="1">AVERAGE(OFFSET($BH$3,0,0,'Données projet'!$E$11+1,1))-AVERAGE(OFFSET($H$3,0,0,'Données projet'!$E$11+1,1))</f>
        <v>341.48836779133632</v>
      </c>
      <c r="BJ89" s="62">
        <f t="shared" si="92"/>
        <v>176.87842498964287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0.74716917360811941</v>
      </c>
      <c r="BR89" s="23">
        <f>EXP(-LN(2)/2)*BR88+(1-EXP(-LN(2)/2))/(LN(2)/2)*BL89*BO89*VLOOKUP('Données projet'!$B$11,Paramètres!$A$1:$I$89,3,0)*0.475*44/12</f>
        <v>1.2903494252456355E-7</v>
      </c>
      <c r="BS89" s="24">
        <f t="shared" si="63"/>
        <v>0.74716930264306192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4.2</v>
      </c>
      <c r="BY89" s="13">
        <f>IF('Données projet'!$A$114&gt;35,BY88+BX89-CG88,IF(A89&lt;'Données projet'!$A$114,$BV$205^A89,IF(A89='Données projet'!$A$114,'Données projet'!$B$114,BY88+BX89-CG88)))</f>
        <v>190.19999999999985</v>
      </c>
      <c r="BZ89" s="14">
        <f>BY89*VLOOKUP('Données projet'!$B$12,Paramètres!$A$1:$I$89,3,0)*VLOOKUP('Données projet'!$B$12,Paramètres!$A$1:$I$89,5,0)</f>
        <v>127.58615999999989</v>
      </c>
      <c r="CA89" s="14">
        <f t="shared" si="93"/>
        <v>33.437984818390682</v>
      </c>
      <c r="CB89" s="22">
        <f t="shared" si="64"/>
        <v>280.45038555869695</v>
      </c>
      <c r="CC89" s="62">
        <f t="shared" si="65"/>
        <v>553.43213362410165</v>
      </c>
      <c r="CD89" s="62">
        <f ca="1">AVERAGE(OFFSET($CC$3,0,0,'Données projet'!$E$12+1,1))-AVERAGE(OFFSET($H$3,0,0,'Données projet'!$E$12+1,1))</f>
        <v>253.16238957399855</v>
      </c>
      <c r="CE89" s="62">
        <f t="shared" si="94"/>
        <v>138.00705940844708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0.61874947189422413</v>
      </c>
      <c r="CM89" s="23">
        <f>EXP(-LN(2)/2)*CM88+(1-EXP(-LN(2)/2))/(LN(2)/2)*CG89*CJ89*VLOOKUP('Données projet'!$B$12,Paramètres!$A$1:$I$89,3,0)*0.475*44/12</f>
        <v>8.669535200869113E-8</v>
      </c>
      <c r="CN89" s="24">
        <f t="shared" si="66"/>
        <v>0.61874955858957614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4.2</v>
      </c>
      <c r="N90" s="14">
        <f>IF('Données projet'!$A$36&gt;35,N89+M90-V89,IF(A90&lt;'Données projet'!$A$36,$K$205^A90,IF(A90='Données projet'!$A$36,'Données projet'!$B$36,N89+M90-V89)))</f>
        <v>194.39999999999984</v>
      </c>
      <c r="O90" s="14">
        <f>N90*VLOOKUP('Données projet'!$B$9,Paramètres!$A$1:$I$89,3,0)*VLOOKUP('Données projet'!$B$9,Paramètres!$A$1:$I$89,5,0)</f>
        <v>197.12159999999986</v>
      </c>
      <c r="P90" s="14">
        <f t="shared" si="87"/>
        <v>49.111049803800405</v>
      </c>
      <c r="Q90" s="22">
        <f t="shared" si="54"/>
        <v>428.85519840828539</v>
      </c>
      <c r="R90" s="62">
        <f t="shared" si="55"/>
        <v>702.19000097876028</v>
      </c>
      <c r="S90" s="62">
        <f ca="1">AVERAGE(OFFSET($R$3,0,0,'Données projet'!$E$9+1,1))-AVERAGE(OFFSET($H$3,0,0,'Données projet'!$E$9+1,1))</f>
        <v>345.67675698621832</v>
      </c>
      <c r="T90" s="62">
        <f t="shared" si="88"/>
        <v>178.72086185623849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-1.1368683772161603E-13</v>
      </c>
      <c r="AJ90" s="14">
        <f>AI90*VLOOKUP('Données projet'!$B$10,Paramètres!$A$1:$I$89,3,0)*VLOOKUP('Données projet'!$B$10,Paramètres!$A$1:$I$89,5,0)</f>
        <v>-9.9316821433603781E-14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219.21539650048186</v>
      </c>
      <c r="AO90" s="62">
        <f t="shared" si="90"/>
        <v>204.10961748628708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1.118615414163894</v>
      </c>
      <c r="AW90" s="23">
        <f>EXP(-LN(2)/2)*AW89+(1-EXP(-LN(2)/2))/(LN(2)/2)*AQ90*AT90*VLOOKUP('Données projet'!$B$10,Paramètres!$A$1:$I$89,3,0)*0.475*44/12</f>
        <v>1.9163900951781343E-8</v>
      </c>
      <c r="AX90" s="23">
        <f t="shared" si="60"/>
        <v>1.1186154333277949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194.39999999999984</v>
      </c>
      <c r="BE90" s="14">
        <f>BD90*VLOOKUP('Données projet'!$B$11,Paramètres!$A$1:$I$89,3,0)*VLOOKUP('Données projet'!$B$11,Paramètres!$A$1:$I$89,5,0)</f>
        <v>194.08895999999984</v>
      </c>
      <c r="BF90" s="14">
        <f t="shared" si="91"/>
        <v>48.44284053191739</v>
      </c>
      <c r="BG90" s="22">
        <f t="shared" si="61"/>
        <v>422.40955259308924</v>
      </c>
      <c r="BH90" s="62">
        <f t="shared" si="62"/>
        <v>695.74435516356402</v>
      </c>
      <c r="BI90" s="62">
        <f ca="1">AVERAGE(OFFSET($BH$3,0,0,'Données projet'!$E$11+1,1))-AVERAGE(OFFSET($H$3,0,0,'Données projet'!$E$11+1,1))</f>
        <v>341.48836779133632</v>
      </c>
      <c r="BJ90" s="62">
        <f t="shared" si="92"/>
        <v>176.87842498964287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0.72673779326388621</v>
      </c>
      <c r="BR90" s="23">
        <f>EXP(-LN(2)/2)*BR89+(1-EXP(-LN(2)/2))/(LN(2)/2)*BL90*BO90*VLOOKUP('Données projet'!$B$11,Paramètres!$A$1:$I$89,3,0)*0.475*44/12</f>
        <v>9.1241482869135297E-8</v>
      </c>
      <c r="BS90" s="24">
        <f t="shared" si="63"/>
        <v>0.72673788450536914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4.2</v>
      </c>
      <c r="BY90" s="13">
        <f>IF('Données projet'!$A$114&gt;35,BY89+BX90-CG89,IF(A90&lt;'Données projet'!$A$114,$BV$205^A90,IF(A90='Données projet'!$A$114,'Données projet'!$B$114,BY89+BX90-CG89)))</f>
        <v>194.39999999999984</v>
      </c>
      <c r="BZ90" s="14">
        <f>BY90*VLOOKUP('Données projet'!$B$12,Paramètres!$A$1:$I$89,3,0)*VLOOKUP('Données projet'!$B$12,Paramètres!$A$1:$I$89,5,0)</f>
        <v>130.4035199999999</v>
      </c>
      <c r="CA90" s="14">
        <f t="shared" si="93"/>
        <v>34.089584131775517</v>
      </c>
      <c r="CB90" s="22">
        <f t="shared" si="64"/>
        <v>286.49215636284219</v>
      </c>
      <c r="CC90" s="62">
        <f t="shared" si="65"/>
        <v>559.82695893331697</v>
      </c>
      <c r="CD90" s="62">
        <f ca="1">AVERAGE(OFFSET($CC$3,0,0,'Données projet'!$E$12+1,1))-AVERAGE(OFFSET($H$3,0,0,'Données projet'!$E$12+1,1))</f>
        <v>253.16238957399855</v>
      </c>
      <c r="CE90" s="62">
        <f t="shared" si="94"/>
        <v>138.00705940844708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0.60182973504665604</v>
      </c>
      <c r="CM90" s="23">
        <f>EXP(-LN(2)/2)*CM89+(1-EXP(-LN(2)/2))/(LN(2)/2)*CG90*CJ90*VLOOKUP('Données projet'!$B$12,Paramètres!$A$1:$I$89,3,0)*0.475*44/12</f>
        <v>6.1302871302700272E-8</v>
      </c>
      <c r="CN90" s="24">
        <f t="shared" si="66"/>
        <v>0.60182979634952738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4.2</v>
      </c>
      <c r="N91" s="14">
        <f>IF('Données projet'!$A$36&gt;35,N90+M91-V90,IF(A91&lt;'Données projet'!$A$36,$K$205^A91,IF(A91='Données projet'!$A$36,'Données projet'!$B$36,N90+M91-V90)))</f>
        <v>198.59999999999982</v>
      </c>
      <c r="O91" s="14">
        <f>N91*VLOOKUP('Données projet'!$B$9,Paramètres!$A$1:$I$89,3,0)*VLOOKUP('Données projet'!$B$9,Paramètres!$A$1:$I$89,5,0)</f>
        <v>201.38039999999984</v>
      </c>
      <c r="P91" s="14">
        <f t="shared" si="87"/>
        <v>50.047416314000095</v>
      </c>
      <c r="Q91" s="22">
        <f t="shared" si="54"/>
        <v>437.90344674688322</v>
      </c>
      <c r="R91" s="62">
        <f t="shared" si="55"/>
        <v>711.58517911607692</v>
      </c>
      <c r="S91" s="62">
        <f ca="1">AVERAGE(OFFSET($R$3,0,0,'Données projet'!$E$9+1,1))-AVERAGE(OFFSET($H$3,0,0,'Données projet'!$E$9+1,1))</f>
        <v>345.67675698621832</v>
      </c>
      <c r="T91" s="62">
        <f t="shared" si="88"/>
        <v>178.72086185623849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-1.1368683772161603E-13</v>
      </c>
      <c r="AJ91" s="14">
        <f>AI91*VLOOKUP('Données projet'!$B$10,Paramètres!$A$1:$I$89,3,0)*VLOOKUP('Données projet'!$B$10,Paramètres!$A$1:$I$89,5,0)</f>
        <v>-9.9316821433603781E-14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219.21539650048186</v>
      </c>
      <c r="AO91" s="62">
        <f t="shared" si="90"/>
        <v>204.10961748628708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1.0880268168381544</v>
      </c>
      <c r="AW91" s="23">
        <f>EXP(-LN(2)/2)*AW90+(1-EXP(-LN(2)/2))/(LN(2)/2)*AQ91*AT91*VLOOKUP('Données projet'!$B$10,Paramètres!$A$1:$I$89,3,0)*0.475*44/12</f>
        <v>1.355092431699192E-8</v>
      </c>
      <c r="AX91" s="23">
        <f t="shared" si="60"/>
        <v>1.0880268303890788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198.59999999999982</v>
      </c>
      <c r="BE91" s="14">
        <f>BD91*VLOOKUP('Données projet'!$B$11,Paramètres!$A$1:$I$89,3,0)*VLOOKUP('Données projet'!$B$11,Paramètres!$A$1:$I$89,5,0)</f>
        <v>198.28223999999983</v>
      </c>
      <c r="BF91" s="14">
        <f t="shared" si="91"/>
        <v>49.366466756855544</v>
      </c>
      <c r="BG91" s="22">
        <f t="shared" si="61"/>
        <v>431.32149760152305</v>
      </c>
      <c r="BH91" s="62">
        <f t="shared" si="62"/>
        <v>705.0032299707168</v>
      </c>
      <c r="BI91" s="62">
        <f ca="1">AVERAGE(OFFSET($BH$3,0,0,'Données projet'!$E$11+1,1))-AVERAGE(OFFSET($H$3,0,0,'Données projet'!$E$11+1,1))</f>
        <v>341.48836779133632</v>
      </c>
      <c r="BJ91" s="62">
        <f t="shared" si="92"/>
        <v>176.87842498964287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0.70686511008960573</v>
      </c>
      <c r="BR91" s="23">
        <f>EXP(-LN(2)/2)*BR90+(1-EXP(-LN(2)/2))/(LN(2)/2)*BL91*BO91*VLOOKUP('Données projet'!$B$11,Paramètres!$A$1:$I$89,3,0)*0.475*44/12</f>
        <v>6.4517471262281776E-8</v>
      </c>
      <c r="BS91" s="24">
        <f t="shared" si="63"/>
        <v>0.70686517460707698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4.2</v>
      </c>
      <c r="BY91" s="13">
        <f>IF('Données projet'!$A$114&gt;35,BY90+BX91-CG90,IF(A91&lt;'Données projet'!$A$114,$BV$205^A91,IF(A91='Données projet'!$A$114,'Données projet'!$B$114,BY90+BX91-CG90)))</f>
        <v>198.59999999999982</v>
      </c>
      <c r="BZ91" s="14">
        <f>BY91*VLOOKUP('Données projet'!$B$12,Paramètres!$A$1:$I$89,3,0)*VLOOKUP('Données projet'!$B$12,Paramètres!$A$1:$I$89,5,0)</f>
        <v>133.22087999999988</v>
      </c>
      <c r="CA91" s="14">
        <f t="shared" si="93"/>
        <v>34.739546717693621</v>
      </c>
      <c r="CB91" s="22">
        <f t="shared" si="64"/>
        <v>292.53107653331614</v>
      </c>
      <c r="CC91" s="62">
        <f t="shared" si="65"/>
        <v>566.21280890250978</v>
      </c>
      <c r="CD91" s="62">
        <f ca="1">AVERAGE(OFFSET($CC$3,0,0,'Données projet'!$E$12+1,1))-AVERAGE(OFFSET($H$3,0,0,'Données projet'!$E$12+1,1))</f>
        <v>253.16238957399855</v>
      </c>
      <c r="CE91" s="62">
        <f t="shared" si="94"/>
        <v>138.00705940844708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0.58537266929295495</v>
      </c>
      <c r="CM91" s="23">
        <f>EXP(-LN(2)/2)*CM90+(1-EXP(-LN(2)/2))/(LN(2)/2)*CG91*CJ91*VLOOKUP('Données projet'!$B$12,Paramètres!$A$1:$I$89,3,0)*0.475*44/12</f>
        <v>4.3347676004345565E-8</v>
      </c>
      <c r="CN91" s="24">
        <f t="shared" si="66"/>
        <v>0.58537271264063095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4.2</v>
      </c>
      <c r="N92" s="14">
        <f>IF('Données projet'!$A$36&gt;35,N91+M92-V91,IF(A92&lt;'Données projet'!$A$36,$K$205^A92,IF(A92='Données projet'!$A$36,'Données projet'!$B$36,N91+M92-V91)))</f>
        <v>202.79999999999981</v>
      </c>
      <c r="O92" s="14">
        <f>N92*VLOOKUP('Données projet'!$B$9,Paramètres!$A$1:$I$89,3,0)*VLOOKUP('Données projet'!$B$9,Paramètres!$A$1:$I$89,5,0)</f>
        <v>205.63919999999982</v>
      </c>
      <c r="P92" s="14">
        <f t="shared" si="87"/>
        <v>50.981480488268076</v>
      </c>
      <c r="Q92" s="22">
        <f t="shared" si="54"/>
        <v>446.94768518373326</v>
      </c>
      <c r="R92" s="62">
        <f t="shared" si="55"/>
        <v>720.9703288952569</v>
      </c>
      <c r="S92" s="62">
        <f ca="1">AVERAGE(OFFSET($R$3,0,0,'Données projet'!$E$9+1,1))-AVERAGE(OFFSET($H$3,0,0,'Données projet'!$E$9+1,1))</f>
        <v>345.67675698621832</v>
      </c>
      <c r="T92" s="62">
        <f t="shared" si="88"/>
        <v>178.72086185623849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-1.1368683772161603E-13</v>
      </c>
      <c r="AJ92" s="14">
        <f>AI92*VLOOKUP('Données projet'!$B$10,Paramètres!$A$1:$I$89,3,0)*VLOOKUP('Données projet'!$B$10,Paramètres!$A$1:$I$89,5,0)</f>
        <v>-9.9316821433603781E-14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219.21539650048186</v>
      </c>
      <c r="AO92" s="62">
        <f t="shared" si="90"/>
        <v>204.10961748628708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1.0582746663148714</v>
      </c>
      <c r="AW92" s="23">
        <f>EXP(-LN(2)/2)*AW91+(1-EXP(-LN(2)/2))/(LN(2)/2)*AQ92*AT92*VLOOKUP('Données projet'!$B$10,Paramètres!$A$1:$I$89,3,0)*0.475*44/12</f>
        <v>9.5819504758906714E-9</v>
      </c>
      <c r="AX92" s="23">
        <f t="shared" si="60"/>
        <v>1.058274675896822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202.79999999999981</v>
      </c>
      <c r="BE92" s="14">
        <f>BD92*VLOOKUP('Données projet'!$B$11,Paramètres!$A$1:$I$89,3,0)*VLOOKUP('Données projet'!$B$11,Paramètres!$A$1:$I$89,5,0)</f>
        <v>202.47551999999982</v>
      </c>
      <c r="BF92" s="14">
        <f t="shared" si="91"/>
        <v>50.287821971647496</v>
      </c>
      <c r="BG92" s="22">
        <f t="shared" si="61"/>
        <v>440.22948726728572</v>
      </c>
      <c r="BH92" s="62">
        <f t="shared" si="62"/>
        <v>714.2521309788093</v>
      </c>
      <c r="BI92" s="62">
        <f ca="1">AVERAGE(OFFSET($BH$3,0,0,'Données projet'!$E$11+1,1))-AVERAGE(OFFSET($H$3,0,0,'Données projet'!$E$11+1,1))</f>
        <v>341.48836779133632</v>
      </c>
      <c r="BJ92" s="62">
        <f t="shared" si="92"/>
        <v>176.87842498964287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0.6875358464817849</v>
      </c>
      <c r="BR92" s="23">
        <f>EXP(-LN(2)/2)*BR91+(1-EXP(-LN(2)/2))/(LN(2)/2)*BL92*BO92*VLOOKUP('Données projet'!$B$11,Paramètres!$A$1:$I$89,3,0)*0.475*44/12</f>
        <v>4.5620741434567648E-8</v>
      </c>
      <c r="BS92" s="24">
        <f t="shared" si="63"/>
        <v>0.6875358921025263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4.2</v>
      </c>
      <c r="BY92" s="13">
        <f>IF('Données projet'!$A$114&gt;35,BY91+BX92-CG91,IF(A92&lt;'Données projet'!$A$114,$BV$205^A92,IF(A92='Données projet'!$A$114,'Données projet'!$B$114,BY91+BX92-CG91)))</f>
        <v>202.79999999999981</v>
      </c>
      <c r="BZ92" s="14">
        <f>BY92*VLOOKUP('Données projet'!$B$12,Paramètres!$A$1:$I$89,3,0)*VLOOKUP('Données projet'!$B$12,Paramètres!$A$1:$I$89,5,0)</f>
        <v>136.03823999999989</v>
      </c>
      <c r="CA92" s="14">
        <f t="shared" si="93"/>
        <v>35.387911177023916</v>
      </c>
      <c r="CB92" s="22">
        <f t="shared" si="64"/>
        <v>298.56721329998305</v>
      </c>
      <c r="CC92" s="62">
        <f t="shared" si="65"/>
        <v>572.58985701150664</v>
      </c>
      <c r="CD92" s="62">
        <f ca="1">AVERAGE(OFFSET($CC$3,0,0,'Données projet'!$E$12+1,1))-AVERAGE(OFFSET($H$3,0,0,'Données projet'!$E$12+1,1))</f>
        <v>253.16238957399855</v>
      </c>
      <c r="CE92" s="62">
        <f t="shared" si="94"/>
        <v>138.00705940844708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0.56936562286772829</v>
      </c>
      <c r="CM92" s="23">
        <f>EXP(-LN(2)/2)*CM91+(1-EXP(-LN(2)/2))/(LN(2)/2)*CG92*CJ92*VLOOKUP('Données projet'!$B$12,Paramètres!$A$1:$I$89,3,0)*0.475*44/12</f>
        <v>3.0651435651350136E-8</v>
      </c>
      <c r="CN92" s="24">
        <f t="shared" si="66"/>
        <v>0.56936565351916391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207</v>
      </c>
      <c r="L93" s="13">
        <f>VLOOKUP(A93,'Données projet'!$A$35:$I$55,9,0)</f>
        <v>4.2</v>
      </c>
      <c r="M93" s="13">
        <f t="array" ref="M93">INDEX(L:L,MIN(IF(ISNUMBER(L93:L289),ROW(L93:L289),"")))</f>
        <v>4.2</v>
      </c>
      <c r="N93" s="14">
        <f>IF('Données projet'!$A$36&gt;35,N92+M93-V92,IF(A93&lt;'Données projet'!$A$36,$K$205^A93,IF(A93='Données projet'!$A$36,'Données projet'!$B$36,N92+M93-V92)))</f>
        <v>206.9999999999998</v>
      </c>
      <c r="O93" s="14">
        <f>N93*VLOOKUP('Données projet'!$B$9,Paramètres!$A$1:$I$89,3,0)*VLOOKUP('Données projet'!$B$9,Paramètres!$A$1:$I$89,5,0)</f>
        <v>209.8979999999998</v>
      </c>
      <c r="P93" s="14">
        <f t="shared" si="87"/>
        <v>51.913295501810218</v>
      </c>
      <c r="Q93" s="22">
        <f t="shared" si="54"/>
        <v>455.98800633231912</v>
      </c>
      <c r="R93" s="62">
        <f t="shared" si="55"/>
        <v>730.34564733654679</v>
      </c>
      <c r="S93" s="62">
        <f ca="1">AVERAGE(OFFSET($R$3,0,0,'Données projet'!$E$9+1,1))-AVERAGE(OFFSET($H$3,0,0,'Données projet'!$E$9+1,1))</f>
        <v>345.67675698621832</v>
      </c>
      <c r="T93" s="62">
        <f t="shared" si="88"/>
        <v>178.72086185623849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14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-1.1368683772161603E-13</v>
      </c>
      <c r="AJ93" s="14">
        <f>AI93*VLOOKUP('Données projet'!$B$10,Paramètres!$A$1:$I$89,3,0)*VLOOKUP('Données projet'!$B$10,Paramètres!$A$1:$I$89,5,0)</f>
        <v>-9.9316821433603781E-14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219.21539650048186</v>
      </c>
      <c r="AO93" s="62">
        <f t="shared" si="90"/>
        <v>204.10961748628708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1.0293360899122452</v>
      </c>
      <c r="AW93" s="23">
        <f>EXP(-LN(2)/2)*AW92+(1-EXP(-LN(2)/2))/(LN(2)/2)*AQ93*AT93*VLOOKUP('Données projet'!$B$10,Paramètres!$A$1:$I$89,3,0)*0.475*44/12</f>
        <v>6.77546215849596E-9</v>
      </c>
      <c r="AX93" s="23">
        <f t="shared" si="60"/>
        <v>1.0293360966877074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206.9999999999998</v>
      </c>
      <c r="BE93" s="14">
        <f>BD93*VLOOKUP('Données projet'!$B$11,Paramètres!$A$1:$I$89,3,0)*VLOOKUP('Données projet'!$B$11,Paramètres!$A$1:$I$89,5,0)</f>
        <v>206.66879999999981</v>
      </c>
      <c r="BF93" s="14">
        <f t="shared" si="91"/>
        <v>51.206958627992705</v>
      </c>
      <c r="BG93" s="22">
        <f t="shared" si="61"/>
        <v>449.13361294375363</v>
      </c>
      <c r="BH93" s="62">
        <f t="shared" si="62"/>
        <v>723.49125394798125</v>
      </c>
      <c r="BI93" s="62">
        <f ca="1">AVERAGE(OFFSET($BH$3,0,0,'Données projet'!$E$11+1,1))-AVERAGE(OFFSET($H$3,0,0,'Données projet'!$E$11+1,1))</f>
        <v>341.48836779133632</v>
      </c>
      <c r="BJ93" s="62">
        <f t="shared" si="92"/>
        <v>176.87842498964287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0.66873514260380174</v>
      </c>
      <c r="BR93" s="23">
        <f>EXP(-LN(2)/2)*BR92+(1-EXP(-LN(2)/2))/(LN(2)/2)*BL93*BO93*VLOOKUP('Données projet'!$B$11,Paramètres!$A$1:$I$89,3,0)*0.475*44/12</f>
        <v>3.2258735631140888E-8</v>
      </c>
      <c r="BS93" s="24">
        <f t="shared" si="63"/>
        <v>0.66873517486253742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207</v>
      </c>
      <c r="BW93" s="13">
        <f>VLOOKUP(A93,'Données projet'!$A$113:$I$133,9,0)</f>
        <v>4.2</v>
      </c>
      <c r="BX93" s="13">
        <f t="array" ref="BX93">INDEX(BW:BW,MIN(IF(ISNUMBER(BW93:BW289),ROW(BW93:BW289),"")))</f>
        <v>4.2</v>
      </c>
      <c r="BY93" s="13">
        <f>IF('Données projet'!$A$114&gt;35,BY92+BX93-CG92,IF(A93&lt;'Données projet'!$A$114,$BV$205^A93,IF(A93='Données projet'!$A$114,'Données projet'!$B$114,BY92+BX93-CG92)))</f>
        <v>206.9999999999998</v>
      </c>
      <c r="BZ93" s="14">
        <f>BY93*VLOOKUP('Données projet'!$B$12,Paramètres!$A$1:$I$89,3,0)*VLOOKUP('Données projet'!$B$12,Paramètres!$A$1:$I$89,5,0)</f>
        <v>138.85559999999987</v>
      </c>
      <c r="CA93" s="14">
        <f t="shared" si="93"/>
        <v>36.034714420414126</v>
      </c>
      <c r="CB93" s="22">
        <f t="shared" si="64"/>
        <v>304.60063094888767</v>
      </c>
      <c r="CC93" s="62">
        <f t="shared" si="65"/>
        <v>578.9582719531154</v>
      </c>
      <c r="CD93" s="62">
        <f ca="1">AVERAGE(OFFSET($CC$3,0,0,'Données projet'!$E$12+1,1))-AVERAGE(OFFSET($H$3,0,0,'Données projet'!$E$12+1,1))</f>
        <v>253.16238957399855</v>
      </c>
      <c r="CE93" s="62">
        <f t="shared" si="94"/>
        <v>138.00705940844708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14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0.5537962899687735</v>
      </c>
      <c r="CM93" s="23">
        <f>EXP(-LN(2)/2)*CM92+(1-EXP(-LN(2)/2))/(LN(2)/2)*CG93*CJ93*VLOOKUP('Données projet'!$B$12,Paramètres!$A$1:$I$89,3,0)*0.475*44/12</f>
        <v>2.1673838002172782E-8</v>
      </c>
      <c r="CN93" s="24">
        <f t="shared" si="66"/>
        <v>0.55379631164261156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3.8</v>
      </c>
      <c r="N94" s="14">
        <f>IF('Données projet'!$A$36&gt;35,N93+M94-V93,IF(A94&lt;'Données projet'!$A$36,$K$205^A94,IF(A94='Données projet'!$A$36,'Données projet'!$B$36,N93+M94-V93)))</f>
        <v>196.79999999999981</v>
      </c>
      <c r="O94" s="14">
        <f>N94*VLOOKUP('Données projet'!$B$9,Paramètres!$A$1:$I$89,3,0)*VLOOKUP('Données projet'!$B$9,Paramètres!$A$1:$I$89,5,0)</f>
        <v>199.55519999999984</v>
      </c>
      <c r="P94" s="14">
        <f t="shared" si="87"/>
        <v>49.646401484745567</v>
      </c>
      <c r="Q94" s="22">
        <f t="shared" si="54"/>
        <v>434.02612258593155</v>
      </c>
      <c r="R94" s="62">
        <f t="shared" si="55"/>
        <v>708.7129494287766</v>
      </c>
      <c r="S94" s="62">
        <f ca="1">AVERAGE(OFFSET($R$3,0,0,'Données projet'!$E$9+1,1))-AVERAGE(OFFSET($H$3,0,0,'Données projet'!$E$9+1,1))</f>
        <v>345.67675698621832</v>
      </c>
      <c r="T94" s="62">
        <f t="shared" si="88"/>
        <v>178.72086185623849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219.21539650048186</v>
      </c>
      <c r="AO94" s="62">
        <f t="shared" si="90"/>
        <v>204.10961748628708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1.0011888404031626</v>
      </c>
      <c r="AW94" s="23">
        <f>EXP(-LN(2)/2)*AW93+(1-EXP(-LN(2)/2))/(LN(2)/2)*AQ94*AT94*VLOOKUP('Données projet'!$B$10,Paramètres!$A$1:$I$89,3,0)*0.475*44/12</f>
        <v>4.7909752379453357E-9</v>
      </c>
      <c r="AX94" s="23">
        <f t="shared" si="60"/>
        <v>1.0011888451941378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196.79999999999981</v>
      </c>
      <c r="BE94" s="14">
        <f>BD94*VLOOKUP('Données projet'!$B$11,Paramètres!$A$1:$I$89,3,0)*VLOOKUP('Données projet'!$B$11,Paramètres!$A$1:$I$89,5,0)</f>
        <v>196.48511999999982</v>
      </c>
      <c r="BF94" s="14">
        <f t="shared" si="91"/>
        <v>48.970908170710025</v>
      </c>
      <c r="BG94" s="22">
        <f t="shared" si="61"/>
        <v>427.50258239731966</v>
      </c>
      <c r="BH94" s="62">
        <f t="shared" si="62"/>
        <v>702.18940924016465</v>
      </c>
      <c r="BI94" s="62">
        <f ca="1">AVERAGE(OFFSET($BH$3,0,0,'Données projet'!$E$11+1,1))-AVERAGE(OFFSET($H$3,0,0,'Données projet'!$E$11+1,1))</f>
        <v>341.48836779133632</v>
      </c>
      <c r="BJ94" s="62">
        <f t="shared" si="92"/>
        <v>176.87842498964287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0.65044854496204807</v>
      </c>
      <c r="BR94" s="23">
        <f>EXP(-LN(2)/2)*BR93+(1-EXP(-LN(2)/2))/(LN(2)/2)*BL94*BO94*VLOOKUP('Données projet'!$B$11,Paramètres!$A$1:$I$89,3,0)*0.475*44/12</f>
        <v>2.2810370717283824E-8</v>
      </c>
      <c r="BS94" s="24">
        <f t="shared" si="63"/>
        <v>0.65044856777241877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3.8</v>
      </c>
      <c r="BY94" s="13">
        <f>IF('Données projet'!$A$114&gt;35,BY93+BX94-CG93,IF(A94&lt;'Données projet'!$A$114,$BV$205^A94,IF(A94='Données projet'!$A$114,'Données projet'!$B$114,BY93+BX94-CG93)))</f>
        <v>196.79999999999981</v>
      </c>
      <c r="BZ94" s="14">
        <f>BY94*VLOOKUP('Données projet'!$B$12,Paramètres!$A$1:$I$89,3,0)*VLOOKUP('Données projet'!$B$12,Paramètres!$A$1:$I$89,5,0)</f>
        <v>132.01343999999989</v>
      </c>
      <c r="CA94" s="14">
        <f t="shared" si="93"/>
        <v>34.461189223513038</v>
      </c>
      <c r="CB94" s="22">
        <f t="shared" si="64"/>
        <v>289.94331256428501</v>
      </c>
      <c r="CC94" s="62">
        <f t="shared" si="65"/>
        <v>564.63013940713006</v>
      </c>
      <c r="CD94" s="62">
        <f ca="1">AVERAGE(OFFSET($CC$3,0,0,'Données projet'!$E$12+1,1))-AVERAGE(OFFSET($H$3,0,0,'Données projet'!$E$12+1,1))</f>
        <v>253.16238957399855</v>
      </c>
      <c r="CE94" s="62">
        <f t="shared" si="94"/>
        <v>138.00705940844708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0.53865270129669618</v>
      </c>
      <c r="CM94" s="23">
        <f>EXP(-LN(2)/2)*CM93+(1-EXP(-LN(2)/2))/(LN(2)/2)*CG94*CJ94*VLOOKUP('Données projet'!$B$12,Paramètres!$A$1:$I$89,3,0)*0.475*44/12</f>
        <v>1.5325717825675068E-8</v>
      </c>
      <c r="CN94" s="24">
        <f t="shared" si="66"/>
        <v>0.53865271662241399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3.8</v>
      </c>
      <c r="N95" s="14">
        <f>IF('Données projet'!$A$36&gt;35,N94+M95-V94,IF(A95&lt;'Données projet'!$A$36,$K$205^A95,IF(A95='Données projet'!$A$36,'Données projet'!$B$36,N94+M95-V94)))</f>
        <v>200.59999999999982</v>
      </c>
      <c r="O95" s="14">
        <f>N95*VLOOKUP('Données projet'!$B$9,Paramètres!$A$1:$I$89,3,0)*VLOOKUP('Données projet'!$B$9,Paramètres!$A$1:$I$89,5,0)</f>
        <v>203.40839999999986</v>
      </c>
      <c r="P95" s="14">
        <f t="shared" si="87"/>
        <v>50.492492598976959</v>
      </c>
      <c r="Q95" s="22">
        <f t="shared" si="54"/>
        <v>442.21072127655128</v>
      </c>
      <c r="R95" s="62">
        <f t="shared" si="55"/>
        <v>717.221023319663</v>
      </c>
      <c r="S95" s="62">
        <f ca="1">AVERAGE(OFFSET($R$3,0,0,'Données projet'!$E$9+1,1))-AVERAGE(OFFSET($H$3,0,0,'Données projet'!$E$9+1,1))</f>
        <v>345.67675698621832</v>
      </c>
      <c r="T95" s="62">
        <f t="shared" si="88"/>
        <v>178.72086185623849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219.21539650048186</v>
      </c>
      <c r="AO95" s="62">
        <f t="shared" si="90"/>
        <v>204.10961748628708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0.97381127891210528</v>
      </c>
      <c r="AW95" s="23">
        <f>EXP(-LN(2)/2)*AW94+(1-EXP(-LN(2)/2))/(LN(2)/2)*AQ95*AT95*VLOOKUP('Données projet'!$B$10,Paramètres!$A$1:$I$89,3,0)*0.475*44/12</f>
        <v>3.38773107924798E-9</v>
      </c>
      <c r="AX95" s="23">
        <f t="shared" si="60"/>
        <v>0.97381128229983638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200.59999999999982</v>
      </c>
      <c r="BE95" s="14">
        <f>BD95*VLOOKUP('Données projet'!$B$11,Paramètres!$A$1:$I$89,3,0)*VLOOKUP('Données projet'!$B$11,Paramètres!$A$1:$I$89,5,0)</f>
        <v>200.27903999999984</v>
      </c>
      <c r="BF95" s="14">
        <f t="shared" si="91"/>
        <v>49.805487294673526</v>
      </c>
      <c r="BG95" s="22">
        <f t="shared" si="61"/>
        <v>435.56388503822274</v>
      </c>
      <c r="BH95" s="62">
        <f t="shared" si="62"/>
        <v>710.57418708133446</v>
      </c>
      <c r="BI95" s="62">
        <f ca="1">AVERAGE(OFFSET($BH$3,0,0,'Données projet'!$E$11+1,1))-AVERAGE(OFFSET($H$3,0,0,'Données projet'!$E$11+1,1))</f>
        <v>341.48836779133632</v>
      </c>
      <c r="BJ95" s="62">
        <f t="shared" si="92"/>
        <v>176.87842498964287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0.63266199529445855</v>
      </c>
      <c r="BR95" s="23">
        <f>EXP(-LN(2)/2)*BR94+(1-EXP(-LN(2)/2))/(LN(2)/2)*BL95*BO95*VLOOKUP('Données projet'!$B$11,Paramètres!$A$1:$I$89,3,0)*0.475*44/12</f>
        <v>1.6129367815570444E-8</v>
      </c>
      <c r="BS95" s="24">
        <f t="shared" si="63"/>
        <v>0.63266201142382639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3.8</v>
      </c>
      <c r="BY95" s="13">
        <f>IF('Données projet'!$A$114&gt;35,BY94+BX95-CG94,IF(A95&lt;'Données projet'!$A$114,$BV$205^A95,IF(A95='Données projet'!$A$114,'Données projet'!$B$114,BY94+BX95-CG94)))</f>
        <v>200.59999999999982</v>
      </c>
      <c r="BZ95" s="14">
        <f>BY95*VLOOKUP('Données projet'!$B$12,Paramètres!$A$1:$I$89,3,0)*VLOOKUP('Données projet'!$B$12,Paramètres!$A$1:$I$89,5,0)</f>
        <v>134.56247999999988</v>
      </c>
      <c r="CA95" s="14">
        <f t="shared" si="93"/>
        <v>35.048488707783243</v>
      </c>
      <c r="CB95" s="22">
        <f t="shared" si="64"/>
        <v>295.40577049938889</v>
      </c>
      <c r="CC95" s="62">
        <f t="shared" si="65"/>
        <v>570.41607254250061</v>
      </c>
      <c r="CD95" s="62">
        <f ca="1">AVERAGE(OFFSET($CC$3,0,0,'Données projet'!$E$12+1,1))-AVERAGE(OFFSET($H$3,0,0,'Données projet'!$E$12+1,1))</f>
        <v>253.16238957399855</v>
      </c>
      <c r="CE95" s="62">
        <f t="shared" si="94"/>
        <v>138.00705940844708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0.52392321485322357</v>
      </c>
      <c r="CM95" s="23">
        <f>EXP(-LN(2)/2)*CM94+(1-EXP(-LN(2)/2))/(LN(2)/2)*CG95*CJ95*VLOOKUP('Données projet'!$B$12,Paramètres!$A$1:$I$89,3,0)*0.475*44/12</f>
        <v>1.0836919001086391E-8</v>
      </c>
      <c r="CN95" s="24">
        <f t="shared" si="66"/>
        <v>0.5239232256901426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3.8</v>
      </c>
      <c r="N96" s="14">
        <f>IF('Données projet'!$A$36&gt;35,N95+M96-V95,IF(A96&lt;'Données projet'!$A$36,$K$205^A96,IF(A96='Données projet'!$A$36,'Données projet'!$B$36,N95+M96-V95)))</f>
        <v>204.39999999999984</v>
      </c>
      <c r="O96" s="14">
        <f>N96*VLOOKUP('Données projet'!$B$9,Paramètres!$A$1:$I$89,3,0)*VLOOKUP('Données projet'!$B$9,Paramètres!$A$1:$I$89,5,0)</f>
        <v>207.26159999999985</v>
      </c>
      <c r="P96" s="14">
        <f t="shared" si="87"/>
        <v>51.3367200324452</v>
      </c>
      <c r="Q96" s="22">
        <f t="shared" si="54"/>
        <v>450.39207405650836</v>
      </c>
      <c r="R96" s="62">
        <f t="shared" si="55"/>
        <v>725.72023972834427</v>
      </c>
      <c r="S96" s="62">
        <f ca="1">AVERAGE(OFFSET($R$3,0,0,'Données projet'!$E$9+1,1))-AVERAGE(OFFSET($H$3,0,0,'Données projet'!$E$9+1,1))</f>
        <v>345.67675698621832</v>
      </c>
      <c r="T96" s="62">
        <f t="shared" si="88"/>
        <v>178.72086185623849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219.21539650048186</v>
      </c>
      <c r="AO96" s="62">
        <f t="shared" si="90"/>
        <v>204.10961748628708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0.94718235827974429</v>
      </c>
      <c r="AW96" s="23">
        <f>EXP(-LN(2)/2)*AW95+(1-EXP(-LN(2)/2))/(LN(2)/2)*AQ96*AT96*VLOOKUP('Données projet'!$B$10,Paramètres!$A$1:$I$89,3,0)*0.475*44/12</f>
        <v>2.3954876189726679E-9</v>
      </c>
      <c r="AX96" s="23">
        <f t="shared" si="60"/>
        <v>0.94718236067523187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204.39999999999984</v>
      </c>
      <c r="BE96" s="14">
        <f>BD96*VLOOKUP('Données projet'!$B$11,Paramètres!$A$1:$I$89,3,0)*VLOOKUP('Données projet'!$B$11,Paramètres!$A$1:$I$89,5,0)</f>
        <v>204.07295999999982</v>
      </c>
      <c r="BF96" s="14">
        <f t="shared" si="91"/>
        <v>50.638228095278549</v>
      </c>
      <c r="BG96" s="22">
        <f t="shared" si="61"/>
        <v>443.62198593260979</v>
      </c>
      <c r="BH96" s="62">
        <f t="shared" si="62"/>
        <v>718.95015160444575</v>
      </c>
      <c r="BI96" s="62">
        <f ca="1">AVERAGE(OFFSET($BH$3,0,0,'Données projet'!$E$11+1,1))-AVERAGE(OFFSET($H$3,0,0,'Données projet'!$E$11+1,1))</f>
        <v>341.48836779133632</v>
      </c>
      <c r="BJ96" s="62">
        <f t="shared" si="92"/>
        <v>176.87842498964287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0.61536181976288318</v>
      </c>
      <c r="BR96" s="23">
        <f>EXP(-LN(2)/2)*BR95+(1-EXP(-LN(2)/2))/(LN(2)/2)*BL96*BO96*VLOOKUP('Données projet'!$B$11,Paramètres!$A$1:$I$89,3,0)*0.475*44/12</f>
        <v>1.1405185358641912E-8</v>
      </c>
      <c r="BS96" s="24">
        <f t="shared" si="63"/>
        <v>0.61536183116806853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3.8</v>
      </c>
      <c r="BY96" s="13">
        <f>IF('Données projet'!$A$114&gt;35,BY95+BX96-CG95,IF(A96&lt;'Données projet'!$A$114,$BV$205^A96,IF(A96='Données projet'!$A$114,'Données projet'!$B$114,BY95+BX96-CG95)))</f>
        <v>204.39999999999984</v>
      </c>
      <c r="BZ96" s="14">
        <f>BY96*VLOOKUP('Données projet'!$B$12,Paramètres!$A$1:$I$89,3,0)*VLOOKUP('Données projet'!$B$12,Paramètres!$A$1:$I$89,5,0)</f>
        <v>137.1115199999999</v>
      </c>
      <c r="CA96" s="14">
        <f t="shared" si="93"/>
        <v>35.634494550349046</v>
      </c>
      <c r="CB96" s="22">
        <f t="shared" si="64"/>
        <v>300.86597534185779</v>
      </c>
      <c r="CC96" s="62">
        <f t="shared" si="65"/>
        <v>576.19414101369375</v>
      </c>
      <c r="CD96" s="62">
        <f ca="1">AVERAGE(OFFSET($CC$3,0,0,'Données projet'!$E$12+1,1))-AVERAGE(OFFSET($H$3,0,0,'Données projet'!$E$12+1,1))</f>
        <v>253.16238957399855</v>
      </c>
      <c r="CE96" s="62">
        <f t="shared" si="94"/>
        <v>138.00705940844708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0.50959650699113779</v>
      </c>
      <c r="CM96" s="23">
        <f>EXP(-LN(2)/2)*CM95+(1-EXP(-LN(2)/2))/(LN(2)/2)*CG96*CJ96*VLOOKUP('Données projet'!$B$12,Paramètres!$A$1:$I$89,3,0)*0.475*44/12</f>
        <v>7.662858912837534E-9</v>
      </c>
      <c r="CN96" s="24">
        <f t="shared" si="66"/>
        <v>0.50959651465399669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3.8</v>
      </c>
      <c r="N97" s="14">
        <f>IF('Données projet'!$A$36&gt;35,N96+M97-V96,IF(A97&lt;'Données projet'!$A$36,$K$205^A97,IF(A97='Données projet'!$A$36,'Données projet'!$B$36,N96+M97-V96)))</f>
        <v>208.19999999999985</v>
      </c>
      <c r="O97" s="14">
        <f>N97*VLOOKUP('Données projet'!$B$9,Paramètres!$A$1:$I$89,3,0)*VLOOKUP('Données projet'!$B$9,Paramètres!$A$1:$I$89,5,0)</f>
        <v>211.11479999999986</v>
      </c>
      <c r="P97" s="14">
        <f t="shared" si="87"/>
        <v>52.179122428493628</v>
      </c>
      <c r="Q97" s="22">
        <f t="shared" si="54"/>
        <v>458.57024822962609</v>
      </c>
      <c r="R97" s="62">
        <f t="shared" si="55"/>
        <v>734.21076330686458</v>
      </c>
      <c r="S97" s="62">
        <f ca="1">AVERAGE(OFFSET($R$3,0,0,'Données projet'!$E$9+1,1))-AVERAGE(OFFSET($H$3,0,0,'Données projet'!$E$9+1,1))</f>
        <v>345.67675698621832</v>
      </c>
      <c r="T97" s="62">
        <f t="shared" si="88"/>
        <v>178.72086185623849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219.21539650048186</v>
      </c>
      <c r="AO97" s="62">
        <f t="shared" si="90"/>
        <v>204.10961748628708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0.92128160688242922</v>
      </c>
      <c r="AW97" s="23">
        <f>EXP(-LN(2)/2)*AW96+(1-EXP(-LN(2)/2))/(LN(2)/2)*AQ97*AT97*VLOOKUP('Données projet'!$B$10,Paramètres!$A$1:$I$89,3,0)*0.475*44/12</f>
        <v>1.69386553962399E-9</v>
      </c>
      <c r="AX97" s="23">
        <f t="shared" si="60"/>
        <v>0.92128160857629471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208.19999999999985</v>
      </c>
      <c r="BE97" s="14">
        <f>BD97*VLOOKUP('Données projet'!$B$11,Paramètres!$A$1:$I$89,3,0)*VLOOKUP('Données projet'!$B$11,Paramètres!$A$1:$I$89,5,0)</f>
        <v>207.86687999999987</v>
      </c>
      <c r="BF97" s="14">
        <f t="shared" si="91"/>
        <v>51.469168690083869</v>
      </c>
      <c r="BG97" s="22">
        <f t="shared" si="61"/>
        <v>451.67695146856249</v>
      </c>
      <c r="BH97" s="62">
        <f t="shared" si="62"/>
        <v>727.31746654580093</v>
      </c>
      <c r="BI97" s="62">
        <f ca="1">AVERAGE(OFFSET($BH$3,0,0,'Données projet'!$E$11+1,1))-AVERAGE(OFFSET($H$3,0,0,'Données projet'!$E$11+1,1))</f>
        <v>341.48836779133632</v>
      </c>
      <c r="BJ97" s="62">
        <f t="shared" si="92"/>
        <v>176.87842498964287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0.59853471844099548</v>
      </c>
      <c r="BR97" s="23">
        <f>EXP(-LN(2)/2)*BR96+(1-EXP(-LN(2)/2))/(LN(2)/2)*BL97*BO97*VLOOKUP('Données projet'!$B$11,Paramètres!$A$1:$I$89,3,0)*0.475*44/12</f>
        <v>8.064683907785222E-9</v>
      </c>
      <c r="BS97" s="24">
        <f t="shared" si="63"/>
        <v>0.5985347265056794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3.8</v>
      </c>
      <c r="BY97" s="13">
        <f>IF('Données projet'!$A$114&gt;35,BY96+BX97-CG96,IF(A97&lt;'Données projet'!$A$114,$BV$205^A97,IF(A97='Données projet'!$A$114,'Données projet'!$B$114,BY96+BX97-CG96)))</f>
        <v>208.19999999999985</v>
      </c>
      <c r="BZ97" s="14">
        <f>BY97*VLOOKUP('Données projet'!$B$12,Paramètres!$A$1:$I$89,3,0)*VLOOKUP('Données projet'!$B$12,Paramètres!$A$1:$I$89,5,0)</f>
        <v>139.66055999999992</v>
      </c>
      <c r="CA97" s="14">
        <f t="shared" si="93"/>
        <v>36.219233574817657</v>
      </c>
      <c r="CB97" s="22">
        <f t="shared" si="64"/>
        <v>306.3239738094739</v>
      </c>
      <c r="CC97" s="62">
        <f t="shared" si="65"/>
        <v>581.96448888671239</v>
      </c>
      <c r="CD97" s="62">
        <f ca="1">AVERAGE(OFFSET($CC$3,0,0,'Données projet'!$E$12+1,1))-AVERAGE(OFFSET($H$3,0,0,'Données projet'!$E$12+1,1))</f>
        <v>253.16238957399855</v>
      </c>
      <c r="CE97" s="62">
        <f t="shared" si="94"/>
        <v>138.00705940844708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0.49566156370894954</v>
      </c>
      <c r="CM97" s="23">
        <f>EXP(-LN(2)/2)*CM96+(1-EXP(-LN(2)/2))/(LN(2)/2)*CG97*CJ97*VLOOKUP('Données projet'!$B$12,Paramètres!$A$1:$I$89,3,0)*0.475*44/12</f>
        <v>5.4184595005431956E-9</v>
      </c>
      <c r="CN97" s="24">
        <f t="shared" si="66"/>
        <v>0.49566156912740905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212</v>
      </c>
      <c r="L98" s="13">
        <f>VLOOKUP(A98,'Données projet'!$A$35:$I$55,9,0)</f>
        <v>3.8</v>
      </c>
      <c r="M98" s="13">
        <f t="array" ref="M98">INDEX(L:L,MIN(IF(ISNUMBER(L98:L294),ROW(L98:L294),"")))</f>
        <v>3.8</v>
      </c>
      <c r="N98" s="14">
        <f>IF('Données projet'!$A$36&gt;35,N97+M98-V97,IF(A98&lt;'Données projet'!$A$36,$K$205^A98,IF(A98='Données projet'!$A$36,'Données projet'!$B$36,N97+M98-V97)))</f>
        <v>211.99999999999986</v>
      </c>
      <c r="O98" s="14">
        <f>N98*VLOOKUP('Données projet'!$B$9,Paramètres!$A$1:$I$89,3,0)*VLOOKUP('Données projet'!$B$9,Paramètres!$A$1:$I$89,5,0)</f>
        <v>214.9679999999999</v>
      </c>
      <c r="P98" s="14">
        <f t="shared" si="87"/>
        <v>53.019736939092994</v>
      </c>
      <c r="Q98" s="22">
        <f t="shared" si="54"/>
        <v>466.74530850225341</v>
      </c>
      <c r="R98" s="62">
        <f t="shared" si="55"/>
        <v>742.69275442101934</v>
      </c>
      <c r="S98" s="62">
        <f ca="1">AVERAGE(OFFSET($R$3,0,0,'Données projet'!$E$9+1,1))-AVERAGE(OFFSET($H$3,0,0,'Données projet'!$E$9+1,1))</f>
        <v>345.67675698621832</v>
      </c>
      <c r="T98" s="62">
        <f t="shared" si="88"/>
        <v>178.72086185623849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14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219.21539650048186</v>
      </c>
      <c r="AO98" s="62">
        <f t="shared" si="90"/>
        <v>204.10961748628708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0.89608911289413506</v>
      </c>
      <c r="AW98" s="23">
        <f>EXP(-LN(2)/2)*AW97+(1-EXP(-LN(2)/2))/(LN(2)/2)*AQ98*AT98*VLOOKUP('Données projet'!$B$10,Paramètres!$A$1:$I$89,3,0)*0.475*44/12</f>
        <v>1.1977438094863339E-9</v>
      </c>
      <c r="AX98" s="23">
        <f t="shared" si="60"/>
        <v>0.89608911409187886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211.99999999999986</v>
      </c>
      <c r="BE98" s="14">
        <f>BD98*VLOOKUP('Données projet'!$B$11,Paramètres!$A$1:$I$89,3,0)*VLOOKUP('Données projet'!$B$11,Paramètres!$A$1:$I$89,5,0)</f>
        <v>211.66079999999988</v>
      </c>
      <c r="BF98" s="14">
        <f t="shared" si="91"/>
        <v>52.298345725566975</v>
      </c>
      <c r="BG98" s="22">
        <f t="shared" si="61"/>
        <v>459.72884547202892</v>
      </c>
      <c r="BH98" s="62">
        <f t="shared" si="62"/>
        <v>735.67629139079486</v>
      </c>
      <c r="BI98" s="62">
        <f ca="1">AVERAGE(OFFSET($BH$3,0,0,'Données projet'!$E$11+1,1))-AVERAGE(OFFSET($H$3,0,0,'Données projet'!$E$11+1,1))</f>
        <v>341.48836779133632</v>
      </c>
      <c r="BJ98" s="62">
        <f t="shared" si="92"/>
        <v>176.87842498964287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0.58216775508965357</v>
      </c>
      <c r="BR98" s="23">
        <f>EXP(-LN(2)/2)*BR97+(1-EXP(-LN(2)/2))/(LN(2)/2)*BL98*BO98*VLOOKUP('Données projet'!$B$11,Paramètres!$A$1:$I$89,3,0)*0.475*44/12</f>
        <v>5.7025926793209561E-9</v>
      </c>
      <c r="BS98" s="24">
        <f t="shared" si="63"/>
        <v>0.5821677607922463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212</v>
      </c>
      <c r="BW98" s="13">
        <f>VLOOKUP(A98,'Données projet'!$A$113:$I$133,9,0)</f>
        <v>3.8</v>
      </c>
      <c r="BX98" s="13">
        <f t="array" ref="BX98">INDEX(BW:BW,MIN(IF(ISNUMBER(BW98:BW294),ROW(BW98:BW294),"")))</f>
        <v>3.8</v>
      </c>
      <c r="BY98" s="13">
        <f>IF('Données projet'!$A$114&gt;35,BY97+BX98-CG97,IF(A98&lt;'Données projet'!$A$114,$BV$205^A98,IF(A98='Données projet'!$A$114,'Données projet'!$B$114,BY97+BX98-CG97)))</f>
        <v>211.99999999999986</v>
      </c>
      <c r="BZ98" s="14">
        <f>BY98*VLOOKUP('Données projet'!$B$12,Paramètres!$A$1:$I$89,3,0)*VLOOKUP('Données projet'!$B$12,Paramètres!$A$1:$I$89,5,0)</f>
        <v>142.20959999999991</v>
      </c>
      <c r="CA98" s="14">
        <f t="shared" si="93"/>
        <v>36.802731569585617</v>
      </c>
      <c r="CB98" s="22">
        <f t="shared" si="64"/>
        <v>311.77981081702814</v>
      </c>
      <c r="CC98" s="62">
        <f t="shared" si="65"/>
        <v>587.72725673579407</v>
      </c>
      <c r="CD98" s="62">
        <f ca="1">AVERAGE(OFFSET($CC$3,0,0,'Données projet'!$E$12+1,1))-AVERAGE(OFFSET($H$3,0,0,'Données projet'!$E$12+1,1))</f>
        <v>253.16238957399855</v>
      </c>
      <c r="CE98" s="62">
        <f t="shared" si="94"/>
        <v>138.00705940844708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14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0.48210767218361955</v>
      </c>
      <c r="CM98" s="23">
        <f>EXP(-LN(2)/2)*CM97+(1-EXP(-LN(2)/2))/(LN(2)/2)*CG98*CJ98*VLOOKUP('Données projet'!$B$12,Paramètres!$A$1:$I$89,3,0)*0.475*44/12</f>
        <v>3.831429456418767E-9</v>
      </c>
      <c r="CN98" s="24">
        <f t="shared" si="66"/>
        <v>0.482107676015049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3.6</v>
      </c>
      <c r="N99" s="14">
        <f>IF('Données projet'!$A$36&gt;35,N98+M99-V98,IF(A99&lt;'Données projet'!$A$36,$K$205^A99,IF(A99='Données projet'!$A$36,'Données projet'!$B$36,N98+M99-V98)))</f>
        <v>201.59999999999985</v>
      </c>
      <c r="O99" s="14">
        <f>N99*VLOOKUP('Données projet'!$B$9,Paramètres!$A$1:$I$89,3,0)*VLOOKUP('Données projet'!$B$9,Paramètres!$A$1:$I$89,5,0)</f>
        <v>204.42239999999987</v>
      </c>
      <c r="P99" s="14">
        <f t="shared" si="87"/>
        <v>50.714836797527262</v>
      </c>
      <c r="Q99" s="22">
        <f t="shared" ref="Q99:Q130" si="107">(O99+P99)*0.475*44/12</f>
        <v>444.36402075569305</v>
      </c>
      <c r="R99" s="62">
        <f t="shared" si="55"/>
        <v>720.61307295208053</v>
      </c>
      <c r="S99" s="62">
        <f ca="1">AVERAGE(OFFSET($R$3,0,0,'Données projet'!$E$9+1,1))-AVERAGE(OFFSET($H$3,0,0,'Données projet'!$E$9+1,1))</f>
        <v>345.67675698621832</v>
      </c>
      <c r="T99" s="62">
        <f t="shared" si="88"/>
        <v>178.72086185623849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219.21539650048186</v>
      </c>
      <c r="AO99" s="62">
        <f t="shared" si="90"/>
        <v>204.10961748628708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0.87158550897876652</v>
      </c>
      <c r="AW99" s="23">
        <f>EXP(-LN(2)/2)*AW98+(1-EXP(-LN(2)/2))/(LN(2)/2)*AQ99*AT99*VLOOKUP('Données projet'!$B$10,Paramètres!$A$1:$I$89,3,0)*0.475*44/12</f>
        <v>8.46932769811995E-10</v>
      </c>
      <c r="AX99" s="23">
        <f t="shared" si="60"/>
        <v>0.87158550982569927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201.59999999999985</v>
      </c>
      <c r="BE99" s="14">
        <f>BD99*VLOOKUP('Données projet'!$B$11,Paramètres!$A$1:$I$89,3,0)*VLOOKUP('Données projet'!$B$11,Paramètres!$A$1:$I$89,5,0)</f>
        <v>201.27743999999987</v>
      </c>
      <c r="BF99" s="14">
        <f t="shared" si="91"/>
        <v>50.024806258462732</v>
      </c>
      <c r="BG99" s="22">
        <f t="shared" si="61"/>
        <v>437.68474556682236</v>
      </c>
      <c r="BH99" s="62">
        <f t="shared" si="62"/>
        <v>713.93379776320978</v>
      </c>
      <c r="BI99" s="62">
        <f ca="1">AVERAGE(OFFSET($BH$3,0,0,'Données projet'!$E$11+1,1))-AVERAGE(OFFSET($H$3,0,0,'Données projet'!$E$11+1,1))</f>
        <v>341.48836779133632</v>
      </c>
      <c r="BJ99" s="62">
        <f t="shared" si="92"/>
        <v>176.87842498964287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0.56624834721185535</v>
      </c>
      <c r="BR99" s="23">
        <f>EXP(-LN(2)/2)*BR98+(1-EXP(-LN(2)/2))/(LN(2)/2)*BL99*BO99*VLOOKUP('Données projet'!$B$11,Paramètres!$A$1:$I$89,3,0)*0.475*44/12</f>
        <v>4.032341953892611E-9</v>
      </c>
      <c r="BS99" s="24">
        <f t="shared" si="63"/>
        <v>0.56624835124419726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3.6</v>
      </c>
      <c r="BY99" s="13">
        <f>IF('Données projet'!$A$114&gt;35,BY98+BX99-CG98,IF(A99&lt;'Données projet'!$A$114,$BV$205^A99,IF(A99='Données projet'!$A$114,'Données projet'!$B$114,BY98+BX99-CG98)))</f>
        <v>201.59999999999985</v>
      </c>
      <c r="BZ99" s="14">
        <f>BY99*VLOOKUP('Données projet'!$B$12,Paramètres!$A$1:$I$89,3,0)*VLOOKUP('Données projet'!$B$12,Paramètres!$A$1:$I$89,5,0)</f>
        <v>135.23327999999989</v>
      </c>
      <c r="CA99" s="14">
        <f t="shared" si="93"/>
        <v>35.202825080004409</v>
      </c>
      <c r="CB99" s="22">
        <f t="shared" si="64"/>
        <v>296.84288301434083</v>
      </c>
      <c r="CC99" s="62">
        <f t="shared" si="65"/>
        <v>573.09193521072825</v>
      </c>
      <c r="CD99" s="62">
        <f ca="1">AVERAGE(OFFSET($CC$3,0,0,'Données projet'!$E$12+1,1))-AVERAGE(OFFSET($H$3,0,0,'Données projet'!$E$12+1,1))</f>
        <v>253.16238957399855</v>
      </c>
      <c r="CE99" s="62">
        <f t="shared" si="94"/>
        <v>138.00705940844708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0.46892441253481787</v>
      </c>
      <c r="CM99" s="23">
        <f>EXP(-LN(2)/2)*CM98+(1-EXP(-LN(2)/2))/(LN(2)/2)*CG99*CJ99*VLOOKUP('Données projet'!$B$12,Paramètres!$A$1:$I$89,3,0)*0.475*44/12</f>
        <v>2.7092297502715978E-9</v>
      </c>
      <c r="CN99" s="24">
        <f t="shared" si="66"/>
        <v>0.4689244152440476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3.6</v>
      </c>
      <c r="N100" s="14">
        <f>IF('Données projet'!$A$36&gt;35,N99+M100-V99,IF(A100&lt;'Données projet'!$A$36,$K$205^A100,IF(A100='Données projet'!$A$36,'Données projet'!$B$36,N99+M100-V99)))</f>
        <v>205.19999999999985</v>
      </c>
      <c r="O100" s="14">
        <f>N100*VLOOKUP('Données projet'!$B$9,Paramètres!$A$1:$I$89,3,0)*VLOOKUP('Données projet'!$B$9,Paramètres!$A$1:$I$89,5,0)</f>
        <v>208.07279999999986</v>
      </c>
      <c r="P100" s="14">
        <f t="shared" si="87"/>
        <v>51.514218302854317</v>
      </c>
      <c r="Q100" s="22">
        <f t="shared" si="107"/>
        <v>452.114056877471</v>
      </c>
      <c r="R100" s="62">
        <f t="shared" si="55"/>
        <v>728.65948315685387</v>
      </c>
      <c r="S100" s="62">
        <f ca="1">AVERAGE(OFFSET($R$3,0,0,'Données projet'!$E$9+1,1))-AVERAGE(OFFSET($H$3,0,0,'Données projet'!$E$9+1,1))</f>
        <v>345.67675698621832</v>
      </c>
      <c r="T100" s="62">
        <f t="shared" si="88"/>
        <v>178.72086185623849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219.21539650048186</v>
      </c>
      <c r="AO100" s="62">
        <f t="shared" si="90"/>
        <v>204.10961748628708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0.84775195740105225</v>
      </c>
      <c r="AW100" s="23">
        <f>EXP(-LN(2)/2)*AW99+(1-EXP(-LN(2)/2))/(LN(2)/2)*AQ100*AT100*VLOOKUP('Données projet'!$B$10,Paramètres!$A$1:$I$89,3,0)*0.475*44/12</f>
        <v>5.9887190474316696E-10</v>
      </c>
      <c r="AX100" s="23">
        <f t="shared" si="60"/>
        <v>0.8477519579999242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205.19999999999985</v>
      </c>
      <c r="BE100" s="14">
        <f>BD100*VLOOKUP('Données projet'!$B$11,Paramètres!$A$1:$I$89,3,0)*VLOOKUP('Données projet'!$B$11,Paramètres!$A$1:$I$89,5,0)</f>
        <v>204.87167999999988</v>
      </c>
      <c r="BF100" s="14">
        <f t="shared" si="91"/>
        <v>50.813311308577255</v>
      </c>
      <c r="BG100" s="22">
        <f t="shared" si="61"/>
        <v>445.31802652910511</v>
      </c>
      <c r="BH100" s="62">
        <f t="shared" si="62"/>
        <v>721.86345280848786</v>
      </c>
      <c r="BI100" s="62">
        <f ca="1">AVERAGE(OFFSET($BH$3,0,0,'Données projet'!$E$11+1,1))-AVERAGE(OFFSET($H$3,0,0,'Données projet'!$E$11+1,1))</f>
        <v>341.48836779133632</v>
      </c>
      <c r="BJ100" s="62">
        <f t="shared" si="92"/>
        <v>176.87842498964287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0.55076425637964077</v>
      </c>
      <c r="BR100" s="23">
        <f>EXP(-LN(2)/2)*BR99+(1-EXP(-LN(2)/2))/(LN(2)/2)*BL100*BO100*VLOOKUP('Données projet'!$B$11,Paramètres!$A$1:$I$89,3,0)*0.475*44/12</f>
        <v>2.851296339660478E-9</v>
      </c>
      <c r="BS100" s="24">
        <f t="shared" si="63"/>
        <v>0.55076425923093708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3.6</v>
      </c>
      <c r="BY100" s="13">
        <f>IF('Données projet'!$A$114&gt;35,BY99+BX100-CG99,IF(A100&lt;'Données projet'!$A$114,$BV$205^A100,IF(A100='Données projet'!$A$114,'Données projet'!$B$114,BY99+BX100-CG99)))</f>
        <v>205.19999999999985</v>
      </c>
      <c r="BZ100" s="14">
        <f>BY100*VLOOKUP('Données projet'!$B$12,Paramètres!$A$1:$I$89,3,0)*VLOOKUP('Données projet'!$B$12,Paramètres!$A$1:$I$89,5,0)</f>
        <v>137.6481599999999</v>
      </c>
      <c r="CA100" s="14">
        <f t="shared" si="93"/>
        <v>35.757701898726438</v>
      </c>
      <c r="CB100" s="22">
        <f t="shared" si="64"/>
        <v>302.01520947361507</v>
      </c>
      <c r="CC100" s="62">
        <f t="shared" si="65"/>
        <v>578.56063575299788</v>
      </c>
      <c r="CD100" s="62">
        <f ca="1">AVERAGE(OFFSET($CC$3,0,0,'Données projet'!$E$12+1,1))-AVERAGE(OFFSET($H$3,0,0,'Données projet'!$E$12+1,1))</f>
        <v>253.16238957399855</v>
      </c>
      <c r="CE100" s="62">
        <f t="shared" si="94"/>
        <v>138.00705940844708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0.45610164981439016</v>
      </c>
      <c r="CM100" s="23">
        <f>EXP(-LN(2)/2)*CM99+(1-EXP(-LN(2)/2))/(LN(2)/2)*CG100*CJ100*VLOOKUP('Données projet'!$B$12,Paramètres!$A$1:$I$89,3,0)*0.475*44/12</f>
        <v>1.9157147282093835E-9</v>
      </c>
      <c r="CN100" s="24">
        <f t="shared" si="66"/>
        <v>0.45610165173010492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3.6</v>
      </c>
      <c r="N101" s="14">
        <f>IF('Données projet'!$A$36&gt;35,N100+M101-V100,IF(A101&lt;'Données projet'!$A$36,$K$205^A101,IF(A101='Données projet'!$A$36,'Données projet'!$B$36,N100+M101-V100)))</f>
        <v>208.79999999999984</v>
      </c>
      <c r="O101" s="14">
        <f>N101*VLOOKUP('Données projet'!$B$9,Paramètres!$A$1:$I$89,3,0)*VLOOKUP('Données projet'!$B$9,Paramètres!$A$1:$I$89,5,0)</f>
        <v>211.72319999999988</v>
      </c>
      <c r="P101" s="14">
        <f t="shared" si="87"/>
        <v>52.311968964212028</v>
      </c>
      <c r="Q101" s="22">
        <f t="shared" si="107"/>
        <v>459.86125261266903</v>
      </c>
      <c r="R101" s="62">
        <f t="shared" si="55"/>
        <v>736.69791154730046</v>
      </c>
      <c r="S101" s="62">
        <f ca="1">AVERAGE(OFFSET($R$3,0,0,'Données projet'!$E$9+1,1))-AVERAGE(OFFSET($H$3,0,0,'Données projet'!$E$9+1,1))</f>
        <v>345.67675698621832</v>
      </c>
      <c r="T101" s="62">
        <f t="shared" si="88"/>
        <v>178.72086185623849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219.21539650048186</v>
      </c>
      <c r="AO101" s="62">
        <f t="shared" si="90"/>
        <v>204.10961748628708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0.82457013554458258</v>
      </c>
      <c r="AW101" s="23">
        <f>EXP(-LN(2)/2)*AW100+(1-EXP(-LN(2)/2))/(LN(2)/2)*AQ101*AT101*VLOOKUP('Données projet'!$B$10,Paramètres!$A$1:$I$89,3,0)*0.475*44/12</f>
        <v>4.234663849059975E-10</v>
      </c>
      <c r="AX101" s="23">
        <f t="shared" si="60"/>
        <v>0.82457013596804896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208.79999999999984</v>
      </c>
      <c r="BE101" s="14">
        <f>BD101*VLOOKUP('Données projet'!$B$11,Paramètres!$A$1:$I$89,3,0)*VLOOKUP('Données projet'!$B$11,Paramètres!$A$1:$I$89,5,0)</f>
        <v>208.46591999999984</v>
      </c>
      <c r="BF101" s="14">
        <f t="shared" si="91"/>
        <v>51.600207704129211</v>
      </c>
      <c r="BG101" s="22">
        <f t="shared" si="61"/>
        <v>452.94850575135803</v>
      </c>
      <c r="BH101" s="62">
        <f t="shared" si="62"/>
        <v>729.78516468598946</v>
      </c>
      <c r="BI101" s="62">
        <f ca="1">AVERAGE(OFFSET($BH$3,0,0,'Données projet'!$E$11+1,1))-AVERAGE(OFFSET($H$3,0,0,'Données projet'!$E$11+1,1))</f>
        <v>341.48836779133632</v>
      </c>
      <c r="BJ101" s="62">
        <f t="shared" si="92"/>
        <v>176.87842498964287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0.53570357882550601</v>
      </c>
      <c r="BR101" s="23">
        <f>EXP(-LN(2)/2)*BR100+(1-EXP(-LN(2)/2))/(LN(2)/2)*BL101*BO101*VLOOKUP('Données projet'!$B$11,Paramètres!$A$1:$I$89,3,0)*0.475*44/12</f>
        <v>2.0161709769463055E-9</v>
      </c>
      <c r="BS101" s="24">
        <f t="shared" si="63"/>
        <v>0.53570358084167702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3.6</v>
      </c>
      <c r="BY101" s="13">
        <f>IF('Données projet'!$A$114&gt;35,BY100+BX101-CG100,IF(A101&lt;'Données projet'!$A$114,$BV$205^A101,IF(A101='Données projet'!$A$114,'Données projet'!$B$114,BY100+BX101-CG100)))</f>
        <v>208.79999999999984</v>
      </c>
      <c r="BZ101" s="14">
        <f>BY101*VLOOKUP('Données projet'!$B$12,Paramètres!$A$1:$I$89,3,0)*VLOOKUP('Données projet'!$B$12,Paramètres!$A$1:$I$89,5,0)</f>
        <v>140.06303999999992</v>
      </c>
      <c r="CA101" s="14">
        <f t="shared" si="93"/>
        <v>36.311446695369504</v>
      </c>
      <c r="CB101" s="22">
        <f t="shared" si="64"/>
        <v>307.18556432776842</v>
      </c>
      <c r="CC101" s="62">
        <f t="shared" si="65"/>
        <v>584.02222326239985</v>
      </c>
      <c r="CD101" s="62">
        <f ca="1">AVERAGE(OFFSET($CC$3,0,0,'Données projet'!$E$12+1,1))-AVERAGE(OFFSET($H$3,0,0,'Données projet'!$E$12+1,1))</f>
        <v>253.16238957399855</v>
      </c>
      <c r="CE101" s="62">
        <f t="shared" si="94"/>
        <v>138.00705940844708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0.44362952621487234</v>
      </c>
      <c r="CM101" s="23">
        <f>EXP(-LN(2)/2)*CM100+(1-EXP(-LN(2)/2))/(LN(2)/2)*CG101*CJ101*VLOOKUP('Données projet'!$B$12,Paramètres!$A$1:$I$89,3,0)*0.475*44/12</f>
        <v>1.3546148751357989E-9</v>
      </c>
      <c r="CN101" s="24">
        <f t="shared" si="66"/>
        <v>0.4436295275694872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3.6</v>
      </c>
      <c r="N102" s="14">
        <f>IF('Données projet'!$A$36&gt;35,N101+M102-V101,IF(A102&lt;'Données projet'!$A$36,$K$205^A102,IF(A102='Données projet'!$A$36,'Données projet'!$B$36,N101+M102-V101)))</f>
        <v>212.39999999999984</v>
      </c>
      <c r="O102" s="14">
        <f>N102*VLOOKUP('Données projet'!$B$9,Paramètres!$A$1:$I$89,3,0)*VLOOKUP('Données projet'!$B$9,Paramètres!$A$1:$I$89,5,0)</f>
        <v>215.37359999999984</v>
      </c>
      <c r="P102" s="14">
        <f t="shared" si="87"/>
        <v>53.108120144188867</v>
      </c>
      <c r="Q102" s="22">
        <f t="shared" si="107"/>
        <v>467.60566258446198</v>
      </c>
      <c r="R102" s="62">
        <f t="shared" si="55"/>
        <v>744.72850193887211</v>
      </c>
      <c r="S102" s="62">
        <f ca="1">AVERAGE(OFFSET($R$3,0,0,'Données projet'!$E$9+1,1))-AVERAGE(OFFSET($H$3,0,0,'Données projet'!$E$9+1,1))</f>
        <v>345.67675698621832</v>
      </c>
      <c r="T102" s="62">
        <f t="shared" si="88"/>
        <v>178.72086185623849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219.21539650048186</v>
      </c>
      <c r="AO102" s="62">
        <f t="shared" si="90"/>
        <v>204.10961748628708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0.80202222182585714</v>
      </c>
      <c r="AW102" s="23">
        <f>EXP(-LN(2)/2)*AW101+(1-EXP(-LN(2)/2))/(LN(2)/2)*AQ102*AT102*VLOOKUP('Données projet'!$B$10,Paramètres!$A$1:$I$89,3,0)*0.475*44/12</f>
        <v>2.9943595237158348E-10</v>
      </c>
      <c r="AX102" s="23">
        <f t="shared" si="60"/>
        <v>0.80202222212529306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212.39999999999984</v>
      </c>
      <c r="BE102" s="14">
        <f>BD102*VLOOKUP('Données projet'!$B$11,Paramètres!$A$1:$I$89,3,0)*VLOOKUP('Données projet'!$B$11,Paramètres!$A$1:$I$89,5,0)</f>
        <v>212.06015999999985</v>
      </c>
      <c r="BF102" s="14">
        <f t="shared" si="91"/>
        <v>52.385526380985027</v>
      </c>
      <c r="BG102" s="22">
        <f t="shared" si="61"/>
        <v>460.57623711354859</v>
      </c>
      <c r="BH102" s="62">
        <f t="shared" si="62"/>
        <v>737.69907646795878</v>
      </c>
      <c r="BI102" s="62">
        <f ca="1">AVERAGE(OFFSET($BH$3,0,0,'Données projet'!$E$11+1,1))-AVERAGE(OFFSET($H$3,0,0,'Données projet'!$E$11+1,1))</f>
        <v>341.48836779133632</v>
      </c>
      <c r="BJ102" s="62">
        <f t="shared" si="92"/>
        <v>176.87842498964287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0.52105473629109567</v>
      </c>
      <c r="BR102" s="23">
        <f>EXP(-LN(2)/2)*BR101+(1-EXP(-LN(2)/2))/(LN(2)/2)*BL102*BO102*VLOOKUP('Données projet'!$B$11,Paramètres!$A$1:$I$89,3,0)*0.475*44/12</f>
        <v>1.425648169830239E-9</v>
      </c>
      <c r="BS102" s="24">
        <f t="shared" si="63"/>
        <v>0.52105473771674382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3.6</v>
      </c>
      <c r="BY102" s="13">
        <f>IF('Données projet'!$A$114&gt;35,BY101+BX102-CG101,IF(A102&lt;'Données projet'!$A$114,$BV$205^A102,IF(A102='Données projet'!$A$114,'Données projet'!$B$114,BY101+BX102-CG101)))</f>
        <v>212.39999999999984</v>
      </c>
      <c r="BZ102" s="14">
        <f>BY102*VLOOKUP('Données projet'!$B$12,Paramètres!$A$1:$I$89,3,0)*VLOOKUP('Données projet'!$B$12,Paramètres!$A$1:$I$89,5,0)</f>
        <v>142.4779199999999</v>
      </c>
      <c r="CA102" s="14">
        <f t="shared" si="93"/>
        <v>36.864081239730965</v>
      </c>
      <c r="CB102" s="22">
        <f t="shared" si="64"/>
        <v>312.35398549253119</v>
      </c>
      <c r="CC102" s="62">
        <f t="shared" si="65"/>
        <v>589.47682484694133</v>
      </c>
      <c r="CD102" s="62">
        <f ca="1">AVERAGE(OFFSET($CC$3,0,0,'Données projet'!$E$12+1,1))-AVERAGE(OFFSET($H$3,0,0,'Données projet'!$E$12+1,1))</f>
        <v>253.16238957399855</v>
      </c>
      <c r="CE102" s="62">
        <f t="shared" si="94"/>
        <v>138.00705940844708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0.4314984534910638</v>
      </c>
      <c r="CM102" s="23">
        <f>EXP(-LN(2)/2)*CM101+(1-EXP(-LN(2)/2))/(LN(2)/2)*CG102*CJ102*VLOOKUP('Données projet'!$B$12,Paramètres!$A$1:$I$89,3,0)*0.475*44/12</f>
        <v>9.5785736410469174E-10</v>
      </c>
      <c r="CN102" s="24">
        <f t="shared" si="66"/>
        <v>0.43149845444892115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216</v>
      </c>
      <c r="L103" s="13">
        <f>VLOOKUP(A103,'Données projet'!$A$35:$I$55,9,0)</f>
        <v>3.6</v>
      </c>
      <c r="M103" s="13">
        <f t="array" ref="M103">INDEX(L:L,MIN(IF(ISNUMBER(L103:L299),ROW(L103:L299),"")))</f>
        <v>3.6</v>
      </c>
      <c r="N103" s="14">
        <f>IF('Données projet'!$A$36&gt;35,N102+M103-V102,IF(A103&lt;'Données projet'!$A$36,$K$205^A103,IF(A103='Données projet'!$A$36,'Données projet'!$B$36,N102+M103-V102)))</f>
        <v>215.99999999999983</v>
      </c>
      <c r="O103" s="14">
        <f>N103*VLOOKUP('Données projet'!$B$9,Paramètres!$A$1:$I$89,3,0)*VLOOKUP('Données projet'!$B$9,Paramètres!$A$1:$I$89,5,0)</f>
        <v>219.02399999999983</v>
      </c>
      <c r="P103" s="14">
        <f t="shared" si="87"/>
        <v>53.902702081308306</v>
      </c>
      <c r="Q103" s="22">
        <f t="shared" si="107"/>
        <v>475.34733945827821</v>
      </c>
      <c r="R103" s="62">
        <f t="shared" si="55"/>
        <v>752.75139464198742</v>
      </c>
      <c r="S103" s="62">
        <f ca="1">AVERAGE(OFFSET($R$3,0,0,'Données projet'!$E$9+1,1))-AVERAGE(OFFSET($H$3,0,0,'Données projet'!$E$9+1,1))</f>
        <v>345.67675698621832</v>
      </c>
      <c r="T103" s="62">
        <f t="shared" si="88"/>
        <v>178.72086185623849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13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219.21539650048186</v>
      </c>
      <c r="AO103" s="62">
        <f t="shared" si="90"/>
        <v>204.10961748628708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0.78009088199351351</v>
      </c>
      <c r="AW103" s="23">
        <f>EXP(-LN(2)/2)*AW102+(1-EXP(-LN(2)/2))/(LN(2)/2)*AQ103*AT103*VLOOKUP('Données projet'!$B$10,Paramètres!$A$1:$I$89,3,0)*0.475*44/12</f>
        <v>2.1173319245299875E-10</v>
      </c>
      <c r="AX103" s="23">
        <f t="shared" si="60"/>
        <v>0.78009088220524669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215.99999999999983</v>
      </c>
      <c r="BE103" s="14">
        <f>BD103*VLOOKUP('Données projet'!$B$11,Paramètres!$A$1:$I$89,3,0)*VLOOKUP('Données projet'!$B$11,Paramètres!$A$1:$I$89,5,0)</f>
        <v>215.65439999999984</v>
      </c>
      <c r="BF103" s="14">
        <f t="shared" si="91"/>
        <v>53.169297166239865</v>
      </c>
      <c r="BG103" s="22">
        <f t="shared" si="61"/>
        <v>468.20127256453412</v>
      </c>
      <c r="BH103" s="62">
        <f t="shared" si="62"/>
        <v>745.60532774824333</v>
      </c>
      <c r="BI103" s="62">
        <f ca="1">AVERAGE(OFFSET($BH$3,0,0,'Données projet'!$E$11+1,1))-AVERAGE(OFFSET($H$3,0,0,'Données projet'!$E$11+1,1))</f>
        <v>341.48836779133632</v>
      </c>
      <c r="BJ103" s="62">
        <f t="shared" si="92"/>
        <v>176.87842498964287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0.50680646712613797</v>
      </c>
      <c r="BR103" s="23">
        <f>EXP(-LN(2)/2)*BR102+(1-EXP(-LN(2)/2))/(LN(2)/2)*BL103*BO103*VLOOKUP('Données projet'!$B$11,Paramètres!$A$1:$I$89,3,0)*0.475*44/12</f>
        <v>1.0080854884731528E-9</v>
      </c>
      <c r="BS103" s="24">
        <f t="shared" si="63"/>
        <v>0.50680646813422348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216</v>
      </c>
      <c r="BW103" s="13">
        <f>VLOOKUP(A103,'Données projet'!$A$113:$I$133,9,0)</f>
        <v>3.6</v>
      </c>
      <c r="BX103" s="13">
        <f t="array" ref="BX103">INDEX(BW:BW,MIN(IF(ISNUMBER(BW103:BW299),ROW(BW103:BW299),"")))</f>
        <v>3.6</v>
      </c>
      <c r="BY103" s="13">
        <f>IF('Données projet'!$A$114&gt;35,BY102+BX103-CG102,IF(A103&lt;'Données projet'!$A$114,$BV$205^A103,IF(A103='Données projet'!$A$114,'Données projet'!$B$114,BY102+BX103-CG102)))</f>
        <v>215.99999999999983</v>
      </c>
      <c r="BZ103" s="14">
        <f>BY103*VLOOKUP('Données projet'!$B$12,Paramètres!$A$1:$I$89,3,0)*VLOOKUP('Données projet'!$B$12,Paramètres!$A$1:$I$89,5,0)</f>
        <v>144.89279999999988</v>
      </c>
      <c r="CA103" s="14">
        <f t="shared" si="93"/>
        <v>37.415626521357645</v>
      </c>
      <c r="CB103" s="22">
        <f t="shared" si="64"/>
        <v>317.52050952469767</v>
      </c>
      <c r="CC103" s="62">
        <f t="shared" si="65"/>
        <v>594.92456470840693</v>
      </c>
      <c r="CD103" s="62">
        <f ca="1">AVERAGE(OFFSET($CC$3,0,0,'Données projet'!$E$12+1,1))-AVERAGE(OFFSET($H$3,0,0,'Données projet'!$E$12+1,1))</f>
        <v>253.16238957399855</v>
      </c>
      <c r="CE103" s="62">
        <f t="shared" si="94"/>
        <v>138.00705940844708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13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0.41969910558883322</v>
      </c>
      <c r="CM103" s="23">
        <f>EXP(-LN(2)/2)*CM102+(1-EXP(-LN(2)/2))/(LN(2)/2)*CG103*CJ103*VLOOKUP('Données projet'!$B$12,Paramètres!$A$1:$I$89,3,0)*0.475*44/12</f>
        <v>6.7730743756789945E-10</v>
      </c>
      <c r="CN103" s="24">
        <f t="shared" si="66"/>
        <v>0.41969910626614065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3.4</v>
      </c>
      <c r="N104" s="14">
        <f>IF('Données projet'!$A$36&gt;35,N103+M104-V103,IF(A104&lt;'Données projet'!$A$36,$K$205^A104,IF(A104='Données projet'!$A$36,'Données projet'!$B$36,N103+M104-V103)))</f>
        <v>206.39999999999984</v>
      </c>
      <c r="O104" s="14">
        <f>N104*VLOOKUP('Données projet'!$B$9,Paramètres!$A$1:$I$89,3,0)*VLOOKUP('Données projet'!$B$9,Paramètres!$A$1:$I$89,5,0)</f>
        <v>209.28959999999987</v>
      </c>
      <c r="P104" s="14">
        <f t="shared" si="87"/>
        <v>51.780314822292169</v>
      </c>
      <c r="Q104" s="22">
        <f t="shared" si="107"/>
        <v>454.69676831549197</v>
      </c>
      <c r="R104" s="62">
        <f t="shared" si="55"/>
        <v>732.37716086256637</v>
      </c>
      <c r="S104" s="62">
        <f ca="1">AVERAGE(OFFSET($R$3,0,0,'Données projet'!$E$9+1,1))-AVERAGE(OFFSET($H$3,0,0,'Données projet'!$E$9+1,1))</f>
        <v>345.67675698621832</v>
      </c>
      <c r="T104" s="62">
        <f t="shared" si="88"/>
        <v>178.72086185623849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219.21539650048186</v>
      </c>
      <c r="AO104" s="62">
        <f t="shared" si="90"/>
        <v>204.10961748628708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0.75875925580220427</v>
      </c>
      <c r="AW104" s="23">
        <f>EXP(-LN(2)/2)*AW103+(1-EXP(-LN(2)/2))/(LN(2)/2)*AQ104*AT104*VLOOKUP('Données projet'!$B$10,Paramètres!$A$1:$I$89,3,0)*0.475*44/12</f>
        <v>1.4971797618579174E-10</v>
      </c>
      <c r="AX104" s="23">
        <f t="shared" si="60"/>
        <v>0.75875925595192228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3.4</v>
      </c>
      <c r="BD104" s="13">
        <f>IF('Données projet'!$A$88&gt;35,BD103+BC104-BL103,IF(A104&lt;'Données projet'!$A$88,$BA$205^A104,IF(A104='Données projet'!$A$88,'Données projet'!$B$88,BD103+BC104-BL103)))</f>
        <v>206.39999999999984</v>
      </c>
      <c r="BE104" s="14">
        <f>BD104*VLOOKUP('Données projet'!$B$11,Paramètres!$A$1:$I$89,3,0)*VLOOKUP('Données projet'!$B$11,Paramètres!$A$1:$I$89,5,0)</f>
        <v>206.06975999999983</v>
      </c>
      <c r="BF104" s="14">
        <f t="shared" si="91"/>
        <v>51.075787295320026</v>
      </c>
      <c r="BG104" s="22">
        <f t="shared" si="61"/>
        <v>447.86182820601539</v>
      </c>
      <c r="BH104" s="62">
        <f t="shared" si="62"/>
        <v>725.54222075308985</v>
      </c>
      <c r="BI104" s="62">
        <f ca="1">AVERAGE(OFFSET($BH$3,0,0,'Données projet'!$E$11+1,1))-AVERAGE(OFFSET($H$3,0,0,'Données projet'!$E$11+1,1))</f>
        <v>341.48836779133632</v>
      </c>
      <c r="BJ104" s="62">
        <f t="shared" si="92"/>
        <v>176.87842498964287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0.49294781763077994</v>
      </c>
      <c r="BR104" s="23">
        <f>EXP(-LN(2)/2)*BR103+(1-EXP(-LN(2)/2))/(LN(2)/2)*BL104*BO104*VLOOKUP('Données projet'!$B$11,Paramètres!$A$1:$I$89,3,0)*0.475*44/12</f>
        <v>7.1282408491511951E-10</v>
      </c>
      <c r="BS104" s="24">
        <f t="shared" si="63"/>
        <v>0.49294781834360402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3.4</v>
      </c>
      <c r="BY104" s="13">
        <f>IF('Données projet'!$A$114&gt;35,BY103+BX104-CG103,IF(A104&lt;'Données projet'!$A$114,$BV$205^A104,IF(A104='Données projet'!$A$114,'Données projet'!$B$114,BY103+BX104-CG103)))</f>
        <v>206.39999999999984</v>
      </c>
      <c r="BZ104" s="14">
        <f>BY104*VLOOKUP('Données projet'!$B$12,Paramètres!$A$1:$I$89,3,0)*VLOOKUP('Données projet'!$B$12,Paramètres!$A$1:$I$89,5,0)</f>
        <v>138.4531199999999</v>
      </c>
      <c r="CA104" s="14">
        <f t="shared" si="93"/>
        <v>35.942408186268445</v>
      </c>
      <c r="CB104" s="22">
        <f t="shared" si="64"/>
        <v>303.73887825775068</v>
      </c>
      <c r="CC104" s="62">
        <f t="shared" si="65"/>
        <v>581.41927080482515</v>
      </c>
      <c r="CD104" s="62">
        <f ca="1">AVERAGE(OFFSET($CC$3,0,0,'Données projet'!$E$12+1,1))-AVERAGE(OFFSET($H$3,0,0,'Données projet'!$E$12+1,1))</f>
        <v>253.16238957399855</v>
      </c>
      <c r="CE104" s="62">
        <f t="shared" si="94"/>
        <v>138.00705940844708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0.40822241147548982</v>
      </c>
      <c r="CM104" s="23">
        <f>EXP(-LN(2)/2)*CM103+(1-EXP(-LN(2)/2))/(LN(2)/2)*CG104*CJ104*VLOOKUP('Données projet'!$B$12,Paramètres!$A$1:$I$89,3,0)*0.475*44/12</f>
        <v>4.7892868205234587E-10</v>
      </c>
      <c r="CN104" s="24">
        <f t="shared" si="66"/>
        <v>0.4082224119544185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3.4</v>
      </c>
      <c r="N105" s="14">
        <f>IF('Données projet'!$A$36&gt;35,N104+M105-V104,IF(A105&lt;'Données projet'!$A$36,$K$205^A105,IF(A105='Données projet'!$A$36,'Données projet'!$B$36,N104+M105-V104)))</f>
        <v>209.79999999999984</v>
      </c>
      <c r="O105" s="14">
        <f>N105*VLOOKUP('Données projet'!$B$9,Paramètres!$A$1:$I$89,3,0)*VLOOKUP('Données projet'!$B$9,Paramètres!$A$1:$I$89,5,0)</f>
        <v>212.73719999999983</v>
      </c>
      <c r="P105" s="14">
        <f t="shared" si="87"/>
        <v>52.533281199481387</v>
      </c>
      <c r="Q105" s="22">
        <f t="shared" si="107"/>
        <v>462.01275475576307</v>
      </c>
      <c r="R105" s="62">
        <f t="shared" si="55"/>
        <v>739.96469083074601</v>
      </c>
      <c r="S105" s="62">
        <f ca="1">AVERAGE(OFFSET($R$3,0,0,'Données projet'!$E$9+1,1))-AVERAGE(OFFSET($H$3,0,0,'Données projet'!$E$9+1,1))</f>
        <v>345.67675698621832</v>
      </c>
      <c r="T105" s="62">
        <f t="shared" si="88"/>
        <v>178.72086185623849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219.21539650048186</v>
      </c>
      <c r="AO105" s="62">
        <f t="shared" si="90"/>
        <v>204.10961748628708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0.73801094405087786</v>
      </c>
      <c r="AW105" s="23">
        <f>EXP(-LN(2)/2)*AW104+(1-EXP(-LN(2)/2))/(LN(2)/2)*AQ105*AT105*VLOOKUP('Données projet'!$B$10,Paramètres!$A$1:$I$89,3,0)*0.475*44/12</f>
        <v>1.0586659622649938E-10</v>
      </c>
      <c r="AX105" s="23">
        <f t="shared" si="60"/>
        <v>0.73801094415674451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3.4</v>
      </c>
      <c r="BD105" s="13">
        <f>IF('Données projet'!$A$88&gt;35,BD104+BC105-BL104,IF(A105&lt;'Données projet'!$A$88,$BA$205^A105,IF(A105='Données projet'!$A$88,'Données projet'!$B$88,BD104+BC105-BL104)))</f>
        <v>209.79999999999984</v>
      </c>
      <c r="BE105" s="14">
        <f>BD105*VLOOKUP('Données projet'!$B$11,Paramètres!$A$1:$I$89,3,0)*VLOOKUP('Données projet'!$B$11,Paramètres!$A$1:$I$89,5,0)</f>
        <v>209.46431999999987</v>
      </c>
      <c r="BF105" s="14">
        <f t="shared" si="91"/>
        <v>51.818508745620818</v>
      </c>
      <c r="BG105" s="22">
        <f t="shared" si="61"/>
        <v>455.06759339862265</v>
      </c>
      <c r="BH105" s="62">
        <f t="shared" si="62"/>
        <v>733.01952947360564</v>
      </c>
      <c r="BI105" s="62">
        <f ca="1">AVERAGE(OFFSET($BH$3,0,0,'Données projet'!$E$11+1,1))-AVERAGE(OFFSET($H$3,0,0,'Données projet'!$E$11+1,1))</f>
        <v>341.48836779133632</v>
      </c>
      <c r="BJ105" s="62">
        <f t="shared" si="92"/>
        <v>176.87842498964287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0.47946813363466717</v>
      </c>
      <c r="BR105" s="23">
        <f>EXP(-LN(2)/2)*BR104+(1-EXP(-LN(2)/2))/(LN(2)/2)*BL105*BO105*VLOOKUP('Données projet'!$B$11,Paramètres!$A$1:$I$89,3,0)*0.475*44/12</f>
        <v>5.0404274423657638E-10</v>
      </c>
      <c r="BS105" s="24">
        <f t="shared" si="63"/>
        <v>0.47946813413870992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3.4</v>
      </c>
      <c r="BY105" s="13">
        <f>IF('Données projet'!$A$114&gt;35,BY104+BX105-CG104,IF(A105&lt;'Données projet'!$A$114,$BV$205^A105,IF(A105='Données projet'!$A$114,'Données projet'!$B$114,BY104+BX105-CG104)))</f>
        <v>209.79999999999984</v>
      </c>
      <c r="BZ105" s="14">
        <f>BY105*VLOOKUP('Données projet'!$B$12,Paramètres!$A$1:$I$89,3,0)*VLOOKUP('Données projet'!$B$12,Paramètres!$A$1:$I$89,5,0)</f>
        <v>140.7338399999999</v>
      </c>
      <c r="CA105" s="14">
        <f t="shared" si="93"/>
        <v>36.465066748163046</v>
      </c>
      <c r="CB105" s="22">
        <f t="shared" si="64"/>
        <v>308.62142925305045</v>
      </c>
      <c r="CC105" s="62">
        <f t="shared" si="65"/>
        <v>586.57336532803333</v>
      </c>
      <c r="CD105" s="62">
        <f ca="1">AVERAGE(OFFSET($CC$3,0,0,'Données projet'!$E$12+1,1))-AVERAGE(OFFSET($H$3,0,0,'Données projet'!$E$12+1,1))</f>
        <v>253.16238957399855</v>
      </c>
      <c r="CE105" s="62">
        <f t="shared" si="94"/>
        <v>138.00705940844708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0.39705954816620892</v>
      </c>
      <c r="CM105" s="23">
        <f>EXP(-LN(2)/2)*CM104+(1-EXP(-LN(2)/2))/(LN(2)/2)*CG105*CJ105*VLOOKUP('Données projet'!$B$12,Paramètres!$A$1:$I$89,3,0)*0.475*44/12</f>
        <v>3.3865371878394973E-10</v>
      </c>
      <c r="CN105" s="24">
        <f t="shared" si="66"/>
        <v>0.39705954850486264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3.4</v>
      </c>
      <c r="N106" s="14">
        <f>IF('Données projet'!$A$36&gt;35,N105+M106-V105,IF(A106&lt;'Données projet'!$A$36,$K$205^A106,IF(A106='Données projet'!$A$36,'Données projet'!$B$36,N105+M106-V105)))</f>
        <v>213.19999999999985</v>
      </c>
      <c r="O106" s="14">
        <f>N106*VLOOKUP('Données projet'!$B$9,Paramètres!$A$1:$I$89,3,0)*VLOOKUP('Données projet'!$B$9,Paramètres!$A$1:$I$89,5,0)</f>
        <v>216.18479999999985</v>
      </c>
      <c r="P106" s="14">
        <f t="shared" si="87"/>
        <v>53.284828478170326</v>
      </c>
      <c r="Q106" s="22">
        <f t="shared" si="107"/>
        <v>469.32626959947976</v>
      </c>
      <c r="R106" s="62">
        <f t="shared" si="55"/>
        <v>747.54503852924245</v>
      </c>
      <c r="S106" s="62">
        <f ca="1">AVERAGE(OFFSET($R$3,0,0,'Données projet'!$E$9+1,1))-AVERAGE(OFFSET($H$3,0,0,'Données projet'!$E$9+1,1))</f>
        <v>345.67675698621832</v>
      </c>
      <c r="T106" s="62">
        <f t="shared" si="88"/>
        <v>178.72086185623849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219.21539650048186</v>
      </c>
      <c r="AO106" s="62">
        <f t="shared" si="90"/>
        <v>204.10961748628708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0.71782999597549779</v>
      </c>
      <c r="AW106" s="23">
        <f>EXP(-LN(2)/2)*AW105+(1-EXP(-LN(2)/2))/(LN(2)/2)*AQ106*AT106*VLOOKUP('Données projet'!$B$10,Paramètres!$A$1:$I$89,3,0)*0.475*44/12</f>
        <v>7.485898809289587E-11</v>
      </c>
      <c r="AX106" s="23">
        <f t="shared" si="60"/>
        <v>0.7178299960503568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3.4</v>
      </c>
      <c r="BD106" s="13">
        <f>IF('Données projet'!$A$88&gt;35,BD105+BC106-BL105,IF(A106&lt;'Données projet'!$A$88,$BA$205^A106,IF(A106='Données projet'!$A$88,'Données projet'!$B$88,BD105+BC106-BL105)))</f>
        <v>213.19999999999985</v>
      </c>
      <c r="BE106" s="14">
        <f>BD106*VLOOKUP('Données projet'!$B$11,Paramètres!$A$1:$I$89,3,0)*VLOOKUP('Données projet'!$B$11,Paramètres!$A$1:$I$89,5,0)</f>
        <v>212.85887999999983</v>
      </c>
      <c r="BF106" s="14">
        <f t="shared" si="91"/>
        <v>52.559830405800589</v>
      </c>
      <c r="BG106" s="22">
        <f t="shared" si="61"/>
        <v>462.27092062343576</v>
      </c>
      <c r="BH106" s="62">
        <f t="shared" si="62"/>
        <v>740.48968955319845</v>
      </c>
      <c r="BI106" s="62">
        <f ca="1">AVERAGE(OFFSET($BH$3,0,0,'Données projet'!$E$11+1,1))-AVERAGE(OFFSET($H$3,0,0,'Données projet'!$E$11+1,1))</f>
        <v>341.48836779133632</v>
      </c>
      <c r="BJ106" s="62">
        <f t="shared" si="92"/>
        <v>176.87842498964287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0.46635705230629387</v>
      </c>
      <c r="BR106" s="23">
        <f>EXP(-LN(2)/2)*BR105+(1-EXP(-LN(2)/2))/(LN(2)/2)*BL106*BO106*VLOOKUP('Données projet'!$B$11,Paramètres!$A$1:$I$89,3,0)*0.475*44/12</f>
        <v>3.5641204245755975E-10</v>
      </c>
      <c r="BS106" s="24">
        <f t="shared" si="63"/>
        <v>0.46635705266270594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3.4</v>
      </c>
      <c r="BY106" s="13">
        <f>IF('Données projet'!$A$114&gt;35,BY105+BX106-CG105,IF(A106&lt;'Données projet'!$A$114,$BV$205^A106,IF(A106='Données projet'!$A$114,'Données projet'!$B$114,BY105+BX106-CG105)))</f>
        <v>213.19999999999985</v>
      </c>
      <c r="BZ106" s="14">
        <f>BY106*VLOOKUP('Données projet'!$B$12,Paramètres!$A$1:$I$89,3,0)*VLOOKUP('Données projet'!$B$12,Paramètres!$A$1:$I$89,5,0)</f>
        <v>143.0145599999999</v>
      </c>
      <c r="CA106" s="14">
        <f t="shared" si="93"/>
        <v>36.986740267426548</v>
      </c>
      <c r="CB106" s="22">
        <f t="shared" si="64"/>
        <v>313.50226463243433</v>
      </c>
      <c r="CC106" s="62">
        <f t="shared" si="65"/>
        <v>591.72103356219702</v>
      </c>
      <c r="CD106" s="62">
        <f ca="1">AVERAGE(OFFSET($CC$3,0,0,'Données projet'!$E$12+1,1))-AVERAGE(OFFSET($H$3,0,0,'Données projet'!$E$12+1,1))</f>
        <v>253.16238957399855</v>
      </c>
      <c r="CE106" s="62">
        <f t="shared" si="94"/>
        <v>138.00705940844708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0.38620193394114977</v>
      </c>
      <c r="CM106" s="23">
        <f>EXP(-LN(2)/2)*CM105+(1-EXP(-LN(2)/2))/(LN(2)/2)*CG106*CJ106*VLOOKUP('Données projet'!$B$12,Paramètres!$A$1:$I$89,3,0)*0.475*44/12</f>
        <v>2.3946434102617294E-10</v>
      </c>
      <c r="CN106" s="24">
        <f t="shared" si="66"/>
        <v>0.3862019341806141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3.4</v>
      </c>
      <c r="N107" s="14">
        <f>IF('Données projet'!$A$36&gt;35,N106+M107-V106,IF(A107&lt;'Données projet'!$A$36,$K$205^A107,IF(A107='Données projet'!$A$36,'Données projet'!$B$36,N106+M107-V106)))</f>
        <v>216.59999999999985</v>
      </c>
      <c r="O107" s="14">
        <f>N107*VLOOKUP('Données projet'!$B$9,Paramètres!$A$1:$I$89,3,0)*VLOOKUP('Données projet'!$B$9,Paramètres!$A$1:$I$89,5,0)</f>
        <v>219.63239999999988</v>
      </c>
      <c r="P107" s="14">
        <f t="shared" si="87"/>
        <v>54.034981902357458</v>
      </c>
      <c r="Q107" s="22">
        <f t="shared" si="107"/>
        <v>476.63735681327233</v>
      </c>
      <c r="R107" s="62">
        <f t="shared" si="55"/>
        <v>755.11832964433324</v>
      </c>
      <c r="S107" s="62">
        <f ca="1">AVERAGE(OFFSET($R$3,0,0,'Données projet'!$E$9+1,1))-AVERAGE(OFFSET($H$3,0,0,'Données projet'!$E$9+1,1))</f>
        <v>345.67675698621832</v>
      </c>
      <c r="T107" s="62">
        <f t="shared" si="88"/>
        <v>178.72086185623849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219.21539650048186</v>
      </c>
      <c r="AO107" s="62">
        <f t="shared" si="90"/>
        <v>204.10961748628708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0.69820089698650889</v>
      </c>
      <c r="AW107" s="23">
        <f>EXP(-LN(2)/2)*AW106+(1-EXP(-LN(2)/2))/(LN(2)/2)*AQ107*AT107*VLOOKUP('Données projet'!$B$10,Paramètres!$A$1:$I$89,3,0)*0.475*44/12</f>
        <v>5.2933298113249688E-11</v>
      </c>
      <c r="AX107" s="23">
        <f t="shared" si="60"/>
        <v>0.69820089703944221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3.4</v>
      </c>
      <c r="BD107" s="13">
        <f>IF('Données projet'!$A$88&gt;35,BD106+BC107-BL106,IF(A107&lt;'Données projet'!$A$88,$BA$205^A107,IF(A107='Données projet'!$A$88,'Données projet'!$B$88,BD106+BC107-BL106)))</f>
        <v>216.59999999999985</v>
      </c>
      <c r="BE107" s="14">
        <f>BD107*VLOOKUP('Données projet'!$B$11,Paramètres!$A$1:$I$89,3,0)*VLOOKUP('Données projet'!$B$11,Paramètres!$A$1:$I$89,5,0)</f>
        <v>216.25343999999987</v>
      </c>
      <c r="BF107" s="14">
        <f t="shared" si="91"/>
        <v>53.299777176385753</v>
      </c>
      <c r="BG107" s="22">
        <f t="shared" si="61"/>
        <v>469.47185324887147</v>
      </c>
      <c r="BH107" s="62">
        <f t="shared" si="62"/>
        <v>747.95282607993238</v>
      </c>
      <c r="BI107" s="62">
        <f ca="1">AVERAGE(OFFSET($BH$3,0,0,'Données projet'!$E$11+1,1))-AVERAGE(OFFSET($H$3,0,0,'Données projet'!$E$11+1,1))</f>
        <v>341.48836779133632</v>
      </c>
      <c r="BJ107" s="62">
        <f t="shared" si="92"/>
        <v>176.87842498964287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0.45360449418632676</v>
      </c>
      <c r="BR107" s="23">
        <f>EXP(-LN(2)/2)*BR106+(1-EXP(-LN(2)/2))/(LN(2)/2)*BL107*BO107*VLOOKUP('Données projet'!$B$11,Paramètres!$A$1:$I$89,3,0)*0.475*44/12</f>
        <v>2.5202137211828819E-10</v>
      </c>
      <c r="BS107" s="24">
        <f t="shared" si="63"/>
        <v>0.4536044944383481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3.4</v>
      </c>
      <c r="BY107" s="13">
        <f>IF('Données projet'!$A$114&gt;35,BY106+BX107-CG106,IF(A107&lt;'Données projet'!$A$114,$BV$205^A107,IF(A107='Données projet'!$A$114,'Données projet'!$B$114,BY106+BX107-CG106)))</f>
        <v>216.59999999999985</v>
      </c>
      <c r="BZ107" s="14">
        <f>BY107*VLOOKUP('Données projet'!$B$12,Paramètres!$A$1:$I$89,3,0)*VLOOKUP('Données projet'!$B$12,Paramètres!$A$1:$I$89,5,0)</f>
        <v>145.29527999999991</v>
      </c>
      <c r="CA107" s="14">
        <f t="shared" si="93"/>
        <v>37.507446266742981</v>
      </c>
      <c r="CB107" s="22">
        <f t="shared" si="64"/>
        <v>318.38141491457719</v>
      </c>
      <c r="CC107" s="62">
        <f t="shared" si="65"/>
        <v>596.8623877456381</v>
      </c>
      <c r="CD107" s="62">
        <f ca="1">AVERAGE(OFFSET($CC$3,0,0,'Données projet'!$E$12+1,1))-AVERAGE(OFFSET($H$3,0,0,'Données projet'!$E$12+1,1))</f>
        <v>253.16238957399855</v>
      </c>
      <c r="CE107" s="62">
        <f t="shared" si="94"/>
        <v>138.00705940844708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0.37564122174805198</v>
      </c>
      <c r="CM107" s="23">
        <f>EXP(-LN(2)/2)*CM106+(1-EXP(-LN(2)/2))/(LN(2)/2)*CG107*CJ107*VLOOKUP('Données projet'!$B$12,Paramètres!$A$1:$I$89,3,0)*0.475*44/12</f>
        <v>1.6932685939197486E-10</v>
      </c>
      <c r="CN107" s="24">
        <f t="shared" si="66"/>
        <v>0.37564122191737886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220</v>
      </c>
      <c r="L108" s="13">
        <f>VLOOKUP(A108,'Données projet'!$A$35:$I$55,9,0)</f>
        <v>3.4</v>
      </c>
      <c r="M108" s="13">
        <f t="array" ref="M108">INDEX(L:L,MIN(IF(ISNUMBER(L108:L304),ROW(L108:L304),"")))</f>
        <v>3.4</v>
      </c>
      <c r="N108" s="14">
        <f>IF('Données projet'!$A$36&gt;35,N107+M108-V107,IF(A108&lt;'Données projet'!$A$36,$K$205^A108,IF(A108='Données projet'!$A$36,'Données projet'!$B$36,N107+M108-V107)))</f>
        <v>219.99999999999986</v>
      </c>
      <c r="O108" s="14">
        <f>N108*VLOOKUP('Données projet'!$B$9,Paramètres!$A$1:$I$89,3,0)*VLOOKUP('Données projet'!$B$9,Paramètres!$A$1:$I$89,5,0)</f>
        <v>223.07999999999987</v>
      </c>
      <c r="P108" s="14">
        <f t="shared" si="87"/>
        <v>54.783765878062617</v>
      </c>
      <c r="Q108" s="22">
        <f t="shared" si="107"/>
        <v>483.94605890429216</v>
      </c>
      <c r="R108" s="62">
        <f t="shared" si="55"/>
        <v>762.68468698516392</v>
      </c>
      <c r="S108" s="62">
        <f ca="1">AVERAGE(OFFSET($R$3,0,0,'Données projet'!$E$9+1,1))-AVERAGE(OFFSET($H$3,0,0,'Données projet'!$E$9+1,1))</f>
        <v>345.67675698621832</v>
      </c>
      <c r="T108" s="62">
        <f t="shared" si="88"/>
        <v>178.72086185623849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13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219.21539650048186</v>
      </c>
      <c r="AO108" s="62">
        <f t="shared" si="90"/>
        <v>204.10961748628708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0.6791085567416234</v>
      </c>
      <c r="AW108" s="23">
        <f>EXP(-LN(2)/2)*AW107+(1-EXP(-LN(2)/2))/(LN(2)/2)*AQ108*AT108*VLOOKUP('Données projet'!$B$10,Paramètres!$A$1:$I$89,3,0)*0.475*44/12</f>
        <v>3.7429494046447935E-11</v>
      </c>
      <c r="AX108" s="23">
        <f t="shared" si="60"/>
        <v>0.67910855677905291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220</v>
      </c>
      <c r="BB108" s="13">
        <f>VLOOKUP(A108,'Données projet'!$A$87:$I$107,9,0)</f>
        <v>3.4</v>
      </c>
      <c r="BC108" s="13">
        <f t="array" ref="BC108">INDEX(BB:BB,MIN(IF(ISNUMBER(BB108:BB304),ROW(BB108:BB304),"")))</f>
        <v>3.4</v>
      </c>
      <c r="BD108" s="13">
        <f>IF('Données projet'!$A$88&gt;35,BD107+BC108-BL107,IF(A108&lt;'Données projet'!$A$88,$BA$205^A108,IF(A108='Données projet'!$A$88,'Données projet'!$B$88,BD107+BC108-BL107)))</f>
        <v>219.99999999999986</v>
      </c>
      <c r="BE108" s="14">
        <f>BD108*VLOOKUP('Données projet'!$B$11,Paramètres!$A$1:$I$89,3,0)*VLOOKUP('Données projet'!$B$11,Paramètres!$A$1:$I$89,5,0)</f>
        <v>219.64799999999988</v>
      </c>
      <c r="BF108" s="14">
        <f t="shared" si="91"/>
        <v>54.03837313132567</v>
      </c>
      <c r="BG108" s="22">
        <f t="shared" si="61"/>
        <v>476.67043320372539</v>
      </c>
      <c r="BH108" s="62">
        <f t="shared" si="62"/>
        <v>755.4090612845971</v>
      </c>
      <c r="BI108" s="62">
        <f ca="1">AVERAGE(OFFSET($BH$3,0,0,'Données projet'!$E$11+1,1))-AVERAGE(OFFSET($H$3,0,0,'Données projet'!$E$11+1,1))</f>
        <v>341.48836779133632</v>
      </c>
      <c r="BJ108" s="62">
        <f t="shared" si="92"/>
        <v>176.87842498964287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13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0.44120065543877801</v>
      </c>
      <c r="BR108" s="23">
        <f>EXP(-LN(2)/2)*BR107+(1-EXP(-LN(2)/2))/(LN(2)/2)*BL108*BO108*VLOOKUP('Données projet'!$B$11,Paramètres!$A$1:$I$89,3,0)*0.475*44/12</f>
        <v>1.7820602122877988E-10</v>
      </c>
      <c r="BS108" s="24">
        <f t="shared" si="63"/>
        <v>0.44120065561698402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220</v>
      </c>
      <c r="BW108" s="13">
        <f>VLOOKUP(A108,'Données projet'!$A$113:$I$133,9,0)</f>
        <v>3.4</v>
      </c>
      <c r="BX108" s="13">
        <f t="array" ref="BX108">INDEX(BW:BW,MIN(IF(ISNUMBER(BW108:BW304),ROW(BW108:BW304),"")))</f>
        <v>3.4</v>
      </c>
      <c r="BY108" s="13">
        <f>IF('Données projet'!$A$114&gt;35,BY107+BX108-CG107,IF(A108&lt;'Données projet'!$A$114,$BV$205^A108,IF(A108='Données projet'!$A$114,'Données projet'!$B$114,BY107+BX108-CG107)))</f>
        <v>219.99999999999986</v>
      </c>
      <c r="BZ108" s="14">
        <f>BY108*VLOOKUP('Données projet'!$B$12,Paramètres!$A$1:$I$89,3,0)*VLOOKUP('Données projet'!$B$12,Paramètres!$A$1:$I$89,5,0)</f>
        <v>147.57599999999991</v>
      </c>
      <c r="CA108" s="14">
        <f t="shared" si="93"/>
        <v>38.027201687128048</v>
      </c>
      <c r="CB108" s="22">
        <f t="shared" si="64"/>
        <v>323.25890960508121</v>
      </c>
      <c r="CC108" s="62">
        <f t="shared" si="65"/>
        <v>601.99753768595292</v>
      </c>
      <c r="CD108" s="62">
        <f ca="1">AVERAGE(OFFSET($CC$3,0,0,'Données projet'!$E$12+1,1))-AVERAGE(OFFSET($H$3,0,0,'Données projet'!$E$12+1,1))</f>
        <v>253.16238957399855</v>
      </c>
      <c r="CE108" s="62">
        <f t="shared" si="94"/>
        <v>138.00705940844708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13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0.36536929278523816</v>
      </c>
      <c r="CM108" s="23">
        <f>EXP(-LN(2)/2)*CM107+(1-EXP(-LN(2)/2))/(LN(2)/2)*CG108*CJ108*VLOOKUP('Données projet'!$B$12,Paramètres!$A$1:$I$89,3,0)*0.475*44/12</f>
        <v>1.1973217051308647E-10</v>
      </c>
      <c r="CN108" s="24">
        <f t="shared" si="66"/>
        <v>0.36536929290497033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209.99999999999986</v>
      </c>
      <c r="O109" s="14">
        <f>N109*VLOOKUP('Données projet'!$B$9,Paramètres!$A$1:$I$89,3,0)*VLOOKUP('Données projet'!$B$9,Paramètres!$A$1:$I$89,5,0)</f>
        <v>212.93999999999988</v>
      </c>
      <c r="P109" s="14">
        <f t="shared" si="87"/>
        <v>52.577528895212815</v>
      </c>
      <c r="Q109" s="22">
        <f t="shared" si="107"/>
        <v>462.44302949249544</v>
      </c>
      <c r="R109" s="62">
        <f t="shared" si="55"/>
        <v>741.43484308062455</v>
      </c>
      <c r="S109" s="62">
        <f ca="1">AVERAGE(OFFSET($R$3,0,0,'Données projet'!$E$9+1,1))-AVERAGE(OFFSET($H$3,0,0,'Données projet'!$E$9+1,1))</f>
        <v>345.67675698621832</v>
      </c>
      <c r="T109" s="62">
        <f t="shared" si="88"/>
        <v>178.72086185623849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219.21539650048186</v>
      </c>
      <c r="AO109" s="62">
        <f t="shared" si="90"/>
        <v>204.10961748628708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0.66053829754475679</v>
      </c>
      <c r="AW109" s="23">
        <f>EXP(-LN(2)/2)*AW108+(1-EXP(-LN(2)/2))/(LN(2)/2)*AQ109*AT109*VLOOKUP('Données projet'!$B$10,Paramètres!$A$1:$I$89,3,0)*0.475*44/12</f>
        <v>2.6466649056624844E-11</v>
      </c>
      <c r="AX109" s="23">
        <f t="shared" si="60"/>
        <v>0.6605382975712234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209.99999999999986</v>
      </c>
      <c r="BE109" s="14">
        <f>BD109*VLOOKUP('Données projet'!$B$11,Paramètres!$A$1:$I$89,3,0)*VLOOKUP('Données projet'!$B$11,Paramètres!$A$1:$I$89,5,0)</f>
        <v>209.66399999999987</v>
      </c>
      <c r="BF109" s="14">
        <f t="shared" si="91"/>
        <v>51.862154403304487</v>
      </c>
      <c r="BG109" s="22">
        <f t="shared" si="61"/>
        <v>455.4913855857551</v>
      </c>
      <c r="BH109" s="62">
        <f t="shared" si="62"/>
        <v>734.48319917388426</v>
      </c>
      <c r="BI109" s="62">
        <f ca="1">AVERAGE(OFFSET($BH$3,0,0,'Données projet'!$E$11+1,1))-AVERAGE(OFFSET($H$3,0,0,'Données projet'!$E$11+1,1))</f>
        <v>341.48836779133632</v>
      </c>
      <c r="BJ109" s="62">
        <f t="shared" si="92"/>
        <v>176.87842498964287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0.42913600031407051</v>
      </c>
      <c r="BR109" s="23">
        <f>EXP(-LN(2)/2)*BR108+(1-EXP(-LN(2)/2))/(LN(2)/2)*BL109*BO109*VLOOKUP('Données projet'!$B$11,Paramètres!$A$1:$I$89,3,0)*0.475*44/12</f>
        <v>1.2601068605914409E-10</v>
      </c>
      <c r="BS109" s="24">
        <f t="shared" si="63"/>
        <v>0.42913600044008121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209.99999999999986</v>
      </c>
      <c r="BZ109" s="14">
        <f>BY109*VLOOKUP('Données projet'!$B$12,Paramètres!$A$1:$I$89,3,0)*VLOOKUP('Données projet'!$B$12,Paramètres!$A$1:$I$89,5,0)</f>
        <v>140.86799999999991</v>
      </c>
      <c r="CA109" s="14">
        <f t="shared" si="93"/>
        <v>36.495780519346923</v>
      </c>
      <c r="CB109" s="22">
        <f t="shared" si="64"/>
        <v>308.90858440452911</v>
      </c>
      <c r="CC109" s="62">
        <f t="shared" si="65"/>
        <v>587.90039799265821</v>
      </c>
      <c r="CD109" s="62">
        <f ca="1">AVERAGE(OFFSET($CC$3,0,0,'Données projet'!$E$12+1,1))-AVERAGE(OFFSET($H$3,0,0,'Données projet'!$E$12+1,1))</f>
        <v>253.16238957399855</v>
      </c>
      <c r="CE109" s="62">
        <f t="shared" si="94"/>
        <v>138.00705940844708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0.35537825026008979</v>
      </c>
      <c r="CM109" s="23">
        <f>EXP(-LN(2)/2)*CM108+(1-EXP(-LN(2)/2))/(LN(2)/2)*CG109*CJ109*VLOOKUP('Données projet'!$B$12,Paramètres!$A$1:$I$89,3,0)*0.475*44/12</f>
        <v>8.4663429695987432E-11</v>
      </c>
      <c r="CN109" s="24">
        <f t="shared" si="66"/>
        <v>0.35537825034475323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212.99999999999986</v>
      </c>
      <c r="O110" s="14">
        <f>N110*VLOOKUP('Données projet'!$B$9,Paramètres!$A$1:$I$89,3,0)*VLOOKUP('Données projet'!$B$9,Paramètres!$A$1:$I$89,5,0)</f>
        <v>215.98199999999986</v>
      </c>
      <c r="P110" s="14">
        <f t="shared" si="87"/>
        <v>53.240658641504993</v>
      </c>
      <c r="Q110" s="22">
        <f t="shared" si="107"/>
        <v>468.89613046728755</v>
      </c>
      <c r="R110" s="62">
        <f t="shared" si="55"/>
        <v>748.13673736016119</v>
      </c>
      <c r="S110" s="62">
        <f ca="1">AVERAGE(OFFSET($R$3,0,0,'Données projet'!$E$9+1,1))-AVERAGE(OFFSET($H$3,0,0,'Données projet'!$E$9+1,1))</f>
        <v>345.67675698621832</v>
      </c>
      <c r="T110" s="62">
        <f t="shared" si="88"/>
        <v>178.72086185623849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219.21539650048186</v>
      </c>
      <c r="AO110" s="62">
        <f t="shared" si="90"/>
        <v>204.10961748628708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0.64247584306219607</v>
      </c>
      <c r="AW110" s="23">
        <f>EXP(-LN(2)/2)*AW109+(1-EXP(-LN(2)/2))/(LN(2)/2)*AQ110*AT110*VLOOKUP('Données projet'!$B$10,Paramètres!$A$1:$I$89,3,0)*0.475*44/12</f>
        <v>1.8714747023223968E-11</v>
      </c>
      <c r="AX110" s="23">
        <f t="shared" si="60"/>
        <v>0.64247584308091077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212.99999999999986</v>
      </c>
      <c r="BE110" s="14">
        <f>BD110*VLOOKUP('Données projet'!$B$11,Paramètres!$A$1:$I$89,3,0)*VLOOKUP('Données projet'!$B$11,Paramètres!$A$1:$I$89,5,0)</f>
        <v>212.65919999999986</v>
      </c>
      <c r="BF110" s="14">
        <f t="shared" si="91"/>
        <v>52.516261547825692</v>
      </c>
      <c r="BG110" s="22">
        <f t="shared" si="61"/>
        <v>461.84726219579608</v>
      </c>
      <c r="BH110" s="62">
        <f t="shared" si="62"/>
        <v>741.08786908866978</v>
      </c>
      <c r="BI110" s="62">
        <f ca="1">AVERAGE(OFFSET($BH$3,0,0,'Données projet'!$E$11+1,1))-AVERAGE(OFFSET($H$3,0,0,'Données projet'!$E$11+1,1))</f>
        <v>341.48836779133632</v>
      </c>
      <c r="BJ110" s="62">
        <f t="shared" si="92"/>
        <v>176.87842498964287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0.41740125381820081</v>
      </c>
      <c r="BR110" s="23">
        <f>EXP(-LN(2)/2)*BR109+(1-EXP(-LN(2)/2))/(LN(2)/2)*BL110*BO110*VLOOKUP('Données projet'!$B$11,Paramètres!$A$1:$I$89,3,0)*0.475*44/12</f>
        <v>8.9103010614389938E-11</v>
      </c>
      <c r="BS110" s="24">
        <f t="shared" si="63"/>
        <v>0.41740125390730382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212.99999999999986</v>
      </c>
      <c r="BZ110" s="14">
        <f>BY110*VLOOKUP('Données projet'!$B$12,Paramètres!$A$1:$I$89,3,0)*VLOOKUP('Données projet'!$B$12,Paramètres!$A$1:$I$89,5,0)</f>
        <v>142.8803999999999</v>
      </c>
      <c r="CA110" s="14">
        <f t="shared" si="93"/>
        <v>36.956080540764113</v>
      </c>
      <c r="CB110" s="22">
        <f t="shared" si="64"/>
        <v>313.21520360849729</v>
      </c>
      <c r="CC110" s="62">
        <f t="shared" si="65"/>
        <v>592.45581050137093</v>
      </c>
      <c r="CD110" s="62">
        <f ca="1">AVERAGE(OFFSET($CC$3,0,0,'Données projet'!$E$12+1,1))-AVERAGE(OFFSET($H$3,0,0,'Données projet'!$E$12+1,1))</f>
        <v>253.16238957399855</v>
      </c>
      <c r="CE110" s="62">
        <f t="shared" si="94"/>
        <v>138.00705940844708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0.34566041331819769</v>
      </c>
      <c r="CM110" s="23">
        <f>EXP(-LN(2)/2)*CM109+(1-EXP(-LN(2)/2))/(LN(2)/2)*CG110*CJ110*VLOOKUP('Données projet'!$B$12,Paramètres!$A$1:$I$89,3,0)*0.475*44/12</f>
        <v>5.9866085256543234E-11</v>
      </c>
      <c r="CN110" s="24">
        <f t="shared" si="66"/>
        <v>0.3456604133780638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215.99999999999986</v>
      </c>
      <c r="O111" s="14">
        <f>N111*VLOOKUP('Données projet'!$B$9,Paramètres!$A$1:$I$89,3,0)*VLOOKUP('Données projet'!$B$9,Paramètres!$A$1:$I$89,5,0)</f>
        <v>219.02399999999989</v>
      </c>
      <c r="P111" s="14">
        <f t="shared" si="87"/>
        <v>53.902702081308306</v>
      </c>
      <c r="Q111" s="22">
        <f t="shared" si="107"/>
        <v>475.34733945827838</v>
      </c>
      <c r="R111" s="62">
        <f t="shared" si="55"/>
        <v>754.83242364827765</v>
      </c>
      <c r="S111" s="62">
        <f ca="1">AVERAGE(OFFSET($R$3,0,0,'Données projet'!$E$9+1,1))-AVERAGE(OFFSET($H$3,0,0,'Données projet'!$E$9+1,1))</f>
        <v>345.67675698621832</v>
      </c>
      <c r="T111" s="62">
        <f t="shared" si="88"/>
        <v>178.72086185623849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219.21539650048186</v>
      </c>
      <c r="AO111" s="62">
        <f t="shared" si="90"/>
        <v>204.10961748628708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0.62490730734732414</v>
      </c>
      <c r="AW111" s="23">
        <f>EXP(-LN(2)/2)*AW110+(1-EXP(-LN(2)/2))/(LN(2)/2)*AQ111*AT111*VLOOKUP('Données projet'!$B$10,Paramètres!$A$1:$I$89,3,0)*0.475*44/12</f>
        <v>1.3233324528312422E-11</v>
      </c>
      <c r="AX111" s="23">
        <f t="shared" si="60"/>
        <v>0.62490730736055744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215.99999999999986</v>
      </c>
      <c r="BE111" s="14">
        <f>BD111*VLOOKUP('Données projet'!$B$11,Paramètres!$A$1:$I$89,3,0)*VLOOKUP('Données projet'!$B$11,Paramètres!$A$1:$I$89,5,0)</f>
        <v>215.6543999999999</v>
      </c>
      <c r="BF111" s="14">
        <f t="shared" si="91"/>
        <v>53.169297166239865</v>
      </c>
      <c r="BG111" s="22">
        <f t="shared" si="61"/>
        <v>468.20127256453424</v>
      </c>
      <c r="BH111" s="62">
        <f t="shared" si="62"/>
        <v>747.68635675453356</v>
      </c>
      <c r="BI111" s="62">
        <f ca="1">AVERAGE(OFFSET($BH$3,0,0,'Données projet'!$E$11+1,1))-AVERAGE(OFFSET($H$3,0,0,'Données projet'!$E$11+1,1))</f>
        <v>341.48836779133632</v>
      </c>
      <c r="BJ111" s="62">
        <f t="shared" si="92"/>
        <v>176.87842498964287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0.40598739458236416</v>
      </c>
      <c r="BR111" s="23">
        <f>EXP(-LN(2)/2)*BR110+(1-EXP(-LN(2)/2))/(LN(2)/2)*BL111*BO111*VLOOKUP('Données projet'!$B$11,Paramètres!$A$1:$I$89,3,0)*0.475*44/12</f>
        <v>6.3005343029572047E-11</v>
      </c>
      <c r="BS111" s="24">
        <f t="shared" si="63"/>
        <v>0.40598739464536948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215.99999999999986</v>
      </c>
      <c r="BZ111" s="14">
        <f>BY111*VLOOKUP('Données projet'!$B$12,Paramètres!$A$1:$I$89,3,0)*VLOOKUP('Données projet'!$B$12,Paramètres!$A$1:$I$89,5,0)</f>
        <v>144.89279999999991</v>
      </c>
      <c r="CA111" s="14">
        <f t="shared" si="93"/>
        <v>37.415626521357645</v>
      </c>
      <c r="CB111" s="22">
        <f t="shared" si="64"/>
        <v>317.52050952469773</v>
      </c>
      <c r="CC111" s="62">
        <f t="shared" si="65"/>
        <v>597.00559371469706</v>
      </c>
      <c r="CD111" s="62">
        <f ca="1">AVERAGE(OFFSET($CC$3,0,0,'Données projet'!$E$12+1,1))-AVERAGE(OFFSET($H$3,0,0,'Données projet'!$E$12+1,1))</f>
        <v>253.16238957399855</v>
      </c>
      <c r="CE111" s="62">
        <f t="shared" si="94"/>
        <v>138.00705940844708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0.33620831113852045</v>
      </c>
      <c r="CM111" s="23">
        <f>EXP(-LN(2)/2)*CM110+(1-EXP(-LN(2)/2))/(LN(2)/2)*CG111*CJ111*VLOOKUP('Données projet'!$B$12,Paramètres!$A$1:$I$89,3,0)*0.475*44/12</f>
        <v>4.2331714847993716E-11</v>
      </c>
      <c r="CN111" s="24">
        <f t="shared" si="66"/>
        <v>0.33620831118085215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218.99999999999986</v>
      </c>
      <c r="O112" s="14">
        <f>N112*VLOOKUP('Données projet'!$B$9,Paramètres!$A$1:$I$89,3,0)*VLOOKUP('Données projet'!$B$9,Paramètres!$A$1:$I$89,5,0)</f>
        <v>222.06599999999986</v>
      </c>
      <c r="P112" s="14">
        <f t="shared" si="87"/>
        <v>54.563676045889295</v>
      </c>
      <c r="Q112" s="22">
        <f t="shared" si="107"/>
        <v>481.79668577992356</v>
      </c>
      <c r="R112" s="62">
        <f t="shared" si="55"/>
        <v>761.52200613251284</v>
      </c>
      <c r="S112" s="62">
        <f ca="1">AVERAGE(OFFSET($R$3,0,0,'Données projet'!$E$9+1,1))-AVERAGE(OFFSET($H$3,0,0,'Données projet'!$E$9+1,1))</f>
        <v>345.67675698621832</v>
      </c>
      <c r="T112" s="62">
        <f t="shared" si="88"/>
        <v>178.72086185623849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219.21539650048186</v>
      </c>
      <c r="AO112" s="62">
        <f t="shared" si="90"/>
        <v>204.10961748628708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0.60781918416546454</v>
      </c>
      <c r="AW112" s="23">
        <f>EXP(-LN(2)/2)*AW111+(1-EXP(-LN(2)/2))/(LN(2)/2)*AQ112*AT112*VLOOKUP('Données projet'!$B$10,Paramètres!$A$1:$I$89,3,0)*0.475*44/12</f>
        <v>9.3573735116119838E-12</v>
      </c>
      <c r="AX112" s="23">
        <f t="shared" si="60"/>
        <v>0.60781918417482195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218.99999999999986</v>
      </c>
      <c r="BE112" s="14">
        <f>BD112*VLOOKUP('Données projet'!$B$11,Paramètres!$A$1:$I$89,3,0)*VLOOKUP('Données projet'!$B$11,Paramètres!$A$1:$I$89,5,0)</f>
        <v>218.64959999999988</v>
      </c>
      <c r="BF112" s="14">
        <f t="shared" si="91"/>
        <v>53.821277860805893</v>
      </c>
      <c r="BG112" s="22">
        <f t="shared" si="61"/>
        <v>474.55344560757004</v>
      </c>
      <c r="BH112" s="62">
        <f t="shared" si="62"/>
        <v>754.27876596015926</v>
      </c>
      <c r="BI112" s="62">
        <f ca="1">AVERAGE(OFFSET($BH$3,0,0,'Données projet'!$E$11+1,1))-AVERAGE(OFFSET($H$3,0,0,'Données projet'!$E$11+1,1))</f>
        <v>341.48836779133632</v>
      </c>
      <c r="BJ112" s="62">
        <f t="shared" si="92"/>
        <v>176.87842498964287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0.3948856479275602</v>
      </c>
      <c r="BR112" s="23">
        <f>EXP(-LN(2)/2)*BR111+(1-EXP(-LN(2)/2))/(LN(2)/2)*BL112*BO112*VLOOKUP('Données projet'!$B$11,Paramètres!$A$1:$I$89,3,0)*0.475*44/12</f>
        <v>4.4551505307194969E-11</v>
      </c>
      <c r="BS112" s="24">
        <f t="shared" si="63"/>
        <v>0.39488564797211173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218.99999999999986</v>
      </c>
      <c r="BZ112" s="14">
        <f>BY112*VLOOKUP('Données projet'!$B$12,Paramètres!$A$1:$I$89,3,0)*VLOOKUP('Données projet'!$B$12,Paramètres!$A$1:$I$89,5,0)</f>
        <v>146.90519999999989</v>
      </c>
      <c r="CA112" s="14">
        <f t="shared" si="93"/>
        <v>37.874430144259527</v>
      </c>
      <c r="CB112" s="22">
        <f t="shared" si="64"/>
        <v>321.82452250125181</v>
      </c>
      <c r="CC112" s="62">
        <f t="shared" si="65"/>
        <v>601.54984285384103</v>
      </c>
      <c r="CD112" s="62">
        <f ca="1">AVERAGE(OFFSET($CC$3,0,0,'Données projet'!$E$12+1,1))-AVERAGE(OFFSET($H$3,0,0,'Données projet'!$E$12+1,1))</f>
        <v>253.16238957399855</v>
      </c>
      <c r="CE112" s="62">
        <f t="shared" si="94"/>
        <v>138.00705940844708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0.32701467719001093</v>
      </c>
      <c r="CM112" s="23">
        <f>EXP(-LN(2)/2)*CM111+(1-EXP(-LN(2)/2))/(LN(2)/2)*CG112*CJ112*VLOOKUP('Données projet'!$B$12,Paramètres!$A$1:$I$89,3,0)*0.475*44/12</f>
        <v>2.9933042628271617E-11</v>
      </c>
      <c r="CN112" s="24">
        <f t="shared" si="66"/>
        <v>0.32701467721994398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222</v>
      </c>
      <c r="L113" s="13">
        <f>VLOOKUP(A113,'Données projet'!$A$35:$I$55,9,0)</f>
        <v>3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221.99999999999986</v>
      </c>
      <c r="O113" s="14">
        <f>N113*VLOOKUP('Données projet'!$B$9,Paramètres!$A$1:$I$89,3,0)*VLOOKUP('Données projet'!$B$9,Paramètres!$A$1:$I$89,5,0)</f>
        <v>225.10799999999989</v>
      </c>
      <c r="P113" s="14">
        <f t="shared" si="87"/>
        <v>55.223596878889587</v>
      </c>
      <c r="Q113" s="22">
        <f t="shared" si="107"/>
        <v>488.24419789739909</v>
      </c>
      <c r="R113" s="62">
        <f t="shared" si="55"/>
        <v>768.20558685224501</v>
      </c>
      <c r="S113" s="62">
        <f ca="1">AVERAGE(OFFSET($R$3,0,0,'Données projet'!$E$9+1,1))-AVERAGE(OFFSET($H$3,0,0,'Données projet'!$E$9+1,1))</f>
        <v>345.67675698621832</v>
      </c>
      <c r="T113" s="62">
        <f t="shared" si="88"/>
        <v>178.72086185623849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219.21539650048186</v>
      </c>
      <c r="AO113" s="62">
        <f t="shared" si="90"/>
        <v>204.10961748628708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0.59119833661063825</v>
      </c>
      <c r="AW113" s="23">
        <f>EXP(-LN(2)/2)*AW112+(1-EXP(-LN(2)/2))/(LN(2)/2)*AQ113*AT113*VLOOKUP('Données projet'!$B$10,Paramètres!$A$1:$I$89,3,0)*0.475*44/12</f>
        <v>6.616662264156211E-12</v>
      </c>
      <c r="AX113" s="23">
        <f t="shared" si="60"/>
        <v>0.59119833661725496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222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221.99999999999986</v>
      </c>
      <c r="BE113" s="14">
        <f>BD113*VLOOKUP('Données projet'!$B$11,Paramètres!$A$1:$I$89,3,0)*VLOOKUP('Données projet'!$B$11,Paramètres!$A$1:$I$89,5,0)</f>
        <v>221.64479999999986</v>
      </c>
      <c r="BF113" s="14">
        <f t="shared" si="91"/>
        <v>54.47221975279227</v>
      </c>
      <c r="BG113" s="22">
        <f t="shared" si="61"/>
        <v>480.90380940277959</v>
      </c>
      <c r="BH113" s="62">
        <f t="shared" si="62"/>
        <v>760.86519835762545</v>
      </c>
      <c r="BI113" s="62">
        <f ca="1">AVERAGE(OFFSET($BH$3,0,0,'Données projet'!$E$11+1,1))-AVERAGE(OFFSET($H$3,0,0,'Données projet'!$E$11+1,1))</f>
        <v>341.48836779133632</v>
      </c>
      <c r="BJ113" s="62">
        <f t="shared" si="92"/>
        <v>176.87842498964287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0.38408747911884739</v>
      </c>
      <c r="BR113" s="23">
        <f>EXP(-LN(2)/2)*BR112+(1-EXP(-LN(2)/2))/(LN(2)/2)*BL113*BO113*VLOOKUP('Données projet'!$B$11,Paramètres!$A$1:$I$89,3,0)*0.475*44/12</f>
        <v>3.1502671514786023E-11</v>
      </c>
      <c r="BS113" s="24">
        <f t="shared" si="63"/>
        <v>0.38408747915035008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222</v>
      </c>
      <c r="BW113" s="13">
        <f>VLOOKUP(A113,'Données projet'!$A$113:$I$133,9,0)</f>
        <v>3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221.99999999999986</v>
      </c>
      <c r="BZ113" s="14">
        <f>BY113*VLOOKUP('Données projet'!$B$12,Paramètres!$A$1:$I$89,3,0)*VLOOKUP('Données projet'!$B$12,Paramètres!$A$1:$I$89,5,0)</f>
        <v>148.91759999999991</v>
      </c>
      <c r="CA113" s="14">
        <f t="shared" si="93"/>
        <v>38.332502754125301</v>
      </c>
      <c r="CB113" s="22">
        <f t="shared" si="64"/>
        <v>326.12726229676804</v>
      </c>
      <c r="CC113" s="62">
        <f t="shared" si="65"/>
        <v>606.0886512516139</v>
      </c>
      <c r="CD113" s="62">
        <f ca="1">AVERAGE(OFFSET($CC$3,0,0,'Données projet'!$E$12+1,1))-AVERAGE(OFFSET($H$3,0,0,'Données projet'!$E$12+1,1))</f>
        <v>253.16238957399855</v>
      </c>
      <c r="CE113" s="62">
        <f t="shared" si="94"/>
        <v>138.00705940844708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0.31807244364529563</v>
      </c>
      <c r="CM113" s="23">
        <f>EXP(-LN(2)/2)*CM112+(1-EXP(-LN(2)/2))/(LN(2)/2)*CG113*CJ113*VLOOKUP('Données projet'!$B$12,Paramètres!$A$1:$I$89,3,0)*0.475*44/12</f>
        <v>2.1165857423996858E-11</v>
      </c>
      <c r="CN113" s="24">
        <f t="shared" si="66"/>
        <v>0.31807244366646148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</v>
      </c>
      <c r="N114" s="14">
        <f>IF('Données projet'!$A$36&gt;35,N113+M114-V113,IF(A114&lt;'Données projet'!$A$36,$K$205^A114,IF(A114='Données projet'!$A$36,'Données projet'!$B$36,N113+M114-V113)))</f>
        <v>211.79999999999987</v>
      </c>
      <c r="O114" s="14">
        <f>N114*VLOOKUP('Données projet'!$B$9,Paramètres!$A$1:$I$89,3,0)*VLOOKUP('Données projet'!$B$9,Paramètres!$A$1:$I$89,5,0)</f>
        <v>214.76519999999991</v>
      </c>
      <c r="P114" s="14">
        <f t="shared" si="87"/>
        <v>52.975538059190747</v>
      </c>
      <c r="Q114" s="22">
        <f t="shared" si="107"/>
        <v>466.31511878642374</v>
      </c>
      <c r="R114" s="62">
        <f t="shared" si="55"/>
        <v>746.50848108104731</v>
      </c>
      <c r="S114" s="62">
        <f ca="1">AVERAGE(OFFSET($R$3,0,0,'Données projet'!$E$9+1,1))-AVERAGE(OFFSET($H$3,0,0,'Données projet'!$E$9+1,1))</f>
        <v>345.67675698621832</v>
      </c>
      <c r="T114" s="62">
        <f t="shared" si="88"/>
        <v>178.72086185623849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219.21539650048186</v>
      </c>
      <c r="AO114" s="62">
        <f t="shared" si="90"/>
        <v>204.10961748628708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0.57503198700625102</v>
      </c>
      <c r="AW114" s="23">
        <f>EXP(-LN(2)/2)*AW113+(1-EXP(-LN(2)/2))/(LN(2)/2)*AQ114*AT114*VLOOKUP('Données projet'!$B$10,Paramètres!$A$1:$I$89,3,0)*0.475*44/12</f>
        <v>4.6786867558059919E-12</v>
      </c>
      <c r="AX114" s="23">
        <f t="shared" si="60"/>
        <v>0.57503198701092972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211.79999999999987</v>
      </c>
      <c r="BE114" s="14">
        <f>BD114*VLOOKUP('Données projet'!$B$11,Paramètres!$A$1:$I$89,3,0)*VLOOKUP('Données projet'!$B$11,Paramètres!$A$1:$I$89,5,0)</f>
        <v>211.46111999999985</v>
      </c>
      <c r="BF114" s="14">
        <f t="shared" si="91"/>
        <v>52.254748219520017</v>
      </c>
      <c r="BG114" s="22">
        <f t="shared" si="61"/>
        <v>459.30513714899706</v>
      </c>
      <c r="BH114" s="62">
        <f t="shared" si="62"/>
        <v>739.49849944362063</v>
      </c>
      <c r="BI114" s="62">
        <f ca="1">AVERAGE(OFFSET($BH$3,0,0,'Données projet'!$E$11+1,1))-AVERAGE(OFFSET($H$3,0,0,'Données projet'!$E$11+1,1))</f>
        <v>341.48836779133632</v>
      </c>
      <c r="BJ114" s="62">
        <f t="shared" si="92"/>
        <v>176.87842498964287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0.37358458680405982</v>
      </c>
      <c r="BR114" s="23">
        <f>EXP(-LN(2)/2)*BR113+(1-EXP(-LN(2)/2))/(LN(2)/2)*BL114*BO114*VLOOKUP('Données projet'!$B$11,Paramètres!$A$1:$I$89,3,0)*0.475*44/12</f>
        <v>2.2275752653597485E-11</v>
      </c>
      <c r="BS114" s="24">
        <f t="shared" si="63"/>
        <v>0.37358458682633555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</v>
      </c>
      <c r="BY114" s="13">
        <f>IF('Données projet'!$A$114&gt;35,BY113+BX114-CG113,IF(A114&lt;'Données projet'!$A$114,$BV$205^A114,IF(A114='Données projet'!$A$114,'Données projet'!$B$114,BY113+BX114-CG113)))</f>
        <v>211.79999999999987</v>
      </c>
      <c r="BZ114" s="14">
        <f>BY114*VLOOKUP('Données projet'!$B$12,Paramètres!$A$1:$I$89,3,0)*VLOOKUP('Données projet'!$B$12,Paramètres!$A$1:$I$89,5,0)</f>
        <v>142.0754399999999</v>
      </c>
      <c r="CA114" s="14">
        <f t="shared" si="93"/>
        <v>36.772051683063594</v>
      </c>
      <c r="CB114" s="22">
        <f t="shared" si="64"/>
        <v>311.49271468133554</v>
      </c>
      <c r="CC114" s="62">
        <f t="shared" si="65"/>
        <v>591.68607697595917</v>
      </c>
      <c r="CD114" s="62">
        <f ca="1">AVERAGE(OFFSET($CC$3,0,0,'Données projet'!$E$12+1,1))-AVERAGE(OFFSET($H$3,0,0,'Données projet'!$E$12+1,1))</f>
        <v>253.16238957399855</v>
      </c>
      <c r="CE114" s="62">
        <f t="shared" si="94"/>
        <v>138.00705940844708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0.30937473594711218</v>
      </c>
      <c r="CM114" s="23">
        <f>EXP(-LN(2)/2)*CM113+(1-EXP(-LN(2)/2))/(LN(2)/2)*CG114*CJ114*VLOOKUP('Données projet'!$B$12,Paramètres!$A$1:$I$89,3,0)*0.475*44/12</f>
        <v>1.4966521314135809E-11</v>
      </c>
      <c r="CN114" s="24">
        <f t="shared" si="66"/>
        <v>0.30937473596207871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</v>
      </c>
      <c r="N115" s="14">
        <f>IF('Données projet'!$A$36&gt;35,N114+M115-V114,IF(A115&lt;'Données projet'!$A$36,$K$205^A115,IF(A115='Données projet'!$A$36,'Données projet'!$B$36,N114+M115-V114)))</f>
        <v>214.59999999999988</v>
      </c>
      <c r="O115" s="14">
        <f>N115*VLOOKUP('Données projet'!$B$9,Paramètres!$A$1:$I$89,3,0)*VLOOKUP('Données projet'!$B$9,Paramètres!$A$1:$I$89,5,0)</f>
        <v>217.60439999999988</v>
      </c>
      <c r="P115" s="14">
        <f t="shared" si="87"/>
        <v>53.593882578706356</v>
      </c>
      <c r="Q115" s="22">
        <f t="shared" si="107"/>
        <v>472.3370088245801</v>
      </c>
      <c r="R115" s="62">
        <f t="shared" si="55"/>
        <v>752.75832024015097</v>
      </c>
      <c r="S115" s="62">
        <f ca="1">AVERAGE(OFFSET($R$3,0,0,'Données projet'!$E$9+1,1))-AVERAGE(OFFSET($H$3,0,0,'Données projet'!$E$9+1,1))</f>
        <v>345.67675698621832</v>
      </c>
      <c r="T115" s="62">
        <f t="shared" si="88"/>
        <v>178.72086185623849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219.21539650048186</v>
      </c>
      <c r="AO115" s="62">
        <f t="shared" si="90"/>
        <v>204.10961748628708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0.5593077070819471</v>
      </c>
      <c r="AW115" s="23">
        <f>EXP(-LN(2)/2)*AW114+(1-EXP(-LN(2)/2))/(LN(2)/2)*AQ115*AT115*VLOOKUP('Données projet'!$B$10,Paramètres!$A$1:$I$89,3,0)*0.475*44/12</f>
        <v>3.3083311320781055E-12</v>
      </c>
      <c r="AX115" s="23">
        <f t="shared" si="60"/>
        <v>0.55930770708525546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214.59999999999988</v>
      </c>
      <c r="BE115" s="14">
        <f>BD115*VLOOKUP('Données projet'!$B$11,Paramètres!$A$1:$I$89,3,0)*VLOOKUP('Données projet'!$B$11,Paramètres!$A$1:$I$89,5,0)</f>
        <v>214.25663999999992</v>
      </c>
      <c r="BF115" s="14">
        <f t="shared" si="91"/>
        <v>52.864679489007237</v>
      </c>
      <c r="BG115" s="22">
        <f t="shared" si="61"/>
        <v>465.23629811002075</v>
      </c>
      <c r="BH115" s="62">
        <f t="shared" si="62"/>
        <v>745.65760952559162</v>
      </c>
      <c r="BI115" s="62">
        <f ca="1">AVERAGE(OFFSET($BH$3,0,0,'Données projet'!$E$11+1,1))-AVERAGE(OFFSET($H$3,0,0,'Données projet'!$E$11+1,1))</f>
        <v>341.48836779133632</v>
      </c>
      <c r="BJ115" s="62">
        <f t="shared" si="92"/>
        <v>176.87842498964287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0.36336889663194322</v>
      </c>
      <c r="BR115" s="23">
        <f>EXP(-LN(2)/2)*BR114+(1-EXP(-LN(2)/2))/(LN(2)/2)*BL115*BO115*VLOOKUP('Données projet'!$B$11,Paramètres!$A$1:$I$89,3,0)*0.475*44/12</f>
        <v>1.5751335757393012E-11</v>
      </c>
      <c r="BS115" s="24">
        <f t="shared" si="63"/>
        <v>0.36336889664769456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</v>
      </c>
      <c r="BY115" s="13">
        <f>IF('Données projet'!$A$114&gt;35,BY114+BX115-CG114,IF(A115&lt;'Données projet'!$A$114,$BV$205^A115,IF(A115='Données projet'!$A$114,'Données projet'!$B$114,BY114+BX115-CG114)))</f>
        <v>214.59999999999988</v>
      </c>
      <c r="BZ115" s="14">
        <f>BY115*VLOOKUP('Données projet'!$B$12,Paramètres!$A$1:$I$89,3,0)*VLOOKUP('Données projet'!$B$12,Paramètres!$A$1:$I$89,5,0)</f>
        <v>143.95367999999993</v>
      </c>
      <c r="CA115" s="14">
        <f t="shared" si="93"/>
        <v>37.20126481543732</v>
      </c>
      <c r="CB115" s="22">
        <f t="shared" si="64"/>
        <v>315.51152888688654</v>
      </c>
      <c r="CC115" s="62">
        <f t="shared" si="65"/>
        <v>595.93284030245741</v>
      </c>
      <c r="CD115" s="62">
        <f ca="1">AVERAGE(OFFSET($CC$3,0,0,'Données projet'!$E$12+1,1))-AVERAGE(OFFSET($H$3,0,0,'Données projet'!$E$12+1,1))</f>
        <v>253.16238957399855</v>
      </c>
      <c r="CE115" s="62">
        <f t="shared" si="94"/>
        <v>138.00705940844708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0.30091486752332813</v>
      </c>
      <c r="CM115" s="23">
        <f>EXP(-LN(2)/2)*CM114+(1-EXP(-LN(2)/2))/(LN(2)/2)*CG115*CJ115*VLOOKUP('Données projet'!$B$12,Paramètres!$A$1:$I$89,3,0)*0.475*44/12</f>
        <v>1.0582928711998429E-11</v>
      </c>
      <c r="CN115" s="24">
        <f t="shared" si="66"/>
        <v>0.30091486753391106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</v>
      </c>
      <c r="N116" s="14">
        <f>IF('Données projet'!$A$36&gt;35,N115+M116-V115,IF(A116&lt;'Données projet'!$A$36,$K$205^A116,IF(A116='Données projet'!$A$36,'Données projet'!$B$36,N115+M116-V115)))</f>
        <v>217.39999999999989</v>
      </c>
      <c r="O116" s="14">
        <f>N116*VLOOKUP('Données projet'!$B$9,Paramètres!$A$1:$I$89,3,0)*VLOOKUP('Données projet'!$B$9,Paramètres!$A$1:$I$89,5,0)</f>
        <v>220.44359999999992</v>
      </c>
      <c r="P116" s="14">
        <f t="shared" si="87"/>
        <v>54.211288682893063</v>
      </c>
      <c r="Q116" s="22">
        <f t="shared" si="107"/>
        <v>478.35726445603859</v>
      </c>
      <c r="R116" s="62">
        <f t="shared" si="55"/>
        <v>759.00257058492616</v>
      </c>
      <c r="S116" s="62">
        <f ca="1">AVERAGE(OFFSET($R$3,0,0,'Données projet'!$E$9+1,1))-AVERAGE(OFFSET($H$3,0,0,'Données projet'!$E$9+1,1))</f>
        <v>345.67675698621832</v>
      </c>
      <c r="T116" s="62">
        <f t="shared" si="88"/>
        <v>178.72086185623849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219.21539650048186</v>
      </c>
      <c r="AO116" s="62">
        <f t="shared" si="90"/>
        <v>204.10961748628708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0.5440134084190773</v>
      </c>
      <c r="AW116" s="23">
        <f>EXP(-LN(2)/2)*AW115+(1-EXP(-LN(2)/2))/(LN(2)/2)*AQ116*AT116*VLOOKUP('Données projet'!$B$10,Paramètres!$A$1:$I$89,3,0)*0.475*44/12</f>
        <v>2.3393433779029959E-12</v>
      </c>
      <c r="AX116" s="23">
        <f t="shared" si="60"/>
        <v>0.54401340842141666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217.39999999999989</v>
      </c>
      <c r="BE116" s="14">
        <f>BD116*VLOOKUP('Données projet'!$B$11,Paramètres!$A$1:$I$89,3,0)*VLOOKUP('Données projet'!$B$11,Paramètres!$A$1:$I$89,5,0)</f>
        <v>217.0521599999999</v>
      </c>
      <c r="BF116" s="14">
        <f t="shared" si="91"/>
        <v>53.473685111327129</v>
      </c>
      <c r="BG116" s="22">
        <f t="shared" si="61"/>
        <v>471.16584690222788</v>
      </c>
      <c r="BH116" s="62">
        <f t="shared" si="62"/>
        <v>751.81115303111551</v>
      </c>
      <c r="BI116" s="62">
        <f ca="1">AVERAGE(OFFSET($BH$3,0,0,'Données projet'!$E$11+1,1))-AVERAGE(OFFSET($H$3,0,0,'Données projet'!$E$11+1,1))</f>
        <v>341.48836779133632</v>
      </c>
      <c r="BJ116" s="62">
        <f t="shared" si="92"/>
        <v>176.87842498964287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0.35343255504480292</v>
      </c>
      <c r="BR116" s="23">
        <f>EXP(-LN(2)/2)*BR115+(1-EXP(-LN(2)/2))/(LN(2)/2)*BL116*BO116*VLOOKUP('Données projet'!$B$11,Paramètres!$A$1:$I$89,3,0)*0.475*44/12</f>
        <v>1.1137876326798742E-11</v>
      </c>
      <c r="BS116" s="24">
        <f t="shared" si="63"/>
        <v>0.35343255505594079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</v>
      </c>
      <c r="BY116" s="13">
        <f>IF('Données projet'!$A$114&gt;35,BY115+BX116-CG115,IF(A116&lt;'Données projet'!$A$114,$BV$205^A116,IF(A116='Données projet'!$A$114,'Données projet'!$B$114,BY115+BX116-CG115)))</f>
        <v>217.39999999999989</v>
      </c>
      <c r="BZ116" s="14">
        <f>BY116*VLOOKUP('Données projet'!$B$12,Paramètres!$A$1:$I$89,3,0)*VLOOKUP('Données projet'!$B$12,Paramètres!$A$1:$I$89,5,0)</f>
        <v>145.83191999999994</v>
      </c>
      <c r="CA116" s="14">
        <f t="shared" si="93"/>
        <v>37.629826563073067</v>
      </c>
      <c r="CB116" s="22">
        <f t="shared" si="64"/>
        <v>319.52920859735212</v>
      </c>
      <c r="CC116" s="62">
        <f t="shared" si="65"/>
        <v>600.17451472623975</v>
      </c>
      <c r="CD116" s="62">
        <f ca="1">AVERAGE(OFFSET($CC$3,0,0,'Données projet'!$E$12+1,1))-AVERAGE(OFFSET($H$3,0,0,'Données projet'!$E$12+1,1))</f>
        <v>253.16238957399855</v>
      </c>
      <c r="CE116" s="62">
        <f t="shared" si="94"/>
        <v>138.00705940844708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0.29268633464647759</v>
      </c>
      <c r="CM116" s="23">
        <f>EXP(-LN(2)/2)*CM115+(1-EXP(-LN(2)/2))/(LN(2)/2)*CG116*CJ116*VLOOKUP('Données projet'!$B$12,Paramètres!$A$1:$I$89,3,0)*0.475*44/12</f>
        <v>7.4832606570679043E-12</v>
      </c>
      <c r="CN116" s="24">
        <f t="shared" si="66"/>
        <v>0.29268633465396082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</v>
      </c>
      <c r="N117" s="14">
        <f>IF('Données projet'!$A$36&gt;35,N116+M117-V116,IF(A117&lt;'Données projet'!$A$36,$K$205^A117,IF(A117='Données projet'!$A$36,'Données projet'!$B$36,N116+M117-V116)))</f>
        <v>220.1999999999999</v>
      </c>
      <c r="O117" s="14">
        <f>N117*VLOOKUP('Données projet'!$B$9,Paramètres!$A$1:$I$89,3,0)*VLOOKUP('Données projet'!$B$9,Paramètres!$A$1:$I$89,5,0)</f>
        <v>223.28279999999992</v>
      </c>
      <c r="P117" s="14">
        <f t="shared" si="87"/>
        <v>54.82776985554348</v>
      </c>
      <c r="Q117" s="22">
        <f t="shared" si="107"/>
        <v>484.37590916507139</v>
      </c>
      <c r="R117" s="62">
        <f t="shared" si="55"/>
        <v>765.24132419977684</v>
      </c>
      <c r="S117" s="62">
        <f ca="1">AVERAGE(OFFSET($R$3,0,0,'Données projet'!$E$9+1,1))-AVERAGE(OFFSET($H$3,0,0,'Données projet'!$E$9+1,1))</f>
        <v>345.67675698621832</v>
      </c>
      <c r="T117" s="62">
        <f t="shared" si="88"/>
        <v>178.72086185623849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219.21539650048186</v>
      </c>
      <c r="AO117" s="62">
        <f t="shared" si="90"/>
        <v>204.10961748628708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0.52913733315743583</v>
      </c>
      <c r="AW117" s="23">
        <f>EXP(-LN(2)/2)*AW116+(1-EXP(-LN(2)/2))/(LN(2)/2)*AQ117*AT117*VLOOKUP('Données projet'!$B$10,Paramètres!$A$1:$I$89,3,0)*0.475*44/12</f>
        <v>1.6541655660390527E-12</v>
      </c>
      <c r="AX117" s="23">
        <f t="shared" si="60"/>
        <v>0.52913733315908995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220.1999999999999</v>
      </c>
      <c r="BE117" s="14">
        <f>BD117*VLOOKUP('Données projet'!$B$11,Paramètres!$A$1:$I$89,3,0)*VLOOKUP('Données projet'!$B$11,Paramètres!$A$1:$I$89,5,0)</f>
        <v>219.84767999999991</v>
      </c>
      <c r="BF117" s="14">
        <f t="shared" si="91"/>
        <v>54.081778386810775</v>
      </c>
      <c r="BG117" s="22">
        <f t="shared" si="61"/>
        <v>477.09380669036199</v>
      </c>
      <c r="BH117" s="62">
        <f t="shared" si="62"/>
        <v>757.95922172506744</v>
      </c>
      <c r="BI117" s="62">
        <f ca="1">AVERAGE(OFFSET($BH$3,0,0,'Données projet'!$E$11+1,1))-AVERAGE(OFFSET($H$3,0,0,'Données projet'!$E$11+1,1))</f>
        <v>341.48836779133632</v>
      </c>
      <c r="BJ117" s="62">
        <f t="shared" si="92"/>
        <v>176.87842498964287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0.3437679232408925</v>
      </c>
      <c r="BR117" s="23">
        <f>EXP(-LN(2)/2)*BR116+(1-EXP(-LN(2)/2))/(LN(2)/2)*BL117*BO117*VLOOKUP('Données projet'!$B$11,Paramètres!$A$1:$I$89,3,0)*0.475*44/12</f>
        <v>7.8756678786965059E-12</v>
      </c>
      <c r="BS117" s="24">
        <f t="shared" si="63"/>
        <v>0.34376792324876815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</v>
      </c>
      <c r="BY117" s="13">
        <f>IF('Données projet'!$A$114&gt;35,BY116+BX117-CG116,IF(A117&lt;'Données projet'!$A$114,$BV$205^A117,IF(A117='Données projet'!$A$114,'Données projet'!$B$114,BY116+BX117-CG116)))</f>
        <v>220.1999999999999</v>
      </c>
      <c r="BZ117" s="14">
        <f>BY117*VLOOKUP('Données projet'!$B$12,Paramètres!$A$1:$I$89,3,0)*VLOOKUP('Données projet'!$B$12,Paramètres!$A$1:$I$89,5,0)</f>
        <v>147.71015999999992</v>
      </c>
      <c r="CA117" s="14">
        <f t="shared" si="93"/>
        <v>38.057746285511904</v>
      </c>
      <c r="CB117" s="22">
        <f t="shared" si="64"/>
        <v>323.54577011393309</v>
      </c>
      <c r="CC117" s="62">
        <f t="shared" si="65"/>
        <v>604.41118514863854</v>
      </c>
      <c r="CD117" s="62">
        <f ca="1">AVERAGE(OFFSET($CC$3,0,0,'Données projet'!$E$12+1,1))-AVERAGE(OFFSET($H$3,0,0,'Données projet'!$E$12+1,1))</f>
        <v>253.16238957399855</v>
      </c>
      <c r="CE117" s="62">
        <f t="shared" si="94"/>
        <v>138.00705940844708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0.28468281143386426</v>
      </c>
      <c r="CM117" s="23">
        <f>EXP(-LN(2)/2)*CM116+(1-EXP(-LN(2)/2))/(LN(2)/2)*CG117*CJ117*VLOOKUP('Données projet'!$B$12,Paramètres!$A$1:$I$89,3,0)*0.475*44/12</f>
        <v>5.2914643559992145E-12</v>
      </c>
      <c r="CN117" s="24">
        <f t="shared" si="66"/>
        <v>0.28468281143915575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223</v>
      </c>
      <c r="L118" s="13">
        <f>VLOOKUP(A118,'Données projet'!$A$35:$I$55,9,0)</f>
        <v>2.8</v>
      </c>
      <c r="M118" s="13">
        <f t="array" ref="M118">INDEX(L:L,MIN(IF(ISNUMBER(L118:L314),ROW(L118:L314),"")))</f>
        <v>2.8</v>
      </c>
      <c r="N118" s="14">
        <f>IF('Données projet'!$A$36&gt;35,N117+M118-V117,IF(A118&lt;'Données projet'!$A$36,$K$205^A118,IF(A118='Données projet'!$A$36,'Données projet'!$B$36,N117+M118-V117)))</f>
        <v>222.99999999999991</v>
      </c>
      <c r="O118" s="14">
        <f>N118*VLOOKUP('Données projet'!$B$9,Paramètres!$A$1:$I$89,3,0)*VLOOKUP('Données projet'!$B$9,Paramètres!$A$1:$I$89,5,0)</f>
        <v>226.12199999999996</v>
      </c>
      <c r="P118" s="14">
        <f t="shared" si="87"/>
        <v>55.443339217820046</v>
      </c>
      <c r="Q118" s="22">
        <f t="shared" si="107"/>
        <v>490.39296580436979</v>
      </c>
      <c r="R118" s="62">
        <f t="shared" si="55"/>
        <v>771.47467134746705</v>
      </c>
      <c r="S118" s="62">
        <f ca="1">AVERAGE(OFFSET($R$3,0,0,'Données projet'!$E$9+1,1))-AVERAGE(OFFSET($H$3,0,0,'Données projet'!$E$9+1,1))</f>
        <v>345.67675698621832</v>
      </c>
      <c r="T118" s="62">
        <f t="shared" si="88"/>
        <v>178.72086185623849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13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219.21539650048186</v>
      </c>
      <c r="AO118" s="62">
        <f t="shared" si="90"/>
        <v>204.10961748628708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0.51466804495612273</v>
      </c>
      <c r="AW118" s="23">
        <f>EXP(-LN(2)/2)*AW117+(1-EXP(-LN(2)/2))/(LN(2)/2)*AQ118*AT118*VLOOKUP('Données projet'!$B$10,Paramètres!$A$1:$I$89,3,0)*0.475*44/12</f>
        <v>1.169671688951498E-12</v>
      </c>
      <c r="AX118" s="23">
        <f t="shared" si="60"/>
        <v>0.51466804495729235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223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222.99999999999991</v>
      </c>
      <c r="BE118" s="14">
        <f>BD118*VLOOKUP('Données projet'!$B$11,Paramètres!$A$1:$I$89,3,0)*VLOOKUP('Données projet'!$B$11,Paramètres!$A$1:$I$89,5,0)</f>
        <v>222.64319999999992</v>
      </c>
      <c r="BF118" s="14">
        <f t="shared" si="91"/>
        <v>54.688972258092875</v>
      </c>
      <c r="BG118" s="22">
        <f t="shared" si="61"/>
        <v>483.02020001617825</v>
      </c>
      <c r="BH118" s="62">
        <f t="shared" si="62"/>
        <v>764.10190555927556</v>
      </c>
      <c r="BI118" s="62">
        <f ca="1">AVERAGE(OFFSET($BH$3,0,0,'Données projet'!$E$11+1,1))-AVERAGE(OFFSET($H$3,0,0,'Données projet'!$E$11+1,1))</f>
        <v>341.48836779133632</v>
      </c>
      <c r="BJ118" s="62">
        <f t="shared" si="92"/>
        <v>176.87842498964287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0.33436757130190092</v>
      </c>
      <c r="BR118" s="23">
        <f>EXP(-LN(2)/2)*BR117+(1-EXP(-LN(2)/2))/(LN(2)/2)*BL118*BO118*VLOOKUP('Données projet'!$B$11,Paramètres!$A$1:$I$89,3,0)*0.475*44/12</f>
        <v>5.5689381633993712E-12</v>
      </c>
      <c r="BS118" s="24">
        <f t="shared" si="63"/>
        <v>0.33436757130746986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223</v>
      </c>
      <c r="BW118" s="13">
        <f>VLOOKUP(A118,'Données projet'!$A$113:$I$133,9,0)</f>
        <v>2.8</v>
      </c>
      <c r="BX118" s="13">
        <f t="array" ref="BX118">INDEX(BW:BW,MIN(IF(ISNUMBER(BW118:BW314),ROW(BW118:BW314),"")))</f>
        <v>2.8</v>
      </c>
      <c r="BY118" s="13">
        <f>IF('Données projet'!$A$114&gt;35,BY117+BX118-CG117,IF(A118&lt;'Données projet'!$A$114,$BV$205^A118,IF(A118='Données projet'!$A$114,'Données projet'!$B$114,BY117+BX118-CG117)))</f>
        <v>222.99999999999991</v>
      </c>
      <c r="BZ118" s="14">
        <f>BY118*VLOOKUP('Données projet'!$B$12,Paramètres!$A$1:$I$89,3,0)*VLOOKUP('Données projet'!$B$12,Paramètres!$A$1:$I$89,5,0)</f>
        <v>149.58839999999995</v>
      </c>
      <c r="CA118" s="14">
        <f t="shared" si="93"/>
        <v>38.485033090581311</v>
      </c>
      <c r="CB118" s="22">
        <f t="shared" si="64"/>
        <v>327.56122929942904</v>
      </c>
      <c r="CC118" s="62">
        <f t="shared" si="65"/>
        <v>608.6429348425263</v>
      </c>
      <c r="CD118" s="62">
        <f ca="1">AVERAGE(OFFSET($CC$3,0,0,'Données projet'!$E$12+1,1))-AVERAGE(OFFSET($H$3,0,0,'Données projet'!$E$12+1,1))</f>
        <v>253.16238957399855</v>
      </c>
      <c r="CE118" s="62">
        <f t="shared" si="94"/>
        <v>138.00705940844708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13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0.27689814498438686</v>
      </c>
      <c r="CM118" s="23">
        <f>EXP(-LN(2)/2)*CM117+(1-EXP(-LN(2)/2))/(LN(2)/2)*CG118*CJ118*VLOOKUP('Données projet'!$B$12,Paramètres!$A$1:$I$89,3,0)*0.475*44/12</f>
        <v>3.7416303285339521E-12</v>
      </c>
      <c r="CN118" s="24">
        <f t="shared" si="66"/>
        <v>0.27689814498812848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2.4</v>
      </c>
      <c r="N119" s="14">
        <f>IF('Données projet'!$A$36&gt;35,N118+M119-V118,IF(A119&lt;'Données projet'!$A$36,$K$205^A119,IF(A119='Données projet'!$A$36,'Données projet'!$B$36,N118+M119-V118)))</f>
        <v>212.39999999999992</v>
      </c>
      <c r="O119" s="14">
        <f>N119*VLOOKUP('Données projet'!$B$9,Paramètres!$A$1:$I$89,3,0)*VLOOKUP('Données projet'!$B$9,Paramètres!$A$1:$I$89,5,0)</f>
        <v>215.37359999999993</v>
      </c>
      <c r="P119" s="14">
        <f t="shared" si="87"/>
        <v>53.108120144188916</v>
      </c>
      <c r="Q119" s="22">
        <f t="shared" si="107"/>
        <v>467.60566258446215</v>
      </c>
      <c r="R119" s="62">
        <f t="shared" si="55"/>
        <v>748.89990647918364</v>
      </c>
      <c r="S119" s="62">
        <f ca="1">AVERAGE(OFFSET($R$3,0,0,'Données projet'!$E$9+1,1))-AVERAGE(OFFSET($H$3,0,0,'Données projet'!$E$9+1,1))</f>
        <v>345.67675698621832</v>
      </c>
      <c r="T119" s="62">
        <f t="shared" si="88"/>
        <v>178.72086185623849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219.21539650048186</v>
      </c>
      <c r="AO119" s="62">
        <f t="shared" si="90"/>
        <v>204.10961748628708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0.5005944202015814</v>
      </c>
      <c r="AW119" s="23">
        <f>EXP(-LN(2)/2)*AW118+(1-EXP(-LN(2)/2))/(LN(2)/2)*AQ119*AT119*VLOOKUP('Données projet'!$B$10,Paramètres!$A$1:$I$89,3,0)*0.475*44/12</f>
        <v>8.2708278301952637E-13</v>
      </c>
      <c r="AX119" s="23">
        <f t="shared" si="60"/>
        <v>0.50059442020240852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2.4</v>
      </c>
      <c r="BD119" s="13">
        <f>IF('Données projet'!$A$88&gt;35,BD118+BC119-BL118,IF(A119&lt;'Données projet'!$A$88,$BA$205^A119,IF(A119='Données projet'!$A$88,'Données projet'!$B$88,BD118+BC119-BL118)))</f>
        <v>212.39999999999992</v>
      </c>
      <c r="BE119" s="14">
        <f>BD119*VLOOKUP('Données projet'!$B$11,Paramètres!$A$1:$I$89,3,0)*VLOOKUP('Données projet'!$B$11,Paramètres!$A$1:$I$89,5,0)</f>
        <v>212.06015999999994</v>
      </c>
      <c r="BF119" s="14">
        <f t="shared" si="91"/>
        <v>52.385526380985027</v>
      </c>
      <c r="BG119" s="22">
        <f t="shared" si="61"/>
        <v>460.57623711354881</v>
      </c>
      <c r="BH119" s="62">
        <f t="shared" si="62"/>
        <v>741.8704810082703</v>
      </c>
      <c r="BI119" s="62">
        <f ca="1">AVERAGE(OFFSET($BH$3,0,0,'Données projet'!$E$11+1,1))-AVERAGE(OFFSET($H$3,0,0,'Données projet'!$E$11+1,1))</f>
        <v>341.48836779133632</v>
      </c>
      <c r="BJ119" s="62">
        <f t="shared" si="92"/>
        <v>176.87842498964287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0.32522427248102409</v>
      </c>
      <c r="BR119" s="23">
        <f>EXP(-LN(2)/2)*BR118+(1-EXP(-LN(2)/2))/(LN(2)/2)*BL119*BO119*VLOOKUP('Données projet'!$B$11,Paramètres!$A$1:$I$89,3,0)*0.475*44/12</f>
        <v>3.9378339393482529E-12</v>
      </c>
      <c r="BS119" s="24">
        <f t="shared" si="63"/>
        <v>0.32522427248496194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2.4</v>
      </c>
      <c r="BY119" s="13">
        <f>IF('Données projet'!$A$114&gt;35,BY118+BX119-CG118,IF(A119&lt;'Données projet'!$A$114,$BV$205^A119,IF(A119='Données projet'!$A$114,'Données projet'!$B$114,BY118+BX119-CG118)))</f>
        <v>212.39999999999992</v>
      </c>
      <c r="BZ119" s="14">
        <f>BY119*VLOOKUP('Données projet'!$B$12,Paramètres!$A$1:$I$89,3,0)*VLOOKUP('Données projet'!$B$12,Paramètres!$A$1:$I$89,5,0)</f>
        <v>142.47791999999995</v>
      </c>
      <c r="CA119" s="14">
        <f t="shared" si="93"/>
        <v>36.864081239730965</v>
      </c>
      <c r="CB119" s="22">
        <f t="shared" si="64"/>
        <v>312.35398549253131</v>
      </c>
      <c r="CC119" s="62">
        <f t="shared" si="65"/>
        <v>593.64822938725274</v>
      </c>
      <c r="CD119" s="62">
        <f ca="1">AVERAGE(OFFSET($CC$3,0,0,'Données projet'!$E$12+1,1))-AVERAGE(OFFSET($H$3,0,0,'Données projet'!$E$12+1,1))</f>
        <v>253.16238957399855</v>
      </c>
      <c r="CE119" s="62">
        <f t="shared" si="94"/>
        <v>138.00705940844708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0.2693263506483482</v>
      </c>
      <c r="CM119" s="23">
        <f>EXP(-LN(2)/2)*CM118+(1-EXP(-LN(2)/2))/(LN(2)/2)*CG119*CJ119*VLOOKUP('Données projet'!$B$12,Paramètres!$A$1:$I$89,3,0)*0.475*44/12</f>
        <v>2.6457321779996072E-12</v>
      </c>
      <c r="CN119" s="24">
        <f t="shared" si="66"/>
        <v>0.26932635065099392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2.4</v>
      </c>
      <c r="N120" s="14">
        <f>IF('Données projet'!$A$36&gt;35,N119+M120-V119,IF(A120&lt;'Données projet'!$A$36,$K$205^A120,IF(A120='Données projet'!$A$36,'Données projet'!$B$36,N119+M120-V119)))</f>
        <v>214.79999999999993</v>
      </c>
      <c r="O120" s="14">
        <f>N120*VLOOKUP('Données projet'!$B$9,Paramètres!$A$1:$I$89,3,0)*VLOOKUP('Données projet'!$B$9,Paramètres!$A$1:$I$89,5,0)</f>
        <v>217.80719999999994</v>
      </c>
      <c r="P120" s="14">
        <f t="shared" si="87"/>
        <v>53.638013973813976</v>
      </c>
      <c r="Q120" s="22">
        <f t="shared" si="107"/>
        <v>472.76708100439259</v>
      </c>
      <c r="R120" s="62">
        <f t="shared" si="55"/>
        <v>754.27017618550224</v>
      </c>
      <c r="S120" s="62">
        <f ca="1">AVERAGE(OFFSET($R$3,0,0,'Données projet'!$E$9+1,1))-AVERAGE(OFFSET($H$3,0,0,'Données projet'!$E$9+1,1))</f>
        <v>345.67675698621832</v>
      </c>
      <c r="T120" s="62">
        <f t="shared" si="88"/>
        <v>178.72086185623849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219.21539650048186</v>
      </c>
      <c r="AO120" s="62">
        <f t="shared" si="90"/>
        <v>204.10961748628708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0.48690563945605275</v>
      </c>
      <c r="AW120" s="23">
        <f>EXP(-LN(2)/2)*AW119+(1-EXP(-LN(2)/2))/(LN(2)/2)*AQ120*AT120*VLOOKUP('Données projet'!$B$10,Paramètres!$A$1:$I$89,3,0)*0.475*44/12</f>
        <v>5.8483584447574899E-13</v>
      </c>
      <c r="AX120" s="23">
        <f t="shared" si="60"/>
        <v>0.48690563945663756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2.4</v>
      </c>
      <c r="BD120" s="13">
        <f>IF('Données projet'!$A$88&gt;35,BD119+BC120-BL119,IF(A120&lt;'Données projet'!$A$88,$BA$205^A120,IF(A120='Données projet'!$A$88,'Données projet'!$B$88,BD119+BC120-BL119)))</f>
        <v>214.79999999999993</v>
      </c>
      <c r="BE120" s="14">
        <f>BD120*VLOOKUP('Données projet'!$B$11,Paramètres!$A$1:$I$89,3,0)*VLOOKUP('Données projet'!$B$11,Paramètres!$A$1:$I$89,5,0)</f>
        <v>214.45631999999992</v>
      </c>
      <c r="BF120" s="14">
        <f t="shared" si="91"/>
        <v>52.908210428463633</v>
      </c>
      <c r="BG120" s="22">
        <f t="shared" si="61"/>
        <v>465.65989049624068</v>
      </c>
      <c r="BH120" s="62">
        <f t="shared" si="62"/>
        <v>747.16298567735032</v>
      </c>
      <c r="BI120" s="62">
        <f ca="1">AVERAGE(OFFSET($BH$3,0,0,'Données projet'!$E$11+1,1))-AVERAGE(OFFSET($H$3,0,0,'Données projet'!$E$11+1,1))</f>
        <v>341.48836779133632</v>
      </c>
      <c r="BJ120" s="62">
        <f t="shared" si="92"/>
        <v>176.87842498964287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0.31633099764722933</v>
      </c>
      <c r="BR120" s="23">
        <f>EXP(-LN(2)/2)*BR119+(1-EXP(-LN(2)/2))/(LN(2)/2)*BL120*BO120*VLOOKUP('Données projet'!$B$11,Paramètres!$A$1:$I$89,3,0)*0.475*44/12</f>
        <v>2.7844690816996856E-12</v>
      </c>
      <c r="BS120" s="24">
        <f t="shared" si="63"/>
        <v>0.31633099765001382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2.4</v>
      </c>
      <c r="BY120" s="13">
        <f>IF('Données projet'!$A$114&gt;35,BY119+BX120-CG119,IF(A120&lt;'Données projet'!$A$114,$BV$205^A120,IF(A120='Données projet'!$A$114,'Données projet'!$B$114,BY119+BX120-CG119)))</f>
        <v>214.79999999999993</v>
      </c>
      <c r="BZ120" s="14">
        <f>BY120*VLOOKUP('Données projet'!$B$12,Paramètres!$A$1:$I$89,3,0)*VLOOKUP('Données projet'!$B$12,Paramètres!$A$1:$I$89,5,0)</f>
        <v>144.08783999999994</v>
      </c>
      <c r="CA120" s="14">
        <f t="shared" si="93"/>
        <v>37.231897858558654</v>
      </c>
      <c r="CB120" s="22">
        <f t="shared" si="64"/>
        <v>315.79854343698958</v>
      </c>
      <c r="CC120" s="62">
        <f t="shared" si="65"/>
        <v>597.30163861809922</v>
      </c>
      <c r="CD120" s="62">
        <f ca="1">AVERAGE(OFFSET($CC$3,0,0,'Données projet'!$E$12+1,1))-AVERAGE(OFFSET($H$3,0,0,'Données projet'!$E$12+1,1))</f>
        <v>253.16238957399855</v>
      </c>
      <c r="CE120" s="62">
        <f t="shared" si="94"/>
        <v>138.00705940844708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0.2619616074266119</v>
      </c>
      <c r="CM120" s="23">
        <f>EXP(-LN(2)/2)*CM119+(1-EXP(-LN(2)/2))/(LN(2)/2)*CG120*CJ120*VLOOKUP('Données projet'!$B$12,Paramètres!$A$1:$I$89,3,0)*0.475*44/12</f>
        <v>1.8708151642669761E-12</v>
      </c>
      <c r="CN120" s="24">
        <f t="shared" si="66"/>
        <v>0.26196160742848273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2.4</v>
      </c>
      <c r="N121" s="14">
        <f>IF('Données projet'!$A$36&gt;35,N120+M121-V120,IF(A121&lt;'Données projet'!$A$36,$K$205^A121,IF(A121='Données projet'!$A$36,'Données projet'!$B$36,N120+M121-V120)))</f>
        <v>217.19999999999993</v>
      </c>
      <c r="O121" s="14">
        <f>N121*VLOOKUP('Données projet'!$B$9,Paramètres!$A$1:$I$89,3,0)*VLOOKUP('Données projet'!$B$9,Paramètres!$A$1:$I$89,5,0)</f>
        <v>220.24079999999992</v>
      </c>
      <c r="P121" s="14">
        <f t="shared" si="87"/>
        <v>54.167219078226751</v>
      </c>
      <c r="Q121" s="22">
        <f t="shared" si="107"/>
        <v>477.9272998945782</v>
      </c>
      <c r="R121" s="62">
        <f t="shared" si="55"/>
        <v>759.6356232591786</v>
      </c>
      <c r="S121" s="62">
        <f ca="1">AVERAGE(OFFSET($R$3,0,0,'Données projet'!$E$9+1,1))-AVERAGE(OFFSET($H$3,0,0,'Données projet'!$E$9+1,1))</f>
        <v>345.67675698621832</v>
      </c>
      <c r="T121" s="62">
        <f t="shared" si="88"/>
        <v>178.72086185623849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219.21539650048186</v>
      </c>
      <c r="AO121" s="62">
        <f t="shared" si="90"/>
        <v>204.10961748628708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0.47359117913987225</v>
      </c>
      <c r="AW121" s="23">
        <f>EXP(-LN(2)/2)*AW120+(1-EXP(-LN(2)/2))/(LN(2)/2)*AQ121*AT121*VLOOKUP('Données projet'!$B$10,Paramètres!$A$1:$I$89,3,0)*0.475*44/12</f>
        <v>4.1354139150976319E-13</v>
      </c>
      <c r="AX121" s="23">
        <f t="shared" si="60"/>
        <v>0.47359117914028581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2.4</v>
      </c>
      <c r="BD121" s="13">
        <f>IF('Données projet'!$A$88&gt;35,BD120+BC121-BL120,IF(A121&lt;'Données projet'!$A$88,$BA$205^A121,IF(A121='Données projet'!$A$88,'Données projet'!$B$88,BD120+BC121-BL120)))</f>
        <v>217.19999999999993</v>
      </c>
      <c r="BE121" s="14">
        <f>BD121*VLOOKUP('Données projet'!$B$11,Paramètres!$A$1:$I$89,3,0)*VLOOKUP('Données projet'!$B$11,Paramètres!$A$1:$I$89,5,0)</f>
        <v>216.85247999999993</v>
      </c>
      <c r="BF121" s="14">
        <f t="shared" si="91"/>
        <v>53.430215121585846</v>
      </c>
      <c r="BG121" s="22">
        <f t="shared" si="61"/>
        <v>470.7423606700952</v>
      </c>
      <c r="BH121" s="62">
        <f t="shared" si="62"/>
        <v>752.45068403469554</v>
      </c>
      <c r="BI121" s="62">
        <f ca="1">AVERAGE(OFFSET($BH$3,0,0,'Données projet'!$E$11+1,1))-AVERAGE(OFFSET($H$3,0,0,'Données projet'!$E$11+1,1))</f>
        <v>341.48836779133632</v>
      </c>
      <c r="BJ121" s="62">
        <f t="shared" si="92"/>
        <v>176.87842498964287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0.30768090988144164</v>
      </c>
      <c r="BR121" s="23">
        <f>EXP(-LN(2)/2)*BR120+(1-EXP(-LN(2)/2))/(LN(2)/2)*BL121*BO121*VLOOKUP('Données projet'!$B$11,Paramètres!$A$1:$I$89,3,0)*0.475*44/12</f>
        <v>1.9689169696741265E-12</v>
      </c>
      <c r="BS121" s="24">
        <f t="shared" si="63"/>
        <v>0.30768090988341057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2.4</v>
      </c>
      <c r="BY121" s="13">
        <f>IF('Données projet'!$A$114&gt;35,BY120+BX121-CG120,IF(A121&lt;'Données projet'!$A$114,$BV$205^A121,IF(A121='Données projet'!$A$114,'Données projet'!$B$114,BY120+BX121-CG120)))</f>
        <v>217.19999999999993</v>
      </c>
      <c r="BZ121" s="14">
        <f>BY121*VLOOKUP('Données projet'!$B$12,Paramètres!$A$1:$I$89,3,0)*VLOOKUP('Données projet'!$B$12,Paramètres!$A$1:$I$89,5,0)</f>
        <v>145.69775999999996</v>
      </c>
      <c r="CA121" s="14">
        <f t="shared" si="93"/>
        <v>37.599236410715747</v>
      </c>
      <c r="CB121" s="22">
        <f t="shared" si="64"/>
        <v>319.24226874866315</v>
      </c>
      <c r="CC121" s="62">
        <f t="shared" si="65"/>
        <v>600.95059211326361</v>
      </c>
      <c r="CD121" s="62">
        <f ca="1">AVERAGE(OFFSET($CC$3,0,0,'Données projet'!$E$12+1,1))-AVERAGE(OFFSET($H$3,0,0,'Données projet'!$E$12+1,1))</f>
        <v>253.16238957399855</v>
      </c>
      <c r="CE121" s="62">
        <f t="shared" si="94"/>
        <v>138.00705940844708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0.254798253495569</v>
      </c>
      <c r="CM121" s="23">
        <f>EXP(-LN(2)/2)*CM120+(1-EXP(-LN(2)/2))/(LN(2)/2)*CG121*CJ121*VLOOKUP('Données projet'!$B$12,Paramètres!$A$1:$I$89,3,0)*0.475*44/12</f>
        <v>1.3228660889998036E-12</v>
      </c>
      <c r="CN121" s="24">
        <f t="shared" si="66"/>
        <v>0.25479825349689189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2.4</v>
      </c>
      <c r="N122" s="14">
        <f>IF('Données projet'!$A$36&gt;35,N121+M122-V121,IF(A122&lt;'Données projet'!$A$36,$K$205^A122,IF(A122='Données projet'!$A$36,'Données projet'!$B$36,N121+M122-V121)))</f>
        <v>219.59999999999994</v>
      </c>
      <c r="O122" s="14">
        <f>N122*VLOOKUP('Données projet'!$B$9,Paramètres!$A$1:$I$89,3,0)*VLOOKUP('Données projet'!$B$9,Paramètres!$A$1:$I$89,5,0)</f>
        <v>222.67439999999993</v>
      </c>
      <c r="P122" s="14">
        <f t="shared" si="87"/>
        <v>54.695743948366427</v>
      </c>
      <c r="Q122" s="22">
        <f t="shared" si="107"/>
        <v>483.08633404340475</v>
      </c>
      <c r="R122" s="62">
        <f t="shared" si="55"/>
        <v>764.99632534133389</v>
      </c>
      <c r="S122" s="62">
        <f ca="1">AVERAGE(OFFSET($R$3,0,0,'Données projet'!$E$9+1,1))-AVERAGE(OFFSET($H$3,0,0,'Données projet'!$E$9+1,1))</f>
        <v>345.67675698621832</v>
      </c>
      <c r="T122" s="62">
        <f t="shared" si="88"/>
        <v>178.72086185623849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219.21539650048186</v>
      </c>
      <c r="AO122" s="62">
        <f t="shared" si="90"/>
        <v>204.10961748628708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0.46064080344121472</v>
      </c>
      <c r="AW122" s="23">
        <f>EXP(-LN(2)/2)*AW121+(1-EXP(-LN(2)/2))/(LN(2)/2)*AQ122*AT122*VLOOKUP('Données projet'!$B$10,Paramètres!$A$1:$I$89,3,0)*0.475*44/12</f>
        <v>2.9241792223787449E-13</v>
      </c>
      <c r="AX122" s="23">
        <f t="shared" si="60"/>
        <v>0.46064080344150715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2.4</v>
      </c>
      <c r="BD122" s="13">
        <f>IF('Données projet'!$A$88&gt;35,BD121+BC122-BL121,IF(A122&lt;'Données projet'!$A$88,$BA$205^A122,IF(A122='Données projet'!$A$88,'Données projet'!$B$88,BD121+BC122-BL121)))</f>
        <v>219.59999999999994</v>
      </c>
      <c r="BE122" s="14">
        <f>BD122*VLOOKUP('Données projet'!$B$11,Paramètres!$A$1:$I$89,3,0)*VLOOKUP('Données projet'!$B$11,Paramètres!$A$1:$I$89,5,0)</f>
        <v>219.24863999999994</v>
      </c>
      <c r="BF122" s="14">
        <f t="shared" si="91"/>
        <v>53.951548835762473</v>
      </c>
      <c r="BG122" s="22">
        <f t="shared" si="61"/>
        <v>475.82366222228615</v>
      </c>
      <c r="BH122" s="62">
        <f t="shared" si="62"/>
        <v>757.73365352021528</v>
      </c>
      <c r="BI122" s="62">
        <f ca="1">AVERAGE(OFFSET($BH$3,0,0,'Données projet'!$E$11+1,1))-AVERAGE(OFFSET($H$3,0,0,'Données projet'!$E$11+1,1))</f>
        <v>341.48836779133632</v>
      </c>
      <c r="BJ122" s="62">
        <f t="shared" si="92"/>
        <v>176.87842498964287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0.2992673592204978</v>
      </c>
      <c r="BR122" s="23">
        <f>EXP(-LN(2)/2)*BR121+(1-EXP(-LN(2)/2))/(LN(2)/2)*BL122*BO122*VLOOKUP('Données projet'!$B$11,Paramètres!$A$1:$I$89,3,0)*0.475*44/12</f>
        <v>1.3922345408498428E-12</v>
      </c>
      <c r="BS122" s="24">
        <f t="shared" si="63"/>
        <v>0.29926735922189002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2.4</v>
      </c>
      <c r="BY122" s="13">
        <f>IF('Données projet'!$A$114&gt;35,BY121+BX122-CG121,IF(A122&lt;'Données projet'!$A$114,$BV$205^A122,IF(A122='Données projet'!$A$114,'Données projet'!$B$114,BY121+BX122-CG121)))</f>
        <v>219.59999999999994</v>
      </c>
      <c r="BZ122" s="14">
        <f>BY122*VLOOKUP('Données projet'!$B$12,Paramètres!$A$1:$I$89,3,0)*VLOOKUP('Données projet'!$B$12,Paramètres!$A$1:$I$89,5,0)</f>
        <v>147.30767999999995</v>
      </c>
      <c r="CA122" s="14">
        <f t="shared" si="93"/>
        <v>37.966102790040587</v>
      </c>
      <c r="CB122" s="22">
        <f t="shared" si="64"/>
        <v>322.68517169265391</v>
      </c>
      <c r="CC122" s="62">
        <f t="shared" si="65"/>
        <v>604.59516299058305</v>
      </c>
      <c r="CD122" s="62">
        <f ca="1">AVERAGE(OFFSET($CC$3,0,0,'Données projet'!$E$12+1,1))-AVERAGE(OFFSET($H$3,0,0,'Données projet'!$E$12+1,1))</f>
        <v>253.16238957399855</v>
      </c>
      <c r="CE122" s="62">
        <f t="shared" si="94"/>
        <v>138.00705940844708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0.24783078185447488</v>
      </c>
      <c r="CM122" s="23">
        <f>EXP(-LN(2)/2)*CM121+(1-EXP(-LN(2)/2))/(LN(2)/2)*CG122*CJ122*VLOOKUP('Données projet'!$B$12,Paramètres!$A$1:$I$89,3,0)*0.475*44/12</f>
        <v>9.3540758213348803E-13</v>
      </c>
      <c r="CN122" s="24">
        <f t="shared" si="66"/>
        <v>0.2478307818554103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222</v>
      </c>
      <c r="L123" s="13">
        <f>VLOOKUP(A123,'Données projet'!$A$35:$I$55,9,0)</f>
        <v>2.4</v>
      </c>
      <c r="M123" s="13">
        <f t="array" ref="M123">INDEX(L:L,MIN(IF(ISNUMBER(L123:L319),ROW(L123:L319),"")))</f>
        <v>2.4</v>
      </c>
      <c r="N123" s="14">
        <f>IF('Données projet'!$A$36&gt;35,N122+M123-V122,IF(A123&lt;'Données projet'!$A$36,$K$205^A123,IF(A123='Données projet'!$A$36,'Données projet'!$B$36,N122+M123-V122)))</f>
        <v>221.99999999999994</v>
      </c>
      <c r="O123" s="14">
        <f>N123*VLOOKUP('Données projet'!$B$9,Paramètres!$A$1:$I$89,3,0)*VLOOKUP('Données projet'!$B$9,Paramètres!$A$1:$I$89,5,0)</f>
        <v>225.10799999999995</v>
      </c>
      <c r="P123" s="14">
        <f t="shared" si="87"/>
        <v>55.223596878889587</v>
      </c>
      <c r="Q123" s="22">
        <f t="shared" si="107"/>
        <v>488.24419789739915</v>
      </c>
      <c r="R123" s="62">
        <f t="shared" si="55"/>
        <v>770.35235864087576</v>
      </c>
      <c r="S123" s="62">
        <f ca="1">AVERAGE(OFFSET($R$3,0,0,'Données projet'!$E$9+1,1))-AVERAGE(OFFSET($H$3,0,0,'Données projet'!$E$9+1,1))</f>
        <v>345.67675698621832</v>
      </c>
      <c r="T123" s="62">
        <f t="shared" si="88"/>
        <v>178.72086185623849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222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219.21539650048186</v>
      </c>
      <c r="AO123" s="62">
        <f t="shared" si="90"/>
        <v>204.10961748628708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0.44804455644706764</v>
      </c>
      <c r="AW123" s="23">
        <f>EXP(-LN(2)/2)*AW122+(1-EXP(-LN(2)/2))/(LN(2)/2)*AQ123*AT123*VLOOKUP('Données projet'!$B$10,Paramètres!$A$1:$I$89,3,0)*0.475*44/12</f>
        <v>2.0677069575488159E-13</v>
      </c>
      <c r="AX123" s="23">
        <f t="shared" si="60"/>
        <v>0.44804455644727442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222</v>
      </c>
      <c r="BB123" s="13">
        <f>VLOOKUP(A123,'Données projet'!$A$87:$I$107,9,0)</f>
        <v>2.4</v>
      </c>
      <c r="BC123" s="13">
        <f t="array" ref="BC123">INDEX(BB:BB,MIN(IF(ISNUMBER(BB123:BB319),ROW(BB123:BB319),"")))</f>
        <v>2.4</v>
      </c>
      <c r="BD123" s="13">
        <f>IF('Données projet'!$A$88&gt;35,BD122+BC123-BL122,IF(A123&lt;'Données projet'!$A$88,$BA$205^A123,IF(A123='Données projet'!$A$88,'Données projet'!$B$88,BD122+BC123-BL122)))</f>
        <v>221.99999999999994</v>
      </c>
      <c r="BE123" s="14">
        <f>BD123*VLOOKUP('Données projet'!$B$11,Paramètres!$A$1:$I$89,3,0)*VLOOKUP('Données projet'!$B$11,Paramètres!$A$1:$I$89,5,0)</f>
        <v>221.64479999999995</v>
      </c>
      <c r="BF123" s="14">
        <f t="shared" si="91"/>
        <v>54.47221975279227</v>
      </c>
      <c r="BG123" s="22">
        <f t="shared" si="61"/>
        <v>480.9038094027797</v>
      </c>
      <c r="BH123" s="62">
        <f t="shared" si="62"/>
        <v>763.01197014625632</v>
      </c>
      <c r="BI123" s="62">
        <f ca="1">AVERAGE(OFFSET($BH$3,0,0,'Données projet'!$E$11+1,1))-AVERAGE(OFFSET($H$3,0,0,'Données projet'!$E$11+1,1))</f>
        <v>341.48836779133632</v>
      </c>
      <c r="BJ123" s="62">
        <f t="shared" si="92"/>
        <v>176.87842498964287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222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0.29108387754482684</v>
      </c>
      <c r="BR123" s="23">
        <f>EXP(-LN(2)/2)*BR122+(1-EXP(-LN(2)/2))/(LN(2)/2)*BL123*BO123*VLOOKUP('Données projet'!$B$11,Paramètres!$A$1:$I$89,3,0)*0.475*44/12</f>
        <v>9.8445848483706323E-13</v>
      </c>
      <c r="BS123" s="24">
        <f t="shared" si="63"/>
        <v>0.29108387754581128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222</v>
      </c>
      <c r="BW123" s="13">
        <f>VLOOKUP(A123,'Données projet'!$A$113:$I$133,9,0)</f>
        <v>2.4</v>
      </c>
      <c r="BX123" s="13">
        <f t="array" ref="BX123">INDEX(BW:BW,MIN(IF(ISNUMBER(BW123:BW319),ROW(BW123:BW319),"")))</f>
        <v>2.4</v>
      </c>
      <c r="BY123" s="13">
        <f>IF('Données projet'!$A$114&gt;35,BY122+BX123-CG122,IF(A123&lt;'Données projet'!$A$114,$BV$205^A123,IF(A123='Données projet'!$A$114,'Données projet'!$B$114,BY122+BX123-CG122)))</f>
        <v>221.99999999999994</v>
      </c>
      <c r="BZ123" s="14">
        <f>BY123*VLOOKUP('Données projet'!$B$12,Paramètres!$A$1:$I$89,3,0)*VLOOKUP('Données projet'!$B$12,Paramètres!$A$1:$I$89,5,0)</f>
        <v>148.91759999999996</v>
      </c>
      <c r="CA123" s="14">
        <f t="shared" si="93"/>
        <v>38.332502754125301</v>
      </c>
      <c r="CB123" s="22">
        <f t="shared" si="64"/>
        <v>326.12726229676815</v>
      </c>
      <c r="CC123" s="62">
        <f t="shared" si="65"/>
        <v>608.23542304024477</v>
      </c>
      <c r="CD123" s="62">
        <f ca="1">AVERAGE(OFFSET($CC$3,0,0,'Données projet'!$E$12+1,1))-AVERAGE(OFFSET($H$3,0,0,'Données projet'!$E$12+1,1))</f>
        <v>253.16238957399855</v>
      </c>
      <c r="CE123" s="62">
        <f t="shared" si="94"/>
        <v>138.00705940844708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222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0.24105383609180986</v>
      </c>
      <c r="CM123" s="23">
        <f>EXP(-LN(2)/2)*CM122+(1-EXP(-LN(2)/2))/(LN(2)/2)*CG123*CJ123*VLOOKUP('Données projet'!$B$12,Paramètres!$A$1:$I$89,3,0)*0.475*44/12</f>
        <v>6.6143304449990181E-13</v>
      </c>
      <c r="CN123" s="24">
        <f t="shared" si="66"/>
        <v>0.2410538360924713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-5.7639226724859328E-14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345.67675698621832</v>
      </c>
      <c r="T124" s="62">
        <f t="shared" si="88"/>
        <v>178.72086185623849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219.21539650048186</v>
      </c>
      <c r="AO124" s="62">
        <f t="shared" si="90"/>
        <v>204.10961748628708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0.43579275448938337</v>
      </c>
      <c r="AW124" s="23">
        <f>EXP(-LN(2)/2)*AW123+(1-EXP(-LN(2)/2))/(LN(2)/2)*AQ124*AT124*VLOOKUP('Données projet'!$B$10,Paramètres!$A$1:$I$89,3,0)*0.475*44/12</f>
        <v>1.4620896111893725E-13</v>
      </c>
      <c r="AX124" s="23">
        <f t="shared" si="60"/>
        <v>0.43579275448952959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-5.6752469390630726E-14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341.48836779133632</v>
      </c>
      <c r="BJ124" s="62">
        <f t="shared" si="92"/>
        <v>176.87842498964287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0.28312417360592773</v>
      </c>
      <c r="BR124" s="23">
        <f>EXP(-LN(2)/2)*BR123+(1-EXP(-LN(2)/2))/(LN(2)/2)*BL124*BO124*VLOOKUP('Données projet'!$B$11,Paramètres!$A$1:$I$89,3,0)*0.475*44/12</f>
        <v>6.9611727042492139E-13</v>
      </c>
      <c r="BS124" s="24">
        <f t="shared" si="63"/>
        <v>0.28312417360662384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-3.813056537183002E-14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253.16238957399855</v>
      </c>
      <c r="CE124" s="62">
        <f t="shared" si="94"/>
        <v>138.00705940844708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0.23446220626740902</v>
      </c>
      <c r="CM124" s="23">
        <f>EXP(-LN(2)/2)*CM123+(1-EXP(-LN(2)/2))/(LN(2)/2)*CG124*CJ124*VLOOKUP('Données projet'!$B$12,Paramètres!$A$1:$I$89,3,0)*0.475*44/12</f>
        <v>4.6770379106674402E-13</v>
      </c>
      <c r="CN124" s="24">
        <f t="shared" si="66"/>
        <v>0.23446220626787673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-5.7639226724859328E-14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345.67675698621832</v>
      </c>
      <c r="T125" s="62">
        <f t="shared" si="88"/>
        <v>178.72086185623849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219.21539650048186</v>
      </c>
      <c r="AO125" s="62">
        <f t="shared" si="90"/>
        <v>204.10961748628708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0.42387597870052623</v>
      </c>
      <c r="AW125" s="23">
        <f>EXP(-LN(2)/2)*AW124+(1-EXP(-LN(2)/2))/(LN(2)/2)*AQ125*AT125*VLOOKUP('Données projet'!$B$10,Paramètres!$A$1:$I$89,3,0)*0.475*44/12</f>
        <v>1.033853478774408E-13</v>
      </c>
      <c r="AX125" s="23">
        <f t="shared" si="60"/>
        <v>0.4238759787006296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-5.6752469390630726E-14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341.48836779133632</v>
      </c>
      <c r="BJ125" s="62">
        <f t="shared" si="92"/>
        <v>176.87842498964287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0.27538212818982044</v>
      </c>
      <c r="BR125" s="23">
        <f>EXP(-LN(2)/2)*BR124+(1-EXP(-LN(2)/2))/(LN(2)/2)*BL125*BO125*VLOOKUP('Données projet'!$B$11,Paramètres!$A$1:$I$89,3,0)*0.475*44/12</f>
        <v>4.9222924241853162E-13</v>
      </c>
      <c r="BS125" s="24">
        <f t="shared" si="63"/>
        <v>0.27538212819031266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-3.813056537183002E-14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253.16238957399855</v>
      </c>
      <c r="CE125" s="62">
        <f t="shared" si="94"/>
        <v>138.00705940844708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0.22805082490719517</v>
      </c>
      <c r="CM125" s="23">
        <f>EXP(-LN(2)/2)*CM124+(1-EXP(-LN(2)/2))/(LN(2)/2)*CG125*CJ125*VLOOKUP('Données projet'!$B$12,Paramètres!$A$1:$I$89,3,0)*0.475*44/12</f>
        <v>3.307165222499509E-13</v>
      </c>
      <c r="CN125" s="24">
        <f t="shared" si="66"/>
        <v>0.22805082490752587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-5.7639226724859328E-14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345.67675698621832</v>
      </c>
      <c r="T126" s="62">
        <f t="shared" si="88"/>
        <v>178.72086185623849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219.21539650048186</v>
      </c>
      <c r="AO126" s="62">
        <f t="shared" si="90"/>
        <v>204.10961748628708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0.4122850677722914</v>
      </c>
      <c r="AW126" s="23">
        <f>EXP(-LN(2)/2)*AW125+(1-EXP(-LN(2)/2))/(LN(2)/2)*AQ126*AT126*VLOOKUP('Données projet'!$B$10,Paramètres!$A$1:$I$89,3,0)*0.475*44/12</f>
        <v>7.3104480559468623E-14</v>
      </c>
      <c r="AX126" s="23">
        <f t="shared" si="60"/>
        <v>0.41228506777236451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-5.6752469390630726E-14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341.48836779133632</v>
      </c>
      <c r="BJ126" s="62">
        <f t="shared" si="92"/>
        <v>176.87842498964287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0.26785178941275306</v>
      </c>
      <c r="BR126" s="23">
        <f>EXP(-LN(2)/2)*BR125+(1-EXP(-LN(2)/2))/(LN(2)/2)*BL126*BO126*VLOOKUP('Données projet'!$B$11,Paramètres!$A$1:$I$89,3,0)*0.475*44/12</f>
        <v>3.480586352124607E-13</v>
      </c>
      <c r="BS126" s="24">
        <f t="shared" si="63"/>
        <v>0.26785178941310112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-3.813056537183002E-14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253.16238957399855</v>
      </c>
      <c r="CE126" s="62">
        <f t="shared" si="94"/>
        <v>138.00705940844708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0.22181476310743625</v>
      </c>
      <c r="CM126" s="23">
        <f>EXP(-LN(2)/2)*CM125+(1-EXP(-LN(2)/2))/(LN(2)/2)*CG126*CJ126*VLOOKUP('Données projet'!$B$12,Paramètres!$A$1:$I$89,3,0)*0.475*44/12</f>
        <v>2.3385189553337201E-13</v>
      </c>
      <c r="CN126" s="24">
        <f t="shared" si="66"/>
        <v>0.22181476310767009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-5.7639226724859328E-14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345.67675698621832</v>
      </c>
      <c r="T127" s="62">
        <f t="shared" si="88"/>
        <v>178.72086185623849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219.21539650048186</v>
      </c>
      <c r="AO127" s="62">
        <f t="shared" si="90"/>
        <v>204.10961748628708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0.40101111091292868</v>
      </c>
      <c r="AW127" s="23">
        <f>EXP(-LN(2)/2)*AW126+(1-EXP(-LN(2)/2))/(LN(2)/2)*AQ127*AT127*VLOOKUP('Données projet'!$B$10,Paramètres!$A$1:$I$89,3,0)*0.475*44/12</f>
        <v>5.1692673938720398E-14</v>
      </c>
      <c r="AX127" s="23">
        <f t="shared" si="60"/>
        <v>0.40101111091298036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-5.6752469390630726E-14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341.48836779133632</v>
      </c>
      <c r="BJ127" s="62">
        <f t="shared" si="92"/>
        <v>176.87842498964287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0.26052736814554789</v>
      </c>
      <c r="BR127" s="23">
        <f>EXP(-LN(2)/2)*BR126+(1-EXP(-LN(2)/2))/(LN(2)/2)*BL127*BO127*VLOOKUP('Données projet'!$B$11,Paramètres!$A$1:$I$89,3,0)*0.475*44/12</f>
        <v>2.4611462120926581E-13</v>
      </c>
      <c r="BS127" s="24">
        <f t="shared" si="63"/>
        <v>0.26052736814579402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-3.813056537183002E-14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253.16238957399855</v>
      </c>
      <c r="CE127" s="62">
        <f t="shared" si="94"/>
        <v>138.00705940844708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0.21574922674553199</v>
      </c>
      <c r="CM127" s="23">
        <f>EXP(-LN(2)/2)*CM126+(1-EXP(-LN(2)/2))/(LN(2)/2)*CG127*CJ127*VLOOKUP('Données projet'!$B$12,Paramètres!$A$1:$I$89,3,0)*0.475*44/12</f>
        <v>1.6535826112497545E-13</v>
      </c>
      <c r="CN127" s="24">
        <f t="shared" si="66"/>
        <v>0.21574922674569735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-5.7639226724859328E-14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345.67675698621832</v>
      </c>
      <c r="T128" s="62">
        <f t="shared" si="88"/>
        <v>178.72086185623849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219.21539650048186</v>
      </c>
      <c r="AO128" s="62">
        <f t="shared" si="90"/>
        <v>204.10961748628708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0.39004544099675686</v>
      </c>
      <c r="AW128" s="23">
        <f>EXP(-LN(2)/2)*AW127+(1-EXP(-LN(2)/2))/(LN(2)/2)*AQ128*AT128*VLOOKUP('Données projet'!$B$10,Paramètres!$A$1:$I$89,3,0)*0.475*44/12</f>
        <v>3.6552240279734312E-14</v>
      </c>
      <c r="AX128" s="23">
        <f t="shared" si="60"/>
        <v>0.39004544099679339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-5.6752469390630726E-14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341.48836779133632</v>
      </c>
      <c r="BJ128" s="62">
        <f t="shared" si="92"/>
        <v>176.87842498964287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0.25340323356306904</v>
      </c>
      <c r="BR128" s="23">
        <f>EXP(-LN(2)/2)*BR127+(1-EXP(-LN(2)/2))/(LN(2)/2)*BL128*BO128*VLOOKUP('Données projet'!$B$11,Paramètres!$A$1:$I$89,3,0)*0.475*44/12</f>
        <v>1.7402931760623035E-13</v>
      </c>
      <c r="BS128" s="24">
        <f t="shared" si="63"/>
        <v>0.25340323356324307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-3.813056537183002E-14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253.16238957399855</v>
      </c>
      <c r="CE128" s="62">
        <f t="shared" si="94"/>
        <v>138.00705940844708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0.20984955279441669</v>
      </c>
      <c r="CM128" s="23">
        <f>EXP(-LN(2)/2)*CM127+(1-EXP(-LN(2)/2))/(LN(2)/2)*CG128*CJ128*VLOOKUP('Données projet'!$B$12,Paramètres!$A$1:$I$89,3,0)*0.475*44/12</f>
        <v>1.16925947766686E-13</v>
      </c>
      <c r="CN128" s="24">
        <f t="shared" si="66"/>
        <v>0.20984955279453363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-5.7639226724859328E-14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345.67675698621832</v>
      </c>
      <c r="T129" s="62">
        <f t="shared" si="88"/>
        <v>178.72086185623849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219.21539650048186</v>
      </c>
      <c r="AO129" s="62">
        <f t="shared" si="90"/>
        <v>204.10961748628708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0.37937962790110225</v>
      </c>
      <c r="AW129" s="23">
        <f>EXP(-LN(2)/2)*AW128+(1-EXP(-LN(2)/2))/(LN(2)/2)*AQ129*AT129*VLOOKUP('Données projet'!$B$10,Paramètres!$A$1:$I$89,3,0)*0.475*44/12</f>
        <v>2.5846336969360199E-14</v>
      </c>
      <c r="AX129" s="23">
        <f t="shared" si="60"/>
        <v>0.37937962790112811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-5.6752469390630726E-14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341.48836779133632</v>
      </c>
      <c r="BJ129" s="62">
        <f t="shared" si="92"/>
        <v>176.87842498964287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0.24647390881539002</v>
      </c>
      <c r="BR129" s="23">
        <f>EXP(-LN(2)/2)*BR128+(1-EXP(-LN(2)/2))/(LN(2)/2)*BL129*BO129*VLOOKUP('Données projet'!$B$11,Paramètres!$A$1:$I$89,3,0)*0.475*44/12</f>
        <v>1.230573106046329E-13</v>
      </c>
      <c r="BS129" s="24">
        <f t="shared" si="63"/>
        <v>0.24647390881551309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-3.813056537183002E-14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253.16238957399855</v>
      </c>
      <c r="CE129" s="62">
        <f t="shared" si="94"/>
        <v>138.00705940844708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0.20411120573774499</v>
      </c>
      <c r="CM129" s="23">
        <f>EXP(-LN(2)/2)*CM128+(1-EXP(-LN(2)/2))/(LN(2)/2)*CG129*CJ129*VLOOKUP('Données projet'!$B$12,Paramètres!$A$1:$I$89,3,0)*0.475*44/12</f>
        <v>8.2679130562487726E-14</v>
      </c>
      <c r="CN129" s="24">
        <f t="shared" si="66"/>
        <v>0.20411120573782768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-5.7639226724859328E-14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345.67675698621832</v>
      </c>
      <c r="T130" s="62">
        <f t="shared" si="88"/>
        <v>178.72086185623849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219.21539650048186</v>
      </c>
      <c r="AO130" s="62">
        <f t="shared" si="90"/>
        <v>204.10961748628708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0.36900547202543904</v>
      </c>
      <c r="AW130" s="23">
        <f>EXP(-LN(2)/2)*AW129+(1-EXP(-LN(2)/2))/(LN(2)/2)*AQ130*AT130*VLOOKUP('Données projet'!$B$10,Paramètres!$A$1:$I$89,3,0)*0.475*44/12</f>
        <v>1.8276120139867156E-14</v>
      </c>
      <c r="AX130" s="23">
        <f t="shared" si="60"/>
        <v>0.3690054720254573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-5.6752469390630726E-14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341.48836779133632</v>
      </c>
      <c r="BJ130" s="62">
        <f t="shared" si="92"/>
        <v>176.87842498964287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0.23973406681733364</v>
      </c>
      <c r="BR130" s="23">
        <f>EXP(-LN(2)/2)*BR129+(1-EXP(-LN(2)/2))/(LN(2)/2)*BL130*BO130*VLOOKUP('Données projet'!$B$11,Paramètres!$A$1:$I$89,3,0)*0.475*44/12</f>
        <v>8.7014658803115174E-14</v>
      </c>
      <c r="BS130" s="24">
        <f t="shared" si="63"/>
        <v>0.23973406681742065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-3.813056537183002E-14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253.16238957399855</v>
      </c>
      <c r="CE130" s="62">
        <f t="shared" si="94"/>
        <v>138.00705940844708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0.19852977408310454</v>
      </c>
      <c r="CM130" s="23">
        <f>EXP(-LN(2)/2)*CM129+(1-EXP(-LN(2)/2))/(LN(2)/2)*CG130*CJ130*VLOOKUP('Données projet'!$B$12,Paramètres!$A$1:$I$89,3,0)*0.475*44/12</f>
        <v>5.8462973883343002E-14</v>
      </c>
      <c r="CN130" s="24">
        <f t="shared" si="66"/>
        <v>0.198529774083163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-5.7639226724859328E-14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345.67675698621832</v>
      </c>
      <c r="T131" s="62">
        <f t="shared" si="88"/>
        <v>178.72086185623849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219.21539650048186</v>
      </c>
      <c r="AO131" s="62">
        <f t="shared" si="90"/>
        <v>204.10961748628708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0.35891499798774901</v>
      </c>
      <c r="AW131" s="23">
        <f>EXP(-LN(2)/2)*AW130+(1-EXP(-LN(2)/2))/(LN(2)/2)*AQ131*AT131*VLOOKUP('Données projet'!$B$10,Paramètres!$A$1:$I$89,3,0)*0.475*44/12</f>
        <v>1.29231684846801E-14</v>
      </c>
      <c r="AX131" s="23">
        <f t="shared" si="60"/>
        <v>0.35891499798776194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-5.6752469390630726E-14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341.48836779133632</v>
      </c>
      <c r="BJ131" s="62">
        <f t="shared" si="92"/>
        <v>176.87842498964287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0.23317852615314699</v>
      </c>
      <c r="BR131" s="23">
        <f>EXP(-LN(2)/2)*BR130+(1-EXP(-LN(2)/2))/(LN(2)/2)*BL131*BO131*VLOOKUP('Données projet'!$B$11,Paramètres!$A$1:$I$89,3,0)*0.475*44/12</f>
        <v>6.1528655302316452E-14</v>
      </c>
      <c r="BS131" s="24">
        <f t="shared" si="63"/>
        <v>0.23317852615320853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-3.813056537183002E-14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253.16238957399855</v>
      </c>
      <c r="CE131" s="62">
        <f t="shared" si="94"/>
        <v>138.00705940844708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0.19310096697057497</v>
      </c>
      <c r="CM131" s="23">
        <f>EXP(-LN(2)/2)*CM130+(1-EXP(-LN(2)/2))/(LN(2)/2)*CG131*CJ131*VLOOKUP('Données projet'!$B$12,Paramètres!$A$1:$I$89,3,0)*0.475*44/12</f>
        <v>4.1339565281243863E-14</v>
      </c>
      <c r="CN131" s="24">
        <f t="shared" si="66"/>
        <v>0.19310096697061629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-5.7639226724859328E-14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345.67675698621832</v>
      </c>
      <c r="T132" s="62">
        <f t="shared" si="88"/>
        <v>178.72086185623849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219.21539650048186</v>
      </c>
      <c r="AO132" s="62">
        <f t="shared" si="90"/>
        <v>204.10961748628708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0.34910044849325456</v>
      </c>
      <c r="AW132" s="23">
        <f>EXP(-LN(2)/2)*AW131+(1-EXP(-LN(2)/2))/(LN(2)/2)*AQ132*AT132*VLOOKUP('Données projet'!$B$10,Paramètres!$A$1:$I$89,3,0)*0.475*44/12</f>
        <v>9.1380600699335779E-15</v>
      </c>
      <c r="AX132" s="23">
        <f t="shared" ref="AX132:AX153" si="114">SUM(AU132:AW132)</f>
        <v>0.34910044849326372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-5.6752469390630726E-14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341.48836779133632</v>
      </c>
      <c r="BJ132" s="62">
        <f t="shared" si="92"/>
        <v>176.87842498964287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0.22680224709316343</v>
      </c>
      <c r="BR132" s="23">
        <f>EXP(-LN(2)/2)*BR131+(1-EXP(-LN(2)/2))/(LN(2)/2)*BL132*BO132*VLOOKUP('Données projet'!$B$11,Paramètres!$A$1:$I$89,3,0)*0.475*44/12</f>
        <v>4.3507329401557587E-14</v>
      </c>
      <c r="BS132" s="24">
        <f t="shared" ref="BS132:BS153" si="117">SUM(BP132:BR132)</f>
        <v>0.22680224709320695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-3.813056537183002E-14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253.16238957399855</v>
      </c>
      <c r="CE132" s="62">
        <f t="shared" si="94"/>
        <v>138.00705940844708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0.18782061087402607</v>
      </c>
      <c r="CM132" s="23">
        <f>EXP(-LN(2)/2)*CM131+(1-EXP(-LN(2)/2))/(LN(2)/2)*CG132*CJ132*VLOOKUP('Données projet'!$B$12,Paramètres!$A$1:$I$89,3,0)*0.475*44/12</f>
        <v>2.9231486941671501E-14</v>
      </c>
      <c r="CN132" s="24">
        <f t="shared" ref="CN132:CN153" si="120">SUM(CK132:CM132)</f>
        <v>0.1878206108740553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-5.7639226724859328E-14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345.67675698621832</v>
      </c>
      <c r="T133" s="62">
        <f t="shared" ref="T133:T196" si="142">$T$3</f>
        <v>178.72086185623849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219.21539650048186</v>
      </c>
      <c r="AO133" s="62">
        <f t="shared" ref="AO133:AO196" si="144">$AO$3</f>
        <v>204.10961748628708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0.33955427837081181</v>
      </c>
      <c r="AW133" s="23">
        <f>EXP(-LN(2)/2)*AW132+(1-EXP(-LN(2)/2))/(LN(2)/2)*AQ133*AT133*VLOOKUP('Données projet'!$B$10,Paramètres!$A$1:$I$89,3,0)*0.475*44/12</f>
        <v>6.4615842423400498E-15</v>
      </c>
      <c r="AX133" s="23">
        <f t="shared" si="114"/>
        <v>0.33955427837081825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-5.6752469390630726E-14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341.48836779133632</v>
      </c>
      <c r="BJ133" s="62">
        <f t="shared" ref="BJ133:BJ196" si="146">$BJ$3</f>
        <v>176.87842498964287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0.22060032771938906</v>
      </c>
      <c r="BR133" s="23">
        <f>EXP(-LN(2)/2)*BR132+(1-EXP(-LN(2)/2))/(LN(2)/2)*BL133*BO133*VLOOKUP('Données projet'!$B$11,Paramètres!$A$1:$I$89,3,0)*0.475*44/12</f>
        <v>3.0764327651158226E-14</v>
      </c>
      <c r="BS133" s="24">
        <f t="shared" si="117"/>
        <v>0.22060032771941981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-3.813056537183002E-14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253.16238957399855</v>
      </c>
      <c r="CE133" s="62">
        <f t="shared" ref="CE133:CE196" si="148">$CE$3</f>
        <v>138.00705940844708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0.18268464639261917</v>
      </c>
      <c r="CM133" s="23">
        <f>EXP(-LN(2)/2)*CM132+(1-EXP(-LN(2)/2))/(LN(2)/2)*CG133*CJ133*VLOOKUP('Données projet'!$B$12,Paramètres!$A$1:$I$89,3,0)*0.475*44/12</f>
        <v>2.0669782640621932E-14</v>
      </c>
      <c r="CN133" s="24">
        <f t="shared" si="120"/>
        <v>0.18268464639263984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-5.7639226724859328E-14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345.67675698621832</v>
      </c>
      <c r="T134" s="62">
        <f t="shared" si="142"/>
        <v>178.72086185623849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219.21539650048186</v>
      </c>
      <c r="AO134" s="62">
        <f t="shared" si="144"/>
        <v>204.10961748628708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0.33026914877237851</v>
      </c>
      <c r="AW134" s="23">
        <f>EXP(-LN(2)/2)*AW133+(1-EXP(-LN(2)/2))/(LN(2)/2)*AQ134*AT134*VLOOKUP('Données projet'!$B$10,Paramètres!$A$1:$I$89,3,0)*0.475*44/12</f>
        <v>4.569030034966789E-15</v>
      </c>
      <c r="AX134" s="23">
        <f t="shared" si="114"/>
        <v>0.33026914877238306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-5.6752469390630726E-14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341.48836779133632</v>
      </c>
      <c r="BJ134" s="62">
        <f t="shared" si="146"/>
        <v>176.87842498964287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0.21456800015703531</v>
      </c>
      <c r="BR134" s="23">
        <f>EXP(-LN(2)/2)*BR133+(1-EXP(-LN(2)/2))/(LN(2)/2)*BL134*BO134*VLOOKUP('Données projet'!$B$11,Paramètres!$A$1:$I$89,3,0)*0.475*44/12</f>
        <v>2.1753664700778794E-14</v>
      </c>
      <c r="BS134" s="24">
        <f t="shared" si="117"/>
        <v>0.21456800015705707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-3.813056537183002E-14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253.16238957399855</v>
      </c>
      <c r="CE134" s="62">
        <f t="shared" si="148"/>
        <v>138.00705940844708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0.17768912513004498</v>
      </c>
      <c r="CM134" s="23">
        <f>EXP(-LN(2)/2)*CM133+(1-EXP(-LN(2)/2))/(LN(2)/2)*CG134*CJ134*VLOOKUP('Données projet'!$B$12,Paramètres!$A$1:$I$89,3,0)*0.475*44/12</f>
        <v>1.461574347083575E-14</v>
      </c>
      <c r="CN134" s="24">
        <f t="shared" si="120"/>
        <v>0.17768912513005961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-5.7639226724859328E-14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345.67675698621832</v>
      </c>
      <c r="T135" s="62">
        <f t="shared" si="142"/>
        <v>178.72086185623849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219.21539650048186</v>
      </c>
      <c r="AO135" s="62">
        <f t="shared" si="144"/>
        <v>204.10961748628708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0.32123792153109815</v>
      </c>
      <c r="AW135" s="23">
        <f>EXP(-LN(2)/2)*AW134+(1-EXP(-LN(2)/2))/(LN(2)/2)*AQ135*AT135*VLOOKUP('Données projet'!$B$10,Paramètres!$A$1:$I$89,3,0)*0.475*44/12</f>
        <v>3.2307921211700249E-15</v>
      </c>
      <c r="AX135" s="23">
        <f t="shared" si="114"/>
        <v>0.32123792153110137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-5.6752469390630726E-14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341.48836779133632</v>
      </c>
      <c r="BJ135" s="62">
        <f t="shared" si="146"/>
        <v>176.87842498964287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0.20870062690910046</v>
      </c>
      <c r="BR135" s="23">
        <f>EXP(-LN(2)/2)*BR134+(1-EXP(-LN(2)/2))/(LN(2)/2)*BL135*BO135*VLOOKUP('Données projet'!$B$11,Paramètres!$A$1:$I$89,3,0)*0.475*44/12</f>
        <v>1.5382163825579113E-14</v>
      </c>
      <c r="BS135" s="24">
        <f t="shared" si="117"/>
        <v>0.20870062690911584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-3.813056537183002E-14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253.16238957399855</v>
      </c>
      <c r="CE135" s="62">
        <f t="shared" si="148"/>
        <v>138.00705940844708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0.17283020665909893</v>
      </c>
      <c r="CM135" s="23">
        <f>EXP(-LN(2)/2)*CM134+(1-EXP(-LN(2)/2))/(LN(2)/2)*CG135*CJ135*VLOOKUP('Données projet'!$B$12,Paramètres!$A$1:$I$89,3,0)*0.475*44/12</f>
        <v>1.0334891320310966E-14</v>
      </c>
      <c r="CN135" s="24">
        <f t="shared" si="120"/>
        <v>0.17283020665910925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-5.7639226724859328E-14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345.67675698621832</v>
      </c>
      <c r="T136" s="62">
        <f t="shared" si="142"/>
        <v>178.72086185623849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219.21539650048186</v>
      </c>
      <c r="AO136" s="62">
        <f t="shared" si="144"/>
        <v>204.10961748628708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0.31245365367366218</v>
      </c>
      <c r="AW136" s="23">
        <f>EXP(-LN(2)/2)*AW135+(1-EXP(-LN(2)/2))/(LN(2)/2)*AQ136*AT136*VLOOKUP('Données projet'!$B$10,Paramètres!$A$1:$I$89,3,0)*0.475*44/12</f>
        <v>2.2845150174833945E-15</v>
      </c>
      <c r="AX136" s="23">
        <f t="shared" si="114"/>
        <v>0.31245365367366446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-5.6752469390630726E-14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341.48836779133632</v>
      </c>
      <c r="BJ136" s="62">
        <f t="shared" si="146"/>
        <v>176.87842498964287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0.20299369729118213</v>
      </c>
      <c r="BR136" s="23">
        <f>EXP(-LN(2)/2)*BR135+(1-EXP(-LN(2)/2))/(LN(2)/2)*BL136*BO136*VLOOKUP('Données projet'!$B$11,Paramètres!$A$1:$I$89,3,0)*0.475*44/12</f>
        <v>1.0876832350389397E-14</v>
      </c>
      <c r="BS136" s="24">
        <f t="shared" si="117"/>
        <v>0.20299369729119301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-3.813056537183002E-14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253.16238957399855</v>
      </c>
      <c r="CE136" s="62">
        <f t="shared" si="148"/>
        <v>138.00705940844708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0.16810415556926031</v>
      </c>
      <c r="CM136" s="23">
        <f>EXP(-LN(2)/2)*CM135+(1-EXP(-LN(2)/2))/(LN(2)/2)*CG136*CJ136*VLOOKUP('Données projet'!$B$12,Paramètres!$A$1:$I$89,3,0)*0.475*44/12</f>
        <v>7.3078717354178752E-15</v>
      </c>
      <c r="CN136" s="24">
        <f t="shared" si="120"/>
        <v>0.16810415556926761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-5.7639226724859328E-14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345.67675698621832</v>
      </c>
      <c r="T137" s="62">
        <f t="shared" si="142"/>
        <v>178.72086185623849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219.21539650048186</v>
      </c>
      <c r="AO137" s="62">
        <f t="shared" si="144"/>
        <v>204.10961748628708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0.30390959208273238</v>
      </c>
      <c r="AW137" s="23">
        <f>EXP(-LN(2)/2)*AW136+(1-EXP(-LN(2)/2))/(LN(2)/2)*AQ137*AT137*VLOOKUP('Données projet'!$B$10,Paramètres!$A$1:$I$89,3,0)*0.475*44/12</f>
        <v>1.6153960605850124E-15</v>
      </c>
      <c r="AX137" s="23">
        <f t="shared" si="114"/>
        <v>0.30390959208273399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-5.6752469390630726E-14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341.48836779133632</v>
      </c>
      <c r="BJ137" s="62">
        <f t="shared" si="146"/>
        <v>176.87842498964287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0.19744282396378016</v>
      </c>
      <c r="BR137" s="23">
        <f>EXP(-LN(2)/2)*BR136+(1-EXP(-LN(2)/2))/(LN(2)/2)*BL137*BO137*VLOOKUP('Données projet'!$B$11,Paramètres!$A$1:$I$89,3,0)*0.475*44/12</f>
        <v>7.6910819127895565E-15</v>
      </c>
      <c r="BS137" s="24">
        <f t="shared" si="117"/>
        <v>0.19744282396378784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-3.813056537183002E-14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253.16238957399855</v>
      </c>
      <c r="CE137" s="62">
        <f t="shared" si="148"/>
        <v>138.00705940844708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0.16350733859500555</v>
      </c>
      <c r="CM137" s="23">
        <f>EXP(-LN(2)/2)*CM136+(1-EXP(-LN(2)/2))/(LN(2)/2)*CG137*CJ137*VLOOKUP('Données projet'!$B$12,Paramètres!$A$1:$I$89,3,0)*0.475*44/12</f>
        <v>5.1674456601554829E-15</v>
      </c>
      <c r="CN137" s="24">
        <f t="shared" si="120"/>
        <v>0.16350733859501071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-5.7639226724859328E-14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345.67675698621832</v>
      </c>
      <c r="T138" s="62">
        <f t="shared" si="142"/>
        <v>178.72086185623849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219.21539650048186</v>
      </c>
      <c r="AO138" s="62">
        <f t="shared" si="144"/>
        <v>204.10961748628708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0.29559916830531924</v>
      </c>
      <c r="AW138" s="23">
        <f>EXP(-LN(2)/2)*AW137+(1-EXP(-LN(2)/2))/(LN(2)/2)*AQ138*AT138*VLOOKUP('Données projet'!$B$10,Paramètres!$A$1:$I$89,3,0)*0.475*44/12</f>
        <v>1.1422575087416972E-15</v>
      </c>
      <c r="AX138" s="23">
        <f t="shared" si="114"/>
        <v>0.2955991683053204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-5.6752469390630726E-14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341.48836779133632</v>
      </c>
      <c r="BJ138" s="62">
        <f t="shared" si="146"/>
        <v>176.87842498964287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0.19204373955942375</v>
      </c>
      <c r="BR138" s="23">
        <f>EXP(-LN(2)/2)*BR137+(1-EXP(-LN(2)/2))/(LN(2)/2)*BL138*BO138*VLOOKUP('Données projet'!$B$11,Paramètres!$A$1:$I$89,3,0)*0.475*44/12</f>
        <v>5.4384161751946984E-15</v>
      </c>
      <c r="BS138" s="24">
        <f t="shared" si="117"/>
        <v>0.19204373955942919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-3.813056537183002E-14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253.16238957399855</v>
      </c>
      <c r="CE138" s="62">
        <f t="shared" si="148"/>
        <v>138.00705940844708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0.15903622182264787</v>
      </c>
      <c r="CM138" s="23">
        <f>EXP(-LN(2)/2)*CM137+(1-EXP(-LN(2)/2))/(LN(2)/2)*CG138*CJ138*VLOOKUP('Données projet'!$B$12,Paramètres!$A$1:$I$89,3,0)*0.475*44/12</f>
        <v>3.6539358677089376E-15</v>
      </c>
      <c r="CN138" s="24">
        <f t="shared" si="120"/>
        <v>0.15903622182265154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-5.7639226724859328E-14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345.67675698621832</v>
      </c>
      <c r="T139" s="62">
        <f t="shared" si="142"/>
        <v>178.72086185623849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219.21539650048186</v>
      </c>
      <c r="AO139" s="62">
        <f t="shared" si="144"/>
        <v>204.10961748628708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0.28751599350312562</v>
      </c>
      <c r="AW139" s="23">
        <f>EXP(-LN(2)/2)*AW138+(1-EXP(-LN(2)/2))/(LN(2)/2)*AQ139*AT139*VLOOKUP('Données projet'!$B$10,Paramètres!$A$1:$I$89,3,0)*0.475*44/12</f>
        <v>8.0769803029250622E-16</v>
      </c>
      <c r="AX139" s="23">
        <f t="shared" si="114"/>
        <v>0.28751599350312645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-5.6752469390630726E-14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341.48836779133632</v>
      </c>
      <c r="BJ139" s="62">
        <f t="shared" si="146"/>
        <v>176.87842498964287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0.18679229340202996</v>
      </c>
      <c r="BR139" s="23">
        <f>EXP(-LN(2)/2)*BR138+(1-EXP(-LN(2)/2))/(LN(2)/2)*BL139*BO139*VLOOKUP('Données projet'!$B$11,Paramètres!$A$1:$I$89,3,0)*0.475*44/12</f>
        <v>3.8455409563947783E-15</v>
      </c>
      <c r="BS139" s="24">
        <f t="shared" si="117"/>
        <v>0.18679229340203382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-3.813056537183002E-14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253.16238957399855</v>
      </c>
      <c r="CE139" s="62">
        <f t="shared" si="148"/>
        <v>138.00705940844708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0.15468736797355614</v>
      </c>
      <c r="CM139" s="23">
        <f>EXP(-LN(2)/2)*CM138+(1-EXP(-LN(2)/2))/(LN(2)/2)*CG139*CJ139*VLOOKUP('Données projet'!$B$12,Paramètres!$A$1:$I$89,3,0)*0.475*44/12</f>
        <v>2.5837228300777414E-15</v>
      </c>
      <c r="CN139" s="24">
        <f t="shared" si="120"/>
        <v>0.15468736797355873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-5.7639226724859328E-14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345.67675698621832</v>
      </c>
      <c r="T140" s="62">
        <f t="shared" si="142"/>
        <v>178.72086185623849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219.21539650048186</v>
      </c>
      <c r="AO140" s="62">
        <f t="shared" si="144"/>
        <v>204.10961748628708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0.27965385354097366</v>
      </c>
      <c r="AW140" s="23">
        <f>EXP(-LN(2)/2)*AW139+(1-EXP(-LN(2)/2))/(LN(2)/2)*AQ140*AT140*VLOOKUP('Données projet'!$B$10,Paramètres!$A$1:$I$89,3,0)*0.475*44/12</f>
        <v>5.7112875437084862E-16</v>
      </c>
      <c r="AX140" s="23">
        <f t="shared" si="114"/>
        <v>0.27965385354097422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-5.6752469390630726E-14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341.48836779133632</v>
      </c>
      <c r="BJ140" s="62">
        <f t="shared" si="146"/>
        <v>176.87842498964287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0.18168444831597166</v>
      </c>
      <c r="BR140" s="23">
        <f>EXP(-LN(2)/2)*BR139+(1-EXP(-LN(2)/2))/(LN(2)/2)*BL140*BO140*VLOOKUP('Données projet'!$B$11,Paramètres!$A$1:$I$89,3,0)*0.475*44/12</f>
        <v>2.7192080875973492E-15</v>
      </c>
      <c r="BS140" s="24">
        <f t="shared" si="117"/>
        <v>0.18168444831597438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-3.813056537183002E-14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253.16238957399855</v>
      </c>
      <c r="CE140" s="62">
        <f t="shared" si="148"/>
        <v>138.00705940844708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0.15045743376166412</v>
      </c>
      <c r="CM140" s="23">
        <f>EXP(-LN(2)/2)*CM139+(1-EXP(-LN(2)/2))/(LN(2)/2)*CG140*CJ140*VLOOKUP('Données projet'!$B$12,Paramètres!$A$1:$I$89,3,0)*0.475*44/12</f>
        <v>1.8269679338544688E-15</v>
      </c>
      <c r="CN140" s="24">
        <f t="shared" si="120"/>
        <v>0.15045743376166595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-5.7639226724859328E-14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345.67675698621832</v>
      </c>
      <c r="T141" s="62">
        <f t="shared" si="142"/>
        <v>178.72086185623849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219.21539650048186</v>
      </c>
      <c r="AO141" s="62">
        <f t="shared" si="144"/>
        <v>204.10961748628708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0.27200670420953876</v>
      </c>
      <c r="AW141" s="23">
        <f>EXP(-LN(2)/2)*AW140+(1-EXP(-LN(2)/2))/(LN(2)/2)*AQ141*AT141*VLOOKUP('Données projet'!$B$10,Paramètres!$A$1:$I$89,3,0)*0.475*44/12</f>
        <v>4.0384901514625311E-16</v>
      </c>
      <c r="AX141" s="23">
        <f t="shared" si="114"/>
        <v>0.27200670420953915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-5.6752469390630726E-14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341.48836779133632</v>
      </c>
      <c r="BJ141" s="62">
        <f t="shared" si="146"/>
        <v>176.87842498964287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0.17671627752240152</v>
      </c>
      <c r="BR141" s="23">
        <f>EXP(-LN(2)/2)*BR140+(1-EXP(-LN(2)/2))/(LN(2)/2)*BL141*BO141*VLOOKUP('Données projet'!$B$11,Paramètres!$A$1:$I$89,3,0)*0.475*44/12</f>
        <v>1.9227704781973891E-15</v>
      </c>
      <c r="BS141" s="24">
        <f t="shared" si="117"/>
        <v>0.17671627752240343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-3.813056537183002E-14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253.16238957399855</v>
      </c>
      <c r="CE141" s="62">
        <f t="shared" si="148"/>
        <v>138.00705940844708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0.14634316732323885</v>
      </c>
      <c r="CM141" s="23">
        <f>EXP(-LN(2)/2)*CM140+(1-EXP(-LN(2)/2))/(LN(2)/2)*CG141*CJ141*VLOOKUP('Données projet'!$B$12,Paramètres!$A$1:$I$89,3,0)*0.475*44/12</f>
        <v>1.2918614150388707E-15</v>
      </c>
      <c r="CN141" s="24">
        <f t="shared" si="120"/>
        <v>0.14634316732324015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-5.7639226724859328E-14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345.67675698621832</v>
      </c>
      <c r="T142" s="62">
        <f t="shared" si="142"/>
        <v>178.72086185623849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219.21539650048186</v>
      </c>
      <c r="AO142" s="62">
        <f t="shared" si="144"/>
        <v>204.10961748628708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0.26456866657871803</v>
      </c>
      <c r="AW142" s="23">
        <f>EXP(-LN(2)/2)*AW141+(1-EXP(-LN(2)/2))/(LN(2)/2)*AQ142*AT142*VLOOKUP('Données projet'!$B$10,Paramètres!$A$1:$I$89,3,0)*0.475*44/12</f>
        <v>2.8556437718542431E-16</v>
      </c>
      <c r="AX142" s="23">
        <f t="shared" si="114"/>
        <v>0.2645686665787183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-5.6752469390630726E-14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341.48836779133632</v>
      </c>
      <c r="BJ142" s="62">
        <f t="shared" si="146"/>
        <v>176.87842498964287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0.17188396162044631</v>
      </c>
      <c r="BR142" s="23">
        <f>EXP(-LN(2)/2)*BR141+(1-EXP(-LN(2)/2))/(LN(2)/2)*BL142*BO142*VLOOKUP('Données projet'!$B$11,Paramètres!$A$1:$I$89,3,0)*0.475*44/12</f>
        <v>1.3596040437986746E-15</v>
      </c>
      <c r="BS142" s="24">
        <f t="shared" si="117"/>
        <v>0.17188396162044767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-3.813056537183002E-14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253.16238957399855</v>
      </c>
      <c r="CE142" s="62">
        <f t="shared" si="148"/>
        <v>138.00705940844708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0.14234140571693218</v>
      </c>
      <c r="CM142" s="23">
        <f>EXP(-LN(2)/2)*CM141+(1-EXP(-LN(2)/2))/(LN(2)/2)*CG142*CJ142*VLOOKUP('Données projet'!$B$12,Paramètres!$A$1:$I$89,3,0)*0.475*44/12</f>
        <v>9.1348396692723441E-16</v>
      </c>
      <c r="CN142" s="24">
        <f t="shared" si="120"/>
        <v>0.1423414057169331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-5.7639226724859328E-14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345.67675698621832</v>
      </c>
      <c r="T143" s="62">
        <f t="shared" si="142"/>
        <v>178.72086185623849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219.21539650048186</v>
      </c>
      <c r="AO143" s="62">
        <f t="shared" si="144"/>
        <v>204.10961748628708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0.25733402247806147</v>
      </c>
      <c r="AW143" s="23">
        <f>EXP(-LN(2)/2)*AW142+(1-EXP(-LN(2)/2))/(LN(2)/2)*AQ143*AT143*VLOOKUP('Données projet'!$B$10,Paramètres!$A$1:$I$89,3,0)*0.475*44/12</f>
        <v>2.0192450757312656E-16</v>
      </c>
      <c r="AX143" s="23">
        <f t="shared" si="114"/>
        <v>0.2573340224780617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-5.6752469390630726E-14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341.48836779133632</v>
      </c>
      <c r="BJ143" s="62">
        <f t="shared" si="146"/>
        <v>176.87842498964287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0.16718378565095052</v>
      </c>
      <c r="BR143" s="23">
        <f>EXP(-LN(2)/2)*BR142+(1-EXP(-LN(2)/2))/(LN(2)/2)*BL143*BO143*VLOOKUP('Données projet'!$B$11,Paramètres!$A$1:$I$89,3,0)*0.475*44/12</f>
        <v>9.6138523909869456E-16</v>
      </c>
      <c r="BS143" s="24">
        <f t="shared" si="117"/>
        <v>0.16718378565095149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-3.813056537183002E-14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253.16238957399855</v>
      </c>
      <c r="CE143" s="62">
        <f t="shared" si="148"/>
        <v>138.00705940844708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0.13844907249219349</v>
      </c>
      <c r="CM143" s="23">
        <f>EXP(-LN(2)/2)*CM142+(1-EXP(-LN(2)/2))/(LN(2)/2)*CG143*CJ143*VLOOKUP('Données projet'!$B$12,Paramètres!$A$1:$I$89,3,0)*0.475*44/12</f>
        <v>6.4593070751943536E-16</v>
      </c>
      <c r="CN143" s="24">
        <f t="shared" si="120"/>
        <v>0.13844907249219413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-5.7639226724859328E-14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345.67675698621832</v>
      </c>
      <c r="T144" s="62">
        <f t="shared" si="142"/>
        <v>178.72086185623849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219.21539650048186</v>
      </c>
      <c r="AO144" s="62">
        <f t="shared" si="144"/>
        <v>204.10961748628708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0.25029721010079081</v>
      </c>
      <c r="AW144" s="23">
        <f>EXP(-LN(2)/2)*AW143+(1-EXP(-LN(2)/2))/(LN(2)/2)*AQ144*AT144*VLOOKUP('Données projet'!$B$10,Paramètres!$A$1:$I$89,3,0)*0.475*44/12</f>
        <v>1.4278218859271216E-16</v>
      </c>
      <c r="AX144" s="23">
        <f t="shared" si="114"/>
        <v>0.25029721010079098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-5.6752469390630726E-14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341.48836779133632</v>
      </c>
      <c r="BJ144" s="62">
        <f t="shared" si="146"/>
        <v>176.87842498964287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0.1626121362405121</v>
      </c>
      <c r="BR144" s="23">
        <f>EXP(-LN(2)/2)*BR143+(1-EXP(-LN(2)/2))/(LN(2)/2)*BL144*BO144*VLOOKUP('Données projet'!$B$11,Paramètres!$A$1:$I$89,3,0)*0.475*44/12</f>
        <v>6.798020218993373E-16</v>
      </c>
      <c r="BS144" s="24">
        <f t="shared" si="117"/>
        <v>0.16261213624051277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-3.813056537183002E-14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253.16238957399855</v>
      </c>
      <c r="CE144" s="62">
        <f t="shared" si="148"/>
        <v>138.00705940844708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0.13466317532417416</v>
      </c>
      <c r="CM144" s="23">
        <f>EXP(-LN(2)/2)*CM143+(1-EXP(-LN(2)/2))/(LN(2)/2)*CG144*CJ144*VLOOKUP('Données projet'!$B$12,Paramètres!$A$1:$I$89,3,0)*0.475*44/12</f>
        <v>4.567419834636172E-16</v>
      </c>
      <c r="CN144" s="24">
        <f t="shared" si="120"/>
        <v>0.1346631753241746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-5.7639226724859328E-14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345.67675698621832</v>
      </c>
      <c r="T145" s="62">
        <f t="shared" si="142"/>
        <v>178.72086185623849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219.21539650048186</v>
      </c>
      <c r="AO145" s="62">
        <f t="shared" si="144"/>
        <v>204.10961748628708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0.24345281972802646</v>
      </c>
      <c r="AW145" s="23">
        <f>EXP(-LN(2)/2)*AW144+(1-EXP(-LN(2)/2))/(LN(2)/2)*AQ145*AT145*VLOOKUP('Données projet'!$B$10,Paramètres!$A$1:$I$89,3,0)*0.475*44/12</f>
        <v>1.0096225378656328E-16</v>
      </c>
      <c r="AX145" s="23">
        <f t="shared" si="114"/>
        <v>0.24345281972802657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-5.6752469390630726E-14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341.48836779133632</v>
      </c>
      <c r="BJ145" s="62">
        <f t="shared" si="146"/>
        <v>176.87842498964287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0.15816549882361472</v>
      </c>
      <c r="BR145" s="23">
        <f>EXP(-LN(2)/2)*BR144+(1-EXP(-LN(2)/2))/(LN(2)/2)*BL145*BO145*VLOOKUP('Données projet'!$B$11,Paramètres!$A$1:$I$89,3,0)*0.475*44/12</f>
        <v>4.8069261954934728E-16</v>
      </c>
      <c r="BS145" s="24">
        <f t="shared" si="117"/>
        <v>0.15816549882361519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-3.813056537183002E-14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253.16238957399855</v>
      </c>
      <c r="CE145" s="62">
        <f t="shared" si="148"/>
        <v>138.00705940844708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0.130980803713306</v>
      </c>
      <c r="CM145" s="23">
        <f>EXP(-LN(2)/2)*CM144+(1-EXP(-LN(2)/2))/(LN(2)/2)*CG145*CJ145*VLOOKUP('Données projet'!$B$12,Paramètres!$A$1:$I$89,3,0)*0.475*44/12</f>
        <v>3.2296535375971768E-16</v>
      </c>
      <c r="CN145" s="24">
        <f t="shared" si="120"/>
        <v>0.13098080371330634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-5.7639226724859328E-14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345.67675698621832</v>
      </c>
      <c r="T146" s="62">
        <f t="shared" si="142"/>
        <v>178.72086185623849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219.21539650048186</v>
      </c>
      <c r="AO146" s="62">
        <f t="shared" si="144"/>
        <v>204.10961748628708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0.23679558956993621</v>
      </c>
      <c r="AW146" s="23">
        <f>EXP(-LN(2)/2)*AW145+(1-EXP(-LN(2)/2))/(LN(2)/2)*AQ146*AT146*VLOOKUP('Données projet'!$B$10,Paramètres!$A$1:$I$89,3,0)*0.475*44/12</f>
        <v>7.1391094296356078E-17</v>
      </c>
      <c r="AX146" s="23">
        <f t="shared" si="114"/>
        <v>0.23679558956993629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-5.6752469390630726E-14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341.48836779133632</v>
      </c>
      <c r="BJ146" s="62">
        <f t="shared" si="146"/>
        <v>176.87842498964287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0.15384045494072088</v>
      </c>
      <c r="BR146" s="23">
        <f>EXP(-LN(2)/2)*BR145+(1-EXP(-LN(2)/2))/(LN(2)/2)*BL146*BO146*VLOOKUP('Données projet'!$B$11,Paramètres!$A$1:$I$89,3,0)*0.475*44/12</f>
        <v>3.3990101094966865E-16</v>
      </c>
      <c r="BS146" s="24">
        <f t="shared" si="117"/>
        <v>0.15384045494072121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-3.813056537183002E-14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253.16238957399855</v>
      </c>
      <c r="CE146" s="62">
        <f t="shared" si="148"/>
        <v>138.00705940844708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0.12739912674778456</v>
      </c>
      <c r="CM146" s="23">
        <f>EXP(-LN(2)/2)*CM145+(1-EXP(-LN(2)/2))/(LN(2)/2)*CG146*CJ146*VLOOKUP('Données projet'!$B$12,Paramètres!$A$1:$I$89,3,0)*0.475*44/12</f>
        <v>2.283709917318086E-16</v>
      </c>
      <c r="CN146" s="24">
        <f t="shared" si="120"/>
        <v>0.12739912674778478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-5.7639226724859328E-14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345.67675698621832</v>
      </c>
      <c r="T147" s="62">
        <f t="shared" si="142"/>
        <v>178.72086185623849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219.21539650048186</v>
      </c>
      <c r="AO147" s="62">
        <f t="shared" si="144"/>
        <v>204.10961748628708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0.23032040172060744</v>
      </c>
      <c r="AW147" s="23">
        <f>EXP(-LN(2)/2)*AW146+(1-EXP(-LN(2)/2))/(LN(2)/2)*AQ147*AT147*VLOOKUP('Données projet'!$B$10,Paramètres!$A$1:$I$89,3,0)*0.475*44/12</f>
        <v>5.0481126893281639E-17</v>
      </c>
      <c r="AX147" s="23">
        <f t="shared" si="114"/>
        <v>0.2303204017206075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-5.6752469390630726E-14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341.48836779133632</v>
      </c>
      <c r="BJ147" s="62">
        <f t="shared" si="146"/>
        <v>176.87842498964287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0.14963367961024895</v>
      </c>
      <c r="BR147" s="23">
        <f>EXP(-LN(2)/2)*BR146+(1-EXP(-LN(2)/2))/(LN(2)/2)*BL147*BO147*VLOOKUP('Données projet'!$B$11,Paramètres!$A$1:$I$89,3,0)*0.475*44/12</f>
        <v>2.4034630977467364E-16</v>
      </c>
      <c r="BS147" s="24">
        <f t="shared" si="117"/>
        <v>0.1496336796102492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-3.813056537183002E-14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253.16238957399855</v>
      </c>
      <c r="CE147" s="62">
        <f t="shared" si="148"/>
        <v>138.00705940844708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0.12391539092723748</v>
      </c>
      <c r="CM147" s="23">
        <f>EXP(-LN(2)/2)*CM146+(1-EXP(-LN(2)/2))/(LN(2)/2)*CG147*CJ147*VLOOKUP('Données projet'!$B$12,Paramètres!$A$1:$I$89,3,0)*0.475*44/12</f>
        <v>1.6148267687985884E-16</v>
      </c>
      <c r="CN147" s="24">
        <f t="shared" si="120"/>
        <v>0.12391539092723765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-5.7639226724859328E-14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345.67675698621832</v>
      </c>
      <c r="T148" s="62">
        <f t="shared" si="142"/>
        <v>178.72086185623849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219.21539650048186</v>
      </c>
      <c r="AO148" s="62">
        <f t="shared" si="144"/>
        <v>204.10961748628708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0.2240222782235339</v>
      </c>
      <c r="AW148" s="23">
        <f>EXP(-LN(2)/2)*AW147+(1-EXP(-LN(2)/2))/(LN(2)/2)*AQ148*AT148*VLOOKUP('Données projet'!$B$10,Paramètres!$A$1:$I$89,3,0)*0.475*44/12</f>
        <v>3.5695547148178039E-17</v>
      </c>
      <c r="AX148" s="23">
        <f t="shared" si="114"/>
        <v>0.22402227822353393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-5.6752469390630726E-14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341.48836779133632</v>
      </c>
      <c r="BJ148" s="62">
        <f t="shared" si="146"/>
        <v>176.87842498964287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0.14554193877241348</v>
      </c>
      <c r="BR148" s="23">
        <f>EXP(-LN(2)/2)*BR147+(1-EXP(-LN(2)/2))/(LN(2)/2)*BL148*BO148*VLOOKUP('Données projet'!$B$11,Paramètres!$A$1:$I$89,3,0)*0.475*44/12</f>
        <v>1.6995050547483432E-16</v>
      </c>
      <c r="BS148" s="24">
        <f t="shared" si="117"/>
        <v>0.14554193877241364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-3.813056537183002E-14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253.16238957399855</v>
      </c>
      <c r="CE148" s="62">
        <f t="shared" si="148"/>
        <v>138.00705940844708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0.12052691804590497</v>
      </c>
      <c r="CM148" s="23">
        <f>EXP(-LN(2)/2)*CM147+(1-EXP(-LN(2)/2))/(LN(2)/2)*CG148*CJ148*VLOOKUP('Données projet'!$B$12,Paramètres!$A$1:$I$89,3,0)*0.475*44/12</f>
        <v>1.141854958659043E-16</v>
      </c>
      <c r="CN148" s="24">
        <f t="shared" si="120"/>
        <v>0.12052691804590508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-5.7639226724859328E-14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345.67675698621832</v>
      </c>
      <c r="T149" s="62">
        <f t="shared" si="142"/>
        <v>178.72086185623849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219.21539650048186</v>
      </c>
      <c r="AO149" s="62">
        <f t="shared" si="144"/>
        <v>204.10961748628708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0.21789637724469177</v>
      </c>
      <c r="AW149" s="23">
        <f>EXP(-LN(2)/2)*AW148+(1-EXP(-LN(2)/2))/(LN(2)/2)*AQ149*AT149*VLOOKUP('Données projet'!$B$10,Paramètres!$A$1:$I$89,3,0)*0.475*44/12</f>
        <v>2.5240563446640819E-17</v>
      </c>
      <c r="AX149" s="23">
        <f t="shared" si="114"/>
        <v>0.2178963772446918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-5.6752469390630726E-14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341.48836779133632</v>
      </c>
      <c r="BJ149" s="62">
        <f t="shared" si="146"/>
        <v>176.87842498964287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0.14156208680296392</v>
      </c>
      <c r="BR149" s="23">
        <f>EXP(-LN(2)/2)*BR148+(1-EXP(-LN(2)/2))/(LN(2)/2)*BL149*BO149*VLOOKUP('Données projet'!$B$11,Paramètres!$A$1:$I$89,3,0)*0.475*44/12</f>
        <v>1.2017315488733682E-16</v>
      </c>
      <c r="BS149" s="24">
        <f t="shared" si="117"/>
        <v>0.14156208680296403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-3.813056537183002E-14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253.16238957399855</v>
      </c>
      <c r="CE149" s="62">
        <f t="shared" si="148"/>
        <v>138.00705940844708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0.11723110313370455</v>
      </c>
      <c r="CM149" s="23">
        <f>EXP(-LN(2)/2)*CM148+(1-EXP(-LN(2)/2))/(LN(2)/2)*CG149*CJ149*VLOOKUP('Données projet'!$B$12,Paramètres!$A$1:$I$89,3,0)*0.475*44/12</f>
        <v>8.074133843992942E-17</v>
      </c>
      <c r="CN149" s="24">
        <f t="shared" si="120"/>
        <v>0.11723110313370463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-5.7639226724859328E-14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345.67675698621832</v>
      </c>
      <c r="T150" s="62">
        <f t="shared" si="142"/>
        <v>178.72086185623849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219.21539650048186</v>
      </c>
      <c r="AO150" s="62">
        <f t="shared" si="144"/>
        <v>204.10961748628708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0.2119379893502632</v>
      </c>
      <c r="AW150" s="23">
        <f>EXP(-LN(2)/2)*AW149+(1-EXP(-LN(2)/2))/(LN(2)/2)*AQ150*AT150*VLOOKUP('Données projet'!$B$10,Paramètres!$A$1:$I$89,3,0)*0.475*44/12</f>
        <v>1.7847773574089019E-17</v>
      </c>
      <c r="AX150" s="23">
        <f t="shared" si="114"/>
        <v>0.21193798935026323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-5.6752469390630726E-14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341.48836779133632</v>
      </c>
      <c r="BJ150" s="62">
        <f t="shared" si="146"/>
        <v>176.87842498964287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0.13769106409491028</v>
      </c>
      <c r="BR150" s="23">
        <f>EXP(-LN(2)/2)*BR149+(1-EXP(-LN(2)/2))/(LN(2)/2)*BL150*BO150*VLOOKUP('Données projet'!$B$11,Paramètres!$A$1:$I$89,3,0)*0.475*44/12</f>
        <v>8.4975252737417162E-17</v>
      </c>
      <c r="BS150" s="24">
        <f t="shared" si="117"/>
        <v>0.13769106409491036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-3.813056537183002E-14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253.16238957399855</v>
      </c>
      <c r="CE150" s="62">
        <f t="shared" si="148"/>
        <v>138.00705940844708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0.11402541245359762</v>
      </c>
      <c r="CM150" s="23">
        <f>EXP(-LN(2)/2)*CM149+(1-EXP(-LN(2)/2))/(LN(2)/2)*CG150*CJ150*VLOOKUP('Données projet'!$B$12,Paramètres!$A$1:$I$89,3,0)*0.475*44/12</f>
        <v>5.709274793295215E-17</v>
      </c>
      <c r="CN150" s="24">
        <f t="shared" si="120"/>
        <v>0.11402541245359768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-5.7639226724859328E-14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345.67675698621832</v>
      </c>
      <c r="T151" s="62">
        <f t="shared" si="142"/>
        <v>178.72086185623849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219.21539650048186</v>
      </c>
      <c r="AO151" s="62">
        <f t="shared" si="144"/>
        <v>204.10961748628708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0.20614253388614578</v>
      </c>
      <c r="AW151" s="23">
        <f>EXP(-LN(2)/2)*AW150+(1-EXP(-LN(2)/2))/(LN(2)/2)*AQ151*AT151*VLOOKUP('Données projet'!$B$10,Paramètres!$A$1:$I$89,3,0)*0.475*44/12</f>
        <v>1.262028172332041E-17</v>
      </c>
      <c r="AX151" s="23">
        <f t="shared" si="114"/>
        <v>0.20614253388614578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-5.6752469390630726E-14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341.48836779133632</v>
      </c>
      <c r="BJ151" s="62">
        <f t="shared" si="146"/>
        <v>176.87842498964287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0.13392589470637659</v>
      </c>
      <c r="BR151" s="23">
        <f>EXP(-LN(2)/2)*BR150+(1-EXP(-LN(2)/2))/(LN(2)/2)*BL151*BO151*VLOOKUP('Données projet'!$B$11,Paramètres!$A$1:$I$89,3,0)*0.475*44/12</f>
        <v>6.008657744366841E-17</v>
      </c>
      <c r="BS151" s="24">
        <f t="shared" si="117"/>
        <v>0.13392589470637664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-3.813056537183002E-14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253.16238957399855</v>
      </c>
      <c r="CE151" s="62">
        <f t="shared" si="148"/>
        <v>138.00705940844708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0.11090738155371817</v>
      </c>
      <c r="CM151" s="23">
        <f>EXP(-LN(2)/2)*CM150+(1-EXP(-LN(2)/2))/(LN(2)/2)*CG151*CJ151*VLOOKUP('Données projet'!$B$12,Paramètres!$A$1:$I$89,3,0)*0.475*44/12</f>
        <v>4.037066921996471E-17</v>
      </c>
      <c r="CN151" s="24">
        <f t="shared" si="120"/>
        <v>0.11090738155371821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-5.7639226724859328E-14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345.67675698621832</v>
      </c>
      <c r="T152" s="62">
        <f t="shared" si="142"/>
        <v>178.72086185623849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219.21539650048186</v>
      </c>
      <c r="AO152" s="62">
        <f t="shared" si="144"/>
        <v>204.10961748628708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0.20050555545646442</v>
      </c>
      <c r="AW152" s="23">
        <f>EXP(-LN(2)/2)*AW151+(1-EXP(-LN(2)/2))/(LN(2)/2)*AQ152*AT152*VLOOKUP('Données projet'!$B$10,Paramètres!$A$1:$I$89,3,0)*0.475*44/12</f>
        <v>8.9238867870445097E-18</v>
      </c>
      <c r="AX152" s="23">
        <f t="shared" si="114"/>
        <v>0.20050555545646442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-5.6752469390630726E-14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341.48836779133632</v>
      </c>
      <c r="BJ152" s="62">
        <f t="shared" si="146"/>
        <v>176.87842498964287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0.130263684072774</v>
      </c>
      <c r="BR152" s="23">
        <f>EXP(-LN(2)/2)*BR151+(1-EXP(-LN(2)/2))/(LN(2)/2)*BL152*BO152*VLOOKUP('Données projet'!$B$11,Paramètres!$A$1:$I$89,3,0)*0.475*44/12</f>
        <v>4.2487626368708581E-17</v>
      </c>
      <c r="BS152" s="24">
        <f t="shared" si="117"/>
        <v>0.13026368407277406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-3.813056537183002E-14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253.16238957399855</v>
      </c>
      <c r="CE152" s="62">
        <f t="shared" si="148"/>
        <v>138.00705940844708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0.10787461337276603</v>
      </c>
      <c r="CM152" s="23">
        <f>EXP(-LN(2)/2)*CM151+(1-EXP(-LN(2)/2))/(LN(2)/2)*CG152*CJ152*VLOOKUP('Données projet'!$B$12,Paramètres!$A$1:$I$89,3,0)*0.475*44/12</f>
        <v>2.8546373966476075E-17</v>
      </c>
      <c r="CN152" s="24">
        <f t="shared" si="120"/>
        <v>0.10787461337276606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-5.7639226724859328E-14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345.67675698621832</v>
      </c>
      <c r="T153" s="62">
        <f t="shared" si="142"/>
        <v>178.72086185623849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219.21539650048186</v>
      </c>
      <c r="AO153" s="62">
        <f t="shared" si="144"/>
        <v>204.10961748628708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0.19502272049837852</v>
      </c>
      <c r="AW153" s="23">
        <f>EXP(-LN(2)/2)*AW152+(1-EXP(-LN(2)/2))/(LN(2)/2)*AQ153*AT153*VLOOKUP('Données projet'!$B$10,Paramètres!$A$1:$I$89,3,0)*0.475*44/12</f>
        <v>6.3101408616602049E-18</v>
      </c>
      <c r="AX153" s="23">
        <f t="shared" si="114"/>
        <v>0.19502272049837852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-5.6752469390630726E-14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341.48836779133632</v>
      </c>
      <c r="BJ153" s="62">
        <f t="shared" si="146"/>
        <v>176.87842498964287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0.12670161678153458</v>
      </c>
      <c r="BR153" s="23">
        <f>EXP(-LN(2)/2)*BR152+(1-EXP(-LN(2)/2))/(LN(2)/2)*BL153*BO153*VLOOKUP('Données projet'!$B$11,Paramètres!$A$1:$I$89,3,0)*0.475*44/12</f>
        <v>3.0043288721834205E-17</v>
      </c>
      <c r="BS153" s="24">
        <f t="shared" si="117"/>
        <v>0.1267016167815346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-3.813056537183002E-14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253.16238957399855</v>
      </c>
      <c r="CE153" s="62">
        <f t="shared" si="148"/>
        <v>138.00705940844708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0.10492477639720837</v>
      </c>
      <c r="CM153" s="23">
        <f>EXP(-LN(2)/2)*CM152+(1-EXP(-LN(2)/2))/(LN(2)/2)*CG153*CJ153*VLOOKUP('Données projet'!$B$12,Paramètres!$A$1:$I$89,3,0)*0.475*44/12</f>
        <v>2.0185334609982355E-17</v>
      </c>
      <c r="CN153" s="24">
        <f t="shared" si="120"/>
        <v>0.10492477639720839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-5.7639226724859328E-14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345.67675698621832</v>
      </c>
      <c r="T154" s="62">
        <f t="shared" si="142"/>
        <v>178.72086185623849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219.21539650048186</v>
      </c>
      <c r="AO154" s="62">
        <f t="shared" si="144"/>
        <v>204.10961748628708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0.18968981395055121</v>
      </c>
      <c r="AW154" s="23">
        <f>EXP(-LN(2)/2)*AW153+(1-EXP(-LN(2)/2))/(LN(2)/2)*AQ154*AT154*VLOOKUP('Données projet'!$B$10,Paramètres!$A$1:$I$89,3,0)*0.475*44/12</f>
        <v>4.4619433935222548E-18</v>
      </c>
      <c r="AX154" s="23">
        <f t="shared" ref="AX154:AX203" si="166">SUM(AU154:AW154)</f>
        <v>0.18968981395055121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-5.6752469390630726E-14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341.48836779133632</v>
      </c>
      <c r="BJ154" s="62">
        <f t="shared" si="146"/>
        <v>176.87842498964287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0.12323695440769507</v>
      </c>
      <c r="BR154" s="23">
        <f>EXP(-LN(2)/2)*BR153+(1-EXP(-LN(2)/2))/(LN(2)/2)*BL154*BO154*VLOOKUP('Données projet'!$B$11,Paramètres!$A$1:$I$89,3,0)*0.475*44/12</f>
        <v>2.1243813184354291E-17</v>
      </c>
      <c r="BS154" s="24">
        <f t="shared" ref="BS154:BS203" si="169">SUM(BP154:BR154)</f>
        <v>0.1232369544076951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-3.813056537183002E-14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253.16238957399855</v>
      </c>
      <c r="CE154" s="62">
        <f t="shared" si="148"/>
        <v>138.00705940844708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0.10205560286887252</v>
      </c>
      <c r="CM154" s="23">
        <f>EXP(-LN(2)/2)*CM153+(1-EXP(-LN(2)/2))/(LN(2)/2)*CG154*CJ154*VLOOKUP('Données projet'!$B$12,Paramètres!$A$1:$I$89,3,0)*0.475*44/12</f>
        <v>1.4273186983238038E-17</v>
      </c>
      <c r="CN154" s="24">
        <f t="shared" ref="CN154:CN203" si="172">SUM(CK154:CM154)</f>
        <v>0.10205560286887254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-5.7639226724859328E-14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345.67675698621832</v>
      </c>
      <c r="T155" s="62">
        <f t="shared" si="142"/>
        <v>178.72086185623849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219.21539650048186</v>
      </c>
      <c r="AO155" s="62">
        <f t="shared" si="144"/>
        <v>204.10961748628708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0.1845027360127196</v>
      </c>
      <c r="AW155" s="23">
        <f>EXP(-LN(2)/2)*AW154+(1-EXP(-LN(2)/2))/(LN(2)/2)*AQ155*AT155*VLOOKUP('Données projet'!$B$10,Paramètres!$A$1:$I$89,3,0)*0.475*44/12</f>
        <v>3.1550704308301024E-18</v>
      </c>
      <c r="AX155" s="23">
        <f t="shared" si="166"/>
        <v>0.1845027360127196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-5.6752469390630726E-14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341.48836779133632</v>
      </c>
      <c r="BJ155" s="62">
        <f t="shared" si="146"/>
        <v>176.87842498964287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0.11986703340866688</v>
      </c>
      <c r="BR155" s="23">
        <f>EXP(-LN(2)/2)*BR154+(1-EXP(-LN(2)/2))/(LN(2)/2)*BL155*BO155*VLOOKUP('Données projet'!$B$11,Paramètres!$A$1:$I$89,3,0)*0.475*44/12</f>
        <v>1.5021644360917103E-17</v>
      </c>
      <c r="BS155" s="24">
        <f t="shared" si="169"/>
        <v>0.11986703340866689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-3.813056537183002E-14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253.16238957399855</v>
      </c>
      <c r="CE155" s="62">
        <f t="shared" si="148"/>
        <v>138.00705940844708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9.9264887041552299E-2</v>
      </c>
      <c r="CM155" s="23">
        <f>EXP(-LN(2)/2)*CM154+(1-EXP(-LN(2)/2))/(LN(2)/2)*CG155*CJ155*VLOOKUP('Données projet'!$B$12,Paramètres!$A$1:$I$89,3,0)*0.475*44/12</f>
        <v>1.0092667304991178E-17</v>
      </c>
      <c r="CN155" s="24">
        <f t="shared" si="172"/>
        <v>9.9264887041552313E-2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-5.7639226724859328E-14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345.67675698621832</v>
      </c>
      <c r="T156" s="62">
        <f t="shared" si="142"/>
        <v>178.72086185623849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219.21539650048186</v>
      </c>
      <c r="AO156" s="62">
        <f t="shared" si="144"/>
        <v>204.10961748628708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0.17945749899387459</v>
      </c>
      <c r="AW156" s="23">
        <f>EXP(-LN(2)/2)*AW155+(1-EXP(-LN(2)/2))/(LN(2)/2)*AQ156*AT156*VLOOKUP('Données projet'!$B$10,Paramètres!$A$1:$I$89,3,0)*0.475*44/12</f>
        <v>2.2309716967611274E-18</v>
      </c>
      <c r="AX156" s="23">
        <f t="shared" si="166"/>
        <v>0.17945749899387459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-5.6752469390630726E-14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341.48836779133632</v>
      </c>
      <c r="BJ156" s="62">
        <f t="shared" si="146"/>
        <v>176.87842498964287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0.11658926307657355</v>
      </c>
      <c r="BR156" s="23">
        <f>EXP(-LN(2)/2)*BR155+(1-EXP(-LN(2)/2))/(LN(2)/2)*BL156*BO156*VLOOKUP('Données projet'!$B$11,Paramètres!$A$1:$I$89,3,0)*0.475*44/12</f>
        <v>1.0621906592177145E-17</v>
      </c>
      <c r="BS156" s="24">
        <f t="shared" si="169"/>
        <v>0.11658926307657357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-3.813056537183002E-14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253.16238957399855</v>
      </c>
      <c r="CE156" s="62">
        <f t="shared" si="148"/>
        <v>138.00705940844708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9.6550483485287511E-2</v>
      </c>
      <c r="CM156" s="23">
        <f>EXP(-LN(2)/2)*CM155+(1-EXP(-LN(2)/2))/(LN(2)/2)*CG156*CJ156*VLOOKUP('Données projet'!$B$12,Paramètres!$A$1:$I$89,3,0)*0.475*44/12</f>
        <v>7.1365934916190188E-18</v>
      </c>
      <c r="CN156" s="24">
        <f t="shared" si="172"/>
        <v>9.6550483485287525E-2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-5.7639226724859328E-14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345.67675698621832</v>
      </c>
      <c r="T157" s="62">
        <f t="shared" si="142"/>
        <v>178.72086185623849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219.21539650048186</v>
      </c>
      <c r="AO157" s="62">
        <f t="shared" si="144"/>
        <v>204.10961748628708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0.17455022424662736</v>
      </c>
      <c r="AW157" s="23">
        <f>EXP(-LN(2)/2)*AW156+(1-EXP(-LN(2)/2))/(LN(2)/2)*AQ157*AT157*VLOOKUP('Données projet'!$B$10,Paramètres!$A$1:$I$89,3,0)*0.475*44/12</f>
        <v>1.5775352154150512E-18</v>
      </c>
      <c r="AX157" s="23">
        <f t="shared" si="166"/>
        <v>0.17455022424662736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-5.6752469390630726E-14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341.48836779133632</v>
      </c>
      <c r="BJ157" s="62">
        <f t="shared" si="146"/>
        <v>176.87842498964287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0.11340112354658177</v>
      </c>
      <c r="BR157" s="23">
        <f>EXP(-LN(2)/2)*BR156+(1-EXP(-LN(2)/2))/(LN(2)/2)*BL157*BO157*VLOOKUP('Données projet'!$B$11,Paramètres!$A$1:$I$89,3,0)*0.475*44/12</f>
        <v>7.5108221804585513E-18</v>
      </c>
      <c r="BS157" s="24">
        <f t="shared" si="169"/>
        <v>0.11340112354658179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-3.813056537183002E-14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253.16238957399855</v>
      </c>
      <c r="CE157" s="62">
        <f t="shared" si="148"/>
        <v>138.00705940844708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9.3910305437013064E-2</v>
      </c>
      <c r="CM157" s="23">
        <f>EXP(-LN(2)/2)*CM156+(1-EXP(-LN(2)/2))/(LN(2)/2)*CG157*CJ157*VLOOKUP('Données projet'!$B$12,Paramètres!$A$1:$I$89,3,0)*0.475*44/12</f>
        <v>5.0463336524955888E-18</v>
      </c>
      <c r="CN157" s="24">
        <f t="shared" si="172"/>
        <v>9.3910305437013064E-2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-5.7639226724859328E-14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345.67675698621832</v>
      </c>
      <c r="T158" s="62">
        <f t="shared" si="142"/>
        <v>178.72086185623849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219.21539650048186</v>
      </c>
      <c r="AO158" s="62">
        <f t="shared" si="144"/>
        <v>204.10961748628708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0.16977713918540599</v>
      </c>
      <c r="AW158" s="23">
        <f>EXP(-LN(2)/2)*AW157+(1-EXP(-LN(2)/2))/(LN(2)/2)*AQ158*AT158*VLOOKUP('Données projet'!$B$10,Paramètres!$A$1:$I$89,3,0)*0.475*44/12</f>
        <v>1.1154858483805637E-18</v>
      </c>
      <c r="AX158" s="23">
        <f t="shared" si="166"/>
        <v>0.16977713918540599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-5.6752469390630726E-14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341.48836779133632</v>
      </c>
      <c r="BJ158" s="62">
        <f t="shared" si="146"/>
        <v>176.87842498964287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0.11030016385969459</v>
      </c>
      <c r="BR158" s="23">
        <f>EXP(-LN(2)/2)*BR157+(1-EXP(-LN(2)/2))/(LN(2)/2)*BL158*BO158*VLOOKUP('Données projet'!$B$11,Paramètres!$A$1:$I$89,3,0)*0.475*44/12</f>
        <v>5.3109532960885726E-18</v>
      </c>
      <c r="BS158" s="24">
        <f t="shared" si="169"/>
        <v>0.11030016385969459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-3.813056537183002E-14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253.16238957399855</v>
      </c>
      <c r="CE158" s="62">
        <f t="shared" si="148"/>
        <v>138.00705940844708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9.1342323196309611E-2</v>
      </c>
      <c r="CM158" s="23">
        <f>EXP(-LN(2)/2)*CM157+(1-EXP(-LN(2)/2))/(LN(2)/2)*CG158*CJ158*VLOOKUP('Données projet'!$B$12,Paramètres!$A$1:$I$89,3,0)*0.475*44/12</f>
        <v>3.5682967458095094E-18</v>
      </c>
      <c r="CN158" s="24">
        <f t="shared" si="172"/>
        <v>9.1342323196309611E-2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-5.7639226724859328E-14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345.67675698621832</v>
      </c>
      <c r="T159" s="62">
        <f t="shared" si="142"/>
        <v>178.72086185623849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219.21539650048186</v>
      </c>
      <c r="AO159" s="62">
        <f t="shared" si="144"/>
        <v>204.10961748628708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0.16513457438618934</v>
      </c>
      <c r="AW159" s="23">
        <f>EXP(-LN(2)/2)*AW158+(1-EXP(-LN(2)/2))/(LN(2)/2)*AQ159*AT159*VLOOKUP('Données projet'!$B$10,Paramètres!$A$1:$I$89,3,0)*0.475*44/12</f>
        <v>7.8876760770752561E-19</v>
      </c>
      <c r="AX159" s="23">
        <f t="shared" si="166"/>
        <v>0.16513457438618934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-5.6752469390630726E-14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341.48836779133632</v>
      </c>
      <c r="BJ159" s="62">
        <f t="shared" si="146"/>
        <v>176.87842498964287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0.10728400007851771</v>
      </c>
      <c r="BR159" s="23">
        <f>EXP(-LN(2)/2)*BR158+(1-EXP(-LN(2)/2))/(LN(2)/2)*BL159*BO159*VLOOKUP('Données projet'!$B$11,Paramètres!$A$1:$I$89,3,0)*0.475*44/12</f>
        <v>3.7554110902292756E-18</v>
      </c>
      <c r="BS159" s="24">
        <f t="shared" si="169"/>
        <v>0.10728400007851771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-3.813056537183002E-14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253.16238957399855</v>
      </c>
      <c r="CE159" s="62">
        <f t="shared" si="148"/>
        <v>138.00705940844708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8.8844562565022517E-2</v>
      </c>
      <c r="CM159" s="23">
        <f>EXP(-LN(2)/2)*CM158+(1-EXP(-LN(2)/2))/(LN(2)/2)*CG159*CJ159*VLOOKUP('Données projet'!$B$12,Paramètres!$A$1:$I$89,3,0)*0.475*44/12</f>
        <v>2.5231668262477944E-18</v>
      </c>
      <c r="CN159" s="24">
        <f t="shared" si="172"/>
        <v>8.8844562565022517E-2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-5.7639226724859328E-14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345.67675698621832</v>
      </c>
      <c r="T160" s="62">
        <f t="shared" si="142"/>
        <v>178.72086185623849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219.21539650048186</v>
      </c>
      <c r="AO160" s="62">
        <f t="shared" si="144"/>
        <v>204.10961748628708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0.16061896076554913</v>
      </c>
      <c r="AW160" s="23">
        <f>EXP(-LN(2)/2)*AW159+(1-EXP(-LN(2)/2))/(LN(2)/2)*AQ160*AT160*VLOOKUP('Données projet'!$B$10,Paramètres!$A$1:$I$89,3,0)*0.475*44/12</f>
        <v>5.5774292419028186E-19</v>
      </c>
      <c r="AX160" s="23">
        <f t="shared" si="166"/>
        <v>0.16061896076554913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-5.6752469390630726E-14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341.48836779133632</v>
      </c>
      <c r="BJ160" s="62">
        <f t="shared" si="146"/>
        <v>176.87842498964287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0.10435031345455029</v>
      </c>
      <c r="BR160" s="23">
        <f>EXP(-LN(2)/2)*BR159+(1-EXP(-LN(2)/2))/(LN(2)/2)*BL160*BO160*VLOOKUP('Données projet'!$B$11,Paramètres!$A$1:$I$89,3,0)*0.475*44/12</f>
        <v>2.6554766480442863E-18</v>
      </c>
      <c r="BS160" s="24">
        <f t="shared" si="169"/>
        <v>0.10435031345455029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-3.813056537183002E-14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253.16238957399855</v>
      </c>
      <c r="CE160" s="62">
        <f t="shared" si="148"/>
        <v>138.00705940844708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8.6415103329549492E-2</v>
      </c>
      <c r="CM160" s="23">
        <f>EXP(-LN(2)/2)*CM159+(1-EXP(-LN(2)/2))/(LN(2)/2)*CG160*CJ160*VLOOKUP('Données projet'!$B$12,Paramètres!$A$1:$I$89,3,0)*0.475*44/12</f>
        <v>1.7841483729047547E-18</v>
      </c>
      <c r="CN160" s="24">
        <f t="shared" si="172"/>
        <v>8.6415103329549492E-2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-5.7639226724859328E-14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345.67675698621832</v>
      </c>
      <c r="T161" s="62">
        <f t="shared" si="142"/>
        <v>178.72086185623849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219.21539650048186</v>
      </c>
      <c r="AO161" s="62">
        <f t="shared" si="144"/>
        <v>204.10961748628708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0.15622682683683115</v>
      </c>
      <c r="AW161" s="23">
        <f>EXP(-LN(2)/2)*AW160+(1-EXP(-LN(2)/2))/(LN(2)/2)*AQ161*AT161*VLOOKUP('Données projet'!$B$10,Paramètres!$A$1:$I$89,3,0)*0.475*44/12</f>
        <v>3.943838038537628E-19</v>
      </c>
      <c r="AX161" s="23">
        <f t="shared" si="166"/>
        <v>0.15622682683683115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-5.6752469390630726E-14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341.48836779133632</v>
      </c>
      <c r="BJ161" s="62">
        <f t="shared" si="146"/>
        <v>176.87842498964287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0.10149684864559112</v>
      </c>
      <c r="BR161" s="23">
        <f>EXP(-LN(2)/2)*BR160+(1-EXP(-LN(2)/2))/(LN(2)/2)*BL161*BO161*VLOOKUP('Données projet'!$B$11,Paramètres!$A$1:$I$89,3,0)*0.475*44/12</f>
        <v>1.8777055451146378E-18</v>
      </c>
      <c r="BS161" s="24">
        <f t="shared" si="169"/>
        <v>0.10149684864559112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-3.813056537183002E-14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253.16238957399855</v>
      </c>
      <c r="CE161" s="62">
        <f t="shared" si="148"/>
        <v>138.00705940844708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8.4052077784630183E-2</v>
      </c>
      <c r="CM161" s="23">
        <f>EXP(-LN(2)/2)*CM160+(1-EXP(-LN(2)/2))/(LN(2)/2)*CG161*CJ161*VLOOKUP('Données projet'!$B$12,Paramètres!$A$1:$I$89,3,0)*0.475*44/12</f>
        <v>1.2615834131238972E-18</v>
      </c>
      <c r="CN161" s="24">
        <f t="shared" si="172"/>
        <v>8.4052077784630183E-2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-5.7639226724859328E-14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345.67675698621832</v>
      </c>
      <c r="T162" s="62">
        <f t="shared" si="142"/>
        <v>178.72086185623849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219.21539650048186</v>
      </c>
      <c r="AO162" s="62">
        <f t="shared" si="144"/>
        <v>204.10961748628708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0.15195479604136625</v>
      </c>
      <c r="AW162" s="23">
        <f>EXP(-LN(2)/2)*AW161+(1-EXP(-LN(2)/2))/(LN(2)/2)*AQ162*AT162*VLOOKUP('Données projet'!$B$10,Paramètres!$A$1:$I$89,3,0)*0.475*44/12</f>
        <v>2.7887146209514093E-19</v>
      </c>
      <c r="AX162" s="23">
        <f t="shared" si="166"/>
        <v>0.15195479604136625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-5.6752469390630726E-14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341.48836779133632</v>
      </c>
      <c r="BJ162" s="62">
        <f t="shared" si="146"/>
        <v>176.87842498964287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9.8721411981890134E-2</v>
      </c>
      <c r="BR162" s="23">
        <f>EXP(-LN(2)/2)*BR161+(1-EXP(-LN(2)/2))/(LN(2)/2)*BL162*BO162*VLOOKUP('Données projet'!$B$11,Paramètres!$A$1:$I$89,3,0)*0.475*44/12</f>
        <v>1.3277383240221432E-18</v>
      </c>
      <c r="BS162" s="24">
        <f t="shared" si="169"/>
        <v>9.8721411981890134E-2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-3.813056537183002E-14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253.16238957399855</v>
      </c>
      <c r="CE162" s="62">
        <f t="shared" si="148"/>
        <v>138.00705940844708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8.1753669297502801E-2</v>
      </c>
      <c r="CM162" s="23">
        <f>EXP(-LN(2)/2)*CM161+(1-EXP(-LN(2)/2))/(LN(2)/2)*CG162*CJ162*VLOOKUP('Données projet'!$B$12,Paramètres!$A$1:$I$89,3,0)*0.475*44/12</f>
        <v>8.9207418645237735E-19</v>
      </c>
      <c r="CN162" s="24">
        <f t="shared" si="172"/>
        <v>8.1753669297502801E-2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-5.7639226724859328E-14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345.67675698621832</v>
      </c>
      <c r="T163" s="62">
        <f t="shared" si="142"/>
        <v>178.72086185623849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219.21539650048186</v>
      </c>
      <c r="AO163" s="62">
        <f t="shared" si="144"/>
        <v>204.10961748628708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0.14779958415265965</v>
      </c>
      <c r="AW163" s="23">
        <f>EXP(-LN(2)/2)*AW162+(1-EXP(-LN(2)/2))/(LN(2)/2)*AQ163*AT163*VLOOKUP('Données projet'!$B$10,Paramètres!$A$1:$I$89,3,0)*0.475*44/12</f>
        <v>1.971919019268814E-19</v>
      </c>
      <c r="AX163" s="23">
        <f t="shared" si="166"/>
        <v>0.14779958415265965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-5.6752469390630726E-14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341.48836779133632</v>
      </c>
      <c r="BJ163" s="62">
        <f t="shared" si="146"/>
        <v>176.87842498964287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9.6021869779711916E-2</v>
      </c>
      <c r="BR163" s="23">
        <f>EXP(-LN(2)/2)*BR162+(1-EXP(-LN(2)/2))/(LN(2)/2)*BL163*BO163*VLOOKUP('Données projet'!$B$11,Paramètres!$A$1:$I$89,3,0)*0.475*44/12</f>
        <v>9.3885277255731891E-19</v>
      </c>
      <c r="BS163" s="24">
        <f t="shared" si="169"/>
        <v>9.6021869779711916E-2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-3.813056537183002E-14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253.16238957399855</v>
      </c>
      <c r="CE163" s="62">
        <f t="shared" si="148"/>
        <v>138.00705940844708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7.9518110911323964E-2</v>
      </c>
      <c r="CM163" s="23">
        <f>EXP(-LN(2)/2)*CM162+(1-EXP(-LN(2)/2))/(LN(2)/2)*CG163*CJ163*VLOOKUP('Données projet'!$B$12,Paramètres!$A$1:$I$89,3,0)*0.475*44/12</f>
        <v>6.3079170656194859E-19</v>
      </c>
      <c r="CN163" s="24">
        <f t="shared" si="172"/>
        <v>7.9518110911323964E-2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-5.7639226724859328E-14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345.67675698621832</v>
      </c>
      <c r="T164" s="62">
        <f t="shared" si="142"/>
        <v>178.72086185623849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219.21539650048186</v>
      </c>
      <c r="AO164" s="62">
        <f t="shared" si="144"/>
        <v>204.10961748628708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0.14375799675156284</v>
      </c>
      <c r="AW164" s="23">
        <f>EXP(-LN(2)/2)*AW163+(1-EXP(-LN(2)/2))/(LN(2)/2)*AQ164*AT164*VLOOKUP('Données projet'!$B$10,Paramètres!$A$1:$I$89,3,0)*0.475*44/12</f>
        <v>1.3943573104757046E-19</v>
      </c>
      <c r="AX164" s="23">
        <f t="shared" si="166"/>
        <v>0.14375799675156284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-5.6752469390630726E-14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341.48836779133632</v>
      </c>
      <c r="BJ164" s="62">
        <f t="shared" si="146"/>
        <v>176.87842498964287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9.3396146701015023E-2</v>
      </c>
      <c r="BR164" s="23">
        <f>EXP(-LN(2)/2)*BR163+(1-EXP(-LN(2)/2))/(LN(2)/2)*BL164*BO164*VLOOKUP('Données projet'!$B$11,Paramètres!$A$1:$I$89,3,0)*0.475*44/12</f>
        <v>6.6386916201107158E-19</v>
      </c>
      <c r="BS164" s="24">
        <f t="shared" si="169"/>
        <v>9.3396146701015023E-2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-3.813056537183002E-14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253.16238957399855</v>
      </c>
      <c r="CE164" s="62">
        <f t="shared" si="148"/>
        <v>138.00705940844708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7.73436839867781E-2</v>
      </c>
      <c r="CM164" s="23">
        <f>EXP(-LN(2)/2)*CM163+(1-EXP(-LN(2)/2))/(LN(2)/2)*CG164*CJ164*VLOOKUP('Données projet'!$B$12,Paramètres!$A$1:$I$89,3,0)*0.475*44/12</f>
        <v>4.4603709322618867E-19</v>
      </c>
      <c r="CN164" s="24">
        <f t="shared" si="172"/>
        <v>7.73436839867781E-2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-5.7639226724859328E-14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345.67675698621832</v>
      </c>
      <c r="T165" s="62">
        <f t="shared" si="142"/>
        <v>178.72086185623849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219.21539650048186</v>
      </c>
      <c r="AO165" s="62">
        <f t="shared" si="144"/>
        <v>204.10961748628708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0.13982692677048686</v>
      </c>
      <c r="AW165" s="23">
        <f>EXP(-LN(2)/2)*AW164+(1-EXP(-LN(2)/2))/(LN(2)/2)*AQ165*AT165*VLOOKUP('Données projet'!$B$10,Paramètres!$A$1:$I$89,3,0)*0.475*44/12</f>
        <v>9.8595950963440701E-20</v>
      </c>
      <c r="AX165" s="23">
        <f t="shared" si="166"/>
        <v>0.13982692677048686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-5.6752469390630726E-14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341.48836779133632</v>
      </c>
      <c r="BJ165" s="62">
        <f t="shared" si="146"/>
        <v>176.87842498964287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9.0842224157985874E-2</v>
      </c>
      <c r="BR165" s="23">
        <f>EXP(-LN(2)/2)*BR164+(1-EXP(-LN(2)/2))/(LN(2)/2)*BL165*BO165*VLOOKUP('Données projet'!$B$11,Paramètres!$A$1:$I$89,3,0)*0.475*44/12</f>
        <v>4.6942638627865945E-19</v>
      </c>
      <c r="BS165" s="24">
        <f t="shared" si="169"/>
        <v>9.0842224157985874E-2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-3.813056537183002E-14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253.16238957399855</v>
      </c>
      <c r="CE165" s="62">
        <f t="shared" si="148"/>
        <v>138.00705940844708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7.5228716880832089E-2</v>
      </c>
      <c r="CM165" s="23">
        <f>EXP(-LN(2)/2)*CM164+(1-EXP(-LN(2)/2))/(LN(2)/2)*CG165*CJ165*VLOOKUP('Données projet'!$B$12,Paramètres!$A$1:$I$89,3,0)*0.475*44/12</f>
        <v>3.153958532809743E-19</v>
      </c>
      <c r="CN165" s="24">
        <f t="shared" si="172"/>
        <v>7.5228716880832089E-2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-5.7639226724859328E-14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345.67675698621832</v>
      </c>
      <c r="T166" s="62">
        <f t="shared" si="142"/>
        <v>178.72086185623849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219.21539650048186</v>
      </c>
      <c r="AO166" s="62">
        <f t="shared" si="144"/>
        <v>204.10961748628708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0.13600335210476941</v>
      </c>
      <c r="AW166" s="23">
        <f>EXP(-LN(2)/2)*AW165+(1-EXP(-LN(2)/2))/(LN(2)/2)*AQ166*AT166*VLOOKUP('Données projet'!$B$10,Paramètres!$A$1:$I$89,3,0)*0.475*44/12</f>
        <v>6.9717865523785232E-20</v>
      </c>
      <c r="AX166" s="23">
        <f t="shared" si="166"/>
        <v>0.13600335210476941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-5.6752469390630726E-14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341.48836779133632</v>
      </c>
      <c r="BJ166" s="62">
        <f t="shared" si="146"/>
        <v>176.87842498964287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8.83581387612008E-2</v>
      </c>
      <c r="BR166" s="23">
        <f>EXP(-LN(2)/2)*BR165+(1-EXP(-LN(2)/2))/(LN(2)/2)*BL166*BO166*VLOOKUP('Données projet'!$B$11,Paramètres!$A$1:$I$89,3,0)*0.475*44/12</f>
        <v>3.3193458100553579E-19</v>
      </c>
      <c r="BS166" s="24">
        <f t="shared" si="169"/>
        <v>8.83581387612008E-2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-3.813056537183002E-14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253.16238957399855</v>
      </c>
      <c r="CE166" s="62">
        <f t="shared" si="148"/>
        <v>138.00705940844708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7.3171583661619452E-2</v>
      </c>
      <c r="CM166" s="23">
        <f>EXP(-LN(2)/2)*CM165+(1-EXP(-LN(2)/2))/(LN(2)/2)*CG166*CJ166*VLOOKUP('Données projet'!$B$12,Paramètres!$A$1:$I$89,3,0)*0.475*44/12</f>
        <v>2.2301854661309434E-19</v>
      </c>
      <c r="CN166" s="24">
        <f t="shared" si="172"/>
        <v>7.3171583661619452E-2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-5.7639226724859328E-14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345.67675698621832</v>
      </c>
      <c r="T167" s="62">
        <f t="shared" si="142"/>
        <v>178.72086185623849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219.21539650048186</v>
      </c>
      <c r="AO167" s="62">
        <f t="shared" si="144"/>
        <v>204.10961748628708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0.13228433328935904</v>
      </c>
      <c r="AW167" s="23">
        <f>EXP(-LN(2)/2)*AW166+(1-EXP(-LN(2)/2))/(LN(2)/2)*AQ167*AT167*VLOOKUP('Données projet'!$B$10,Paramètres!$A$1:$I$89,3,0)*0.475*44/12</f>
        <v>4.929797548172035E-20</v>
      </c>
      <c r="AX167" s="23">
        <f t="shared" si="166"/>
        <v>0.13228433328935904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-5.6752469390630726E-14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341.48836779133632</v>
      </c>
      <c r="BJ167" s="62">
        <f t="shared" si="146"/>
        <v>176.87842498964287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8.5941980810223195E-2</v>
      </c>
      <c r="BR167" s="23">
        <f>EXP(-LN(2)/2)*BR166+(1-EXP(-LN(2)/2))/(LN(2)/2)*BL167*BO167*VLOOKUP('Données projet'!$B$11,Paramètres!$A$1:$I$89,3,0)*0.475*44/12</f>
        <v>2.3471319313932973E-19</v>
      </c>
      <c r="BS167" s="24">
        <f t="shared" si="169"/>
        <v>8.5941980810223195E-2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-3.813056537183002E-14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253.16238957399855</v>
      </c>
      <c r="CE167" s="62">
        <f t="shared" si="148"/>
        <v>138.00705940844708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7.117070285846612E-2</v>
      </c>
      <c r="CM167" s="23">
        <f>EXP(-LN(2)/2)*CM166+(1-EXP(-LN(2)/2))/(LN(2)/2)*CG167*CJ167*VLOOKUP('Données projet'!$B$12,Paramètres!$A$1:$I$89,3,0)*0.475*44/12</f>
        <v>1.5769792664048715E-19</v>
      </c>
      <c r="CN167" s="24">
        <f t="shared" si="172"/>
        <v>7.117070285846612E-2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-5.7639226724859328E-14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345.67675698621832</v>
      </c>
      <c r="T168" s="62">
        <f t="shared" si="142"/>
        <v>178.72086185623849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219.21539650048186</v>
      </c>
      <c r="AO168" s="62">
        <f t="shared" si="144"/>
        <v>204.10961748628708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0.12866701123903077</v>
      </c>
      <c r="AW168" s="23">
        <f>EXP(-LN(2)/2)*AW167+(1-EXP(-LN(2)/2))/(LN(2)/2)*AQ168*AT168*VLOOKUP('Données projet'!$B$10,Paramètres!$A$1:$I$89,3,0)*0.475*44/12</f>
        <v>3.4858932761892616E-20</v>
      </c>
      <c r="AX168" s="23">
        <f t="shared" si="166"/>
        <v>0.12866701123903077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-5.6752469390630726E-14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341.48836779133632</v>
      </c>
      <c r="BJ168" s="62">
        <f t="shared" si="146"/>
        <v>176.87842498964287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8.35918928254753E-2</v>
      </c>
      <c r="BR168" s="23">
        <f>EXP(-LN(2)/2)*BR167+(1-EXP(-LN(2)/2))/(LN(2)/2)*BL168*BO168*VLOOKUP('Données projet'!$B$11,Paramètres!$A$1:$I$89,3,0)*0.475*44/12</f>
        <v>1.659672905027679E-19</v>
      </c>
      <c r="BS168" s="24">
        <f t="shared" si="169"/>
        <v>8.35918928254753E-2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-3.813056537183002E-14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253.16238957399855</v>
      </c>
      <c r="CE168" s="62">
        <f t="shared" si="148"/>
        <v>138.00705940844708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6.9224536246096757E-2</v>
      </c>
      <c r="CM168" s="23">
        <f>EXP(-LN(2)/2)*CM167+(1-EXP(-LN(2)/2))/(LN(2)/2)*CG168*CJ168*VLOOKUP('Données projet'!$B$12,Paramètres!$A$1:$I$89,3,0)*0.475*44/12</f>
        <v>1.1150927330654717E-19</v>
      </c>
      <c r="CN168" s="24">
        <f t="shared" si="172"/>
        <v>6.9224536246096757E-2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-5.7639226724859328E-14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345.67675698621832</v>
      </c>
      <c r="T169" s="62">
        <f t="shared" si="142"/>
        <v>178.72086185623849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219.21539650048186</v>
      </c>
      <c r="AO169" s="62">
        <f t="shared" si="144"/>
        <v>204.10961748628708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0.12514860505039543</v>
      </c>
      <c r="AW169" s="23">
        <f>EXP(-LN(2)/2)*AW168+(1-EXP(-LN(2)/2))/(LN(2)/2)*AQ169*AT169*VLOOKUP('Données projet'!$B$10,Paramètres!$A$1:$I$89,3,0)*0.475*44/12</f>
        <v>2.4648987740860175E-20</v>
      </c>
      <c r="AX169" s="23">
        <f t="shared" si="166"/>
        <v>0.12514860505039543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-5.6752469390630726E-14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341.48836779133632</v>
      </c>
      <c r="BJ169" s="62">
        <f t="shared" si="146"/>
        <v>176.87842498964287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8.1306068120256092E-2</v>
      </c>
      <c r="BR169" s="23">
        <f>EXP(-LN(2)/2)*BR168+(1-EXP(-LN(2)/2))/(LN(2)/2)*BL169*BO169*VLOOKUP('Données projet'!$B$11,Paramètres!$A$1:$I$89,3,0)*0.475*44/12</f>
        <v>1.1735659656966486E-19</v>
      </c>
      <c r="BS169" s="24">
        <f t="shared" si="169"/>
        <v>8.1306068120256092E-2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-3.813056537183002E-14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253.16238957399855</v>
      </c>
      <c r="CE169" s="62">
        <f t="shared" si="148"/>
        <v>138.00705940844708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6.7331587662087092E-2</v>
      </c>
      <c r="CM169" s="23">
        <f>EXP(-LN(2)/2)*CM168+(1-EXP(-LN(2)/2))/(LN(2)/2)*CG169*CJ169*VLOOKUP('Données projet'!$B$12,Paramètres!$A$1:$I$89,3,0)*0.475*44/12</f>
        <v>7.8848963320243574E-20</v>
      </c>
      <c r="CN169" s="24">
        <f t="shared" si="172"/>
        <v>6.7331587662087092E-2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-5.7639226724859328E-14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345.67675698621832</v>
      </c>
      <c r="T170" s="62">
        <f t="shared" si="142"/>
        <v>178.72086185623849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219.21539650048186</v>
      </c>
      <c r="AO170" s="62">
        <f t="shared" si="144"/>
        <v>204.10961748628708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0.12172640986401326</v>
      </c>
      <c r="AW170" s="23">
        <f>EXP(-LN(2)/2)*AW169+(1-EXP(-LN(2)/2))/(LN(2)/2)*AQ170*AT170*VLOOKUP('Données projet'!$B$10,Paramètres!$A$1:$I$89,3,0)*0.475*44/12</f>
        <v>1.7429466380946308E-20</v>
      </c>
      <c r="AX170" s="23">
        <f t="shared" si="166"/>
        <v>0.12172640986401326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-5.6752469390630726E-14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341.48836779133632</v>
      </c>
      <c r="BJ170" s="62">
        <f t="shared" si="146"/>
        <v>176.87842498964287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7.9082749411807388E-2</v>
      </c>
      <c r="BR170" s="23">
        <f>EXP(-LN(2)/2)*BR169+(1-EXP(-LN(2)/2))/(LN(2)/2)*BL170*BO170*VLOOKUP('Données projet'!$B$11,Paramètres!$A$1:$I$89,3,0)*0.475*44/12</f>
        <v>8.2983645251383948E-20</v>
      </c>
      <c r="BS170" s="24">
        <f t="shared" si="169"/>
        <v>7.9082749411807388E-2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-3.813056537183002E-14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253.16238957399855</v>
      </c>
      <c r="CE170" s="62">
        <f t="shared" si="148"/>
        <v>138.00705940844708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6.5490401856653016E-2</v>
      </c>
      <c r="CM170" s="23">
        <f>EXP(-LN(2)/2)*CM169+(1-EXP(-LN(2)/2))/(LN(2)/2)*CG170*CJ170*VLOOKUP('Données projet'!$B$12,Paramètres!$A$1:$I$89,3,0)*0.475*44/12</f>
        <v>5.5754636653273584E-20</v>
      </c>
      <c r="CN170" s="24">
        <f t="shared" si="172"/>
        <v>6.5490401856653016E-2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-5.7639226724859328E-14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345.67675698621832</v>
      </c>
      <c r="T171" s="62">
        <f t="shared" si="142"/>
        <v>178.72086185623849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219.21539650048186</v>
      </c>
      <c r="AO171" s="62">
        <f t="shared" si="144"/>
        <v>204.10961748628708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0.11839779478496813</v>
      </c>
      <c r="AW171" s="23">
        <f>EXP(-LN(2)/2)*AW170+(1-EXP(-LN(2)/2))/(LN(2)/2)*AQ171*AT171*VLOOKUP('Données projet'!$B$10,Paramètres!$A$1:$I$89,3,0)*0.475*44/12</f>
        <v>1.2324493870430088E-20</v>
      </c>
      <c r="AX171" s="23">
        <f t="shared" si="166"/>
        <v>0.11839779478496813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-5.6752469390630726E-14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341.48836779133632</v>
      </c>
      <c r="BJ171" s="62">
        <f t="shared" si="146"/>
        <v>176.87842498964287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7.6920227470360467E-2</v>
      </c>
      <c r="BR171" s="23">
        <f>EXP(-LN(2)/2)*BR170+(1-EXP(-LN(2)/2))/(LN(2)/2)*BL171*BO171*VLOOKUP('Données projet'!$B$11,Paramètres!$A$1:$I$89,3,0)*0.475*44/12</f>
        <v>5.8678298284832432E-20</v>
      </c>
      <c r="BS171" s="24">
        <f t="shared" si="169"/>
        <v>7.6920227470360467E-2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-3.813056537183002E-14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253.16238957399855</v>
      </c>
      <c r="CE171" s="62">
        <f t="shared" si="148"/>
        <v>138.00705940844708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6.3699563373892293E-2</v>
      </c>
      <c r="CM171" s="23">
        <f>EXP(-LN(2)/2)*CM170+(1-EXP(-LN(2)/2))/(LN(2)/2)*CG171*CJ171*VLOOKUP('Données projet'!$B$12,Paramètres!$A$1:$I$89,3,0)*0.475*44/12</f>
        <v>3.9424481660121787E-20</v>
      </c>
      <c r="CN171" s="24">
        <f t="shared" si="172"/>
        <v>6.3699563373892293E-2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-5.7639226724859328E-14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345.67675698621832</v>
      </c>
      <c r="T172" s="62">
        <f t="shared" si="142"/>
        <v>178.72086185623849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219.21539650048186</v>
      </c>
      <c r="AO172" s="62">
        <f t="shared" si="144"/>
        <v>204.10961748628708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0.11516020086030375</v>
      </c>
      <c r="AW172" s="23">
        <f>EXP(-LN(2)/2)*AW171+(1-EXP(-LN(2)/2))/(LN(2)/2)*AQ172*AT172*VLOOKUP('Données projet'!$B$10,Paramètres!$A$1:$I$89,3,0)*0.475*44/12</f>
        <v>8.714733190473154E-21</v>
      </c>
      <c r="AX172" s="23">
        <f t="shared" si="166"/>
        <v>0.11516020086030375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-5.6752469390630726E-14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341.48836779133632</v>
      </c>
      <c r="BJ172" s="62">
        <f t="shared" si="146"/>
        <v>176.87842498964287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7.4816839805124505E-2</v>
      </c>
      <c r="BR172" s="23">
        <f>EXP(-LN(2)/2)*BR171+(1-EXP(-LN(2)/2))/(LN(2)/2)*BL172*BO172*VLOOKUP('Données projet'!$B$11,Paramètres!$A$1:$I$89,3,0)*0.475*44/12</f>
        <v>4.1491822625691974E-20</v>
      </c>
      <c r="BS172" s="24">
        <f t="shared" si="169"/>
        <v>7.4816839805124505E-2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-3.813056537183002E-14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253.16238957399855</v>
      </c>
      <c r="CE172" s="62">
        <f t="shared" si="148"/>
        <v>138.00705940844708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6.1957695463618755E-2</v>
      </c>
      <c r="CM172" s="23">
        <f>EXP(-LN(2)/2)*CM171+(1-EXP(-LN(2)/2))/(LN(2)/2)*CG172*CJ172*VLOOKUP('Données projet'!$B$12,Paramètres!$A$1:$I$89,3,0)*0.475*44/12</f>
        <v>2.7877318326636792E-20</v>
      </c>
      <c r="CN172" s="24">
        <f t="shared" si="172"/>
        <v>6.1957695463618755E-2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-5.7639226724859328E-14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345.67675698621832</v>
      </c>
      <c r="T173" s="62">
        <f t="shared" si="142"/>
        <v>178.72086185623849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219.21539650048186</v>
      </c>
      <c r="AO173" s="62">
        <f t="shared" si="144"/>
        <v>204.10961748628708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0.11201113911176698</v>
      </c>
      <c r="AW173" s="23">
        <f>EXP(-LN(2)/2)*AW172+(1-EXP(-LN(2)/2))/(LN(2)/2)*AQ173*AT173*VLOOKUP('Données projet'!$B$10,Paramètres!$A$1:$I$89,3,0)*0.475*44/12</f>
        <v>6.1622469352150438E-21</v>
      </c>
      <c r="AX173" s="23">
        <f t="shared" si="166"/>
        <v>0.11201113911176698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-5.6752469390630726E-14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341.48836779133632</v>
      </c>
      <c r="BJ173" s="62">
        <f t="shared" si="146"/>
        <v>176.87842498964287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7.2770969386206766E-2</v>
      </c>
      <c r="BR173" s="23">
        <f>EXP(-LN(2)/2)*BR172+(1-EXP(-LN(2)/2))/(LN(2)/2)*BL173*BO173*VLOOKUP('Données projet'!$B$11,Paramètres!$A$1:$I$89,3,0)*0.475*44/12</f>
        <v>2.9339149142416216E-20</v>
      </c>
      <c r="BS173" s="24">
        <f t="shared" si="169"/>
        <v>7.2770969386206766E-2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-3.813056537183002E-14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253.16238957399855</v>
      </c>
      <c r="CE173" s="62">
        <f t="shared" si="148"/>
        <v>138.00705940844708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6.0263459022952499E-2</v>
      </c>
      <c r="CM173" s="23">
        <f>EXP(-LN(2)/2)*CM172+(1-EXP(-LN(2)/2))/(LN(2)/2)*CG173*CJ173*VLOOKUP('Données projet'!$B$12,Paramètres!$A$1:$I$89,3,0)*0.475*44/12</f>
        <v>1.9712240830060894E-20</v>
      </c>
      <c r="CN173" s="24">
        <f t="shared" si="172"/>
        <v>6.0263459022952499E-2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-5.7639226724859328E-14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345.67675698621832</v>
      </c>
      <c r="T174" s="62">
        <f t="shared" si="142"/>
        <v>178.72086185623849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219.21539650048186</v>
      </c>
      <c r="AO174" s="62">
        <f t="shared" si="144"/>
        <v>204.10961748628708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0.10894818862234591</v>
      </c>
      <c r="AW174" s="23">
        <f>EXP(-LN(2)/2)*AW173+(1-EXP(-LN(2)/2))/(LN(2)/2)*AQ174*AT174*VLOOKUP('Données projet'!$B$10,Paramètres!$A$1:$I$89,3,0)*0.475*44/12</f>
        <v>4.357366595236577E-21</v>
      </c>
      <c r="AX174" s="23">
        <f t="shared" si="166"/>
        <v>0.10894818862234591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-5.6752469390630726E-14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341.48836779133632</v>
      </c>
      <c r="BJ174" s="62">
        <f t="shared" si="146"/>
        <v>176.87842498964287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7.0781043401481988E-2</v>
      </c>
      <c r="BR174" s="23">
        <f>EXP(-LN(2)/2)*BR173+(1-EXP(-LN(2)/2))/(LN(2)/2)*BL174*BO174*VLOOKUP('Données projet'!$B$11,Paramètres!$A$1:$I$89,3,0)*0.475*44/12</f>
        <v>2.0745911312845987E-20</v>
      </c>
      <c r="BS174" s="24">
        <f t="shared" si="169"/>
        <v>7.0781043401481988E-2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-3.813056537183002E-14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253.16238957399855</v>
      </c>
      <c r="CE174" s="62">
        <f t="shared" si="148"/>
        <v>138.00705940844708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5.8615551566852289E-2</v>
      </c>
      <c r="CM174" s="23">
        <f>EXP(-LN(2)/2)*CM173+(1-EXP(-LN(2)/2))/(LN(2)/2)*CG174*CJ174*VLOOKUP('Données projet'!$B$12,Paramètres!$A$1:$I$89,3,0)*0.475*44/12</f>
        <v>1.3938659163318396E-20</v>
      </c>
      <c r="CN174" s="24">
        <f t="shared" si="172"/>
        <v>5.8615551566852289E-2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-5.7639226724859328E-14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345.67675698621832</v>
      </c>
      <c r="T175" s="62">
        <f t="shared" si="142"/>
        <v>178.72086185623849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219.21539650048186</v>
      </c>
      <c r="AO175" s="62">
        <f t="shared" si="144"/>
        <v>204.10961748628708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0.10596899467513163</v>
      </c>
      <c r="AW175" s="23">
        <f>EXP(-LN(2)/2)*AW174+(1-EXP(-LN(2)/2))/(LN(2)/2)*AQ175*AT175*VLOOKUP('Données projet'!$B$10,Paramètres!$A$1:$I$89,3,0)*0.475*44/12</f>
        <v>3.0811234676075219E-21</v>
      </c>
      <c r="AX175" s="23">
        <f t="shared" si="166"/>
        <v>0.10596899467513163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-5.6752469390630726E-14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341.48836779133632</v>
      </c>
      <c r="BJ175" s="62">
        <f t="shared" si="146"/>
        <v>176.87842498964287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6.8845532047455166E-2</v>
      </c>
      <c r="BR175" s="23">
        <f>EXP(-LN(2)/2)*BR174+(1-EXP(-LN(2)/2))/(LN(2)/2)*BL175*BO175*VLOOKUP('Données projet'!$B$11,Paramètres!$A$1:$I$89,3,0)*0.475*44/12</f>
        <v>1.4669574571208108E-20</v>
      </c>
      <c r="BS175" s="24">
        <f t="shared" si="169"/>
        <v>6.8845532047455166E-2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-3.813056537183002E-14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253.16238957399855</v>
      </c>
      <c r="CE175" s="62">
        <f t="shared" si="148"/>
        <v>138.00705940844708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5.7012706226798826E-2</v>
      </c>
      <c r="CM175" s="23">
        <f>EXP(-LN(2)/2)*CM174+(1-EXP(-LN(2)/2))/(LN(2)/2)*CG175*CJ175*VLOOKUP('Données projet'!$B$12,Paramètres!$A$1:$I$89,3,0)*0.475*44/12</f>
        <v>9.8561204150304468E-21</v>
      </c>
      <c r="CN175" s="24">
        <f t="shared" si="172"/>
        <v>5.7012706226798826E-2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-5.7639226724859328E-14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345.67675698621832</v>
      </c>
      <c r="T176" s="62">
        <f t="shared" si="142"/>
        <v>178.72086185623849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219.21539650048186</v>
      </c>
      <c r="AO176" s="62">
        <f t="shared" si="144"/>
        <v>204.10961748628708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0.10307126694307292</v>
      </c>
      <c r="AW176" s="23">
        <f>EXP(-LN(2)/2)*AW175+(1-EXP(-LN(2)/2))/(LN(2)/2)*AQ176*AT176*VLOOKUP('Données projet'!$B$10,Paramètres!$A$1:$I$89,3,0)*0.475*44/12</f>
        <v>2.1786832976182885E-21</v>
      </c>
      <c r="AX176" s="23">
        <f t="shared" si="166"/>
        <v>0.10307126694307292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-5.6752469390630726E-14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341.48836779133632</v>
      </c>
      <c r="BJ176" s="62">
        <f t="shared" si="146"/>
        <v>176.87842498964287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6.6962947353188321E-2</v>
      </c>
      <c r="BR176" s="23">
        <f>EXP(-LN(2)/2)*BR175+(1-EXP(-LN(2)/2))/(LN(2)/2)*BL176*BO176*VLOOKUP('Données projet'!$B$11,Paramètres!$A$1:$I$89,3,0)*0.475*44/12</f>
        <v>1.0372955656422993E-20</v>
      </c>
      <c r="BS176" s="24">
        <f t="shared" si="169"/>
        <v>6.6962947353188321E-2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-3.813056537183002E-14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253.16238957399855</v>
      </c>
      <c r="CE176" s="62">
        <f t="shared" si="148"/>
        <v>138.00705940844708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5.5453690776859098E-2</v>
      </c>
      <c r="CM176" s="23">
        <f>EXP(-LN(2)/2)*CM175+(1-EXP(-LN(2)/2))/(LN(2)/2)*CG176*CJ176*VLOOKUP('Données projet'!$B$12,Paramètres!$A$1:$I$89,3,0)*0.475*44/12</f>
        <v>6.969329581659198E-21</v>
      </c>
      <c r="CN176" s="24">
        <f t="shared" si="172"/>
        <v>5.5453690776859098E-2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-5.7639226724859328E-14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345.67675698621832</v>
      </c>
      <c r="T177" s="62">
        <f t="shared" si="142"/>
        <v>178.72086185623849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219.21539650048186</v>
      </c>
      <c r="AO177" s="62">
        <f t="shared" si="144"/>
        <v>204.10961748628708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0.10025277772823224</v>
      </c>
      <c r="AW177" s="23">
        <f>EXP(-LN(2)/2)*AW176+(1-EXP(-LN(2)/2))/(LN(2)/2)*AQ177*AT177*VLOOKUP('Données projet'!$B$10,Paramètres!$A$1:$I$89,3,0)*0.475*44/12</f>
        <v>1.540561733803761E-21</v>
      </c>
      <c r="AX177" s="23">
        <f t="shared" si="166"/>
        <v>0.10025277772823224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-5.6752469390630726E-14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341.48836779133632</v>
      </c>
      <c r="BJ177" s="62">
        <f t="shared" si="146"/>
        <v>176.87842498964287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6.5131842036387028E-2</v>
      </c>
      <c r="BR177" s="23">
        <f>EXP(-LN(2)/2)*BR176+(1-EXP(-LN(2)/2))/(LN(2)/2)*BL177*BO177*VLOOKUP('Données projet'!$B$11,Paramètres!$A$1:$I$89,3,0)*0.475*44/12</f>
        <v>7.334787285604054E-21</v>
      </c>
      <c r="BS177" s="24">
        <f t="shared" si="169"/>
        <v>6.5131842036387028E-2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-3.813056537183002E-14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253.16238957399855</v>
      </c>
      <c r="CE177" s="62">
        <f t="shared" si="148"/>
        <v>138.00705940844708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5.3937306686383031E-2</v>
      </c>
      <c r="CM177" s="23">
        <f>EXP(-LN(2)/2)*CM176+(1-EXP(-LN(2)/2))/(LN(2)/2)*CG177*CJ177*VLOOKUP('Données projet'!$B$12,Paramètres!$A$1:$I$89,3,0)*0.475*44/12</f>
        <v>4.9280602075152234E-21</v>
      </c>
      <c r="CN177" s="24">
        <f t="shared" si="172"/>
        <v>5.3937306686383031E-2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-5.7639226724859328E-14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345.67675698621832</v>
      </c>
      <c r="T178" s="62">
        <f t="shared" si="142"/>
        <v>178.72086185623849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219.21539650048186</v>
      </c>
      <c r="AO178" s="62">
        <f t="shared" si="144"/>
        <v>204.10961748628708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9.7511360249189286E-2</v>
      </c>
      <c r="AW178" s="23">
        <f>EXP(-LN(2)/2)*AW177+(1-EXP(-LN(2)/2))/(LN(2)/2)*AQ178*AT178*VLOOKUP('Données projet'!$B$10,Paramètres!$A$1:$I$89,3,0)*0.475*44/12</f>
        <v>1.0893416488091442E-21</v>
      </c>
      <c r="AX178" s="23">
        <f t="shared" si="166"/>
        <v>9.7511360249189286E-2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-5.6752469390630726E-14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341.48836779133632</v>
      </c>
      <c r="BJ178" s="62">
        <f t="shared" si="146"/>
        <v>176.87842498964287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6.3350808390767316E-2</v>
      </c>
      <c r="BR178" s="23">
        <f>EXP(-LN(2)/2)*BR177+(1-EXP(-LN(2)/2))/(LN(2)/2)*BL178*BO178*VLOOKUP('Données projet'!$B$11,Paramètres!$A$1:$I$89,3,0)*0.475*44/12</f>
        <v>5.1864778282114967E-21</v>
      </c>
      <c r="BS178" s="24">
        <f t="shared" si="169"/>
        <v>6.3350808390767316E-2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-3.813056537183002E-14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253.16238957399855</v>
      </c>
      <c r="CE178" s="62">
        <f t="shared" si="148"/>
        <v>138.00705940844708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5.2462388198604201E-2</v>
      </c>
      <c r="CM178" s="23">
        <f>EXP(-LN(2)/2)*CM177+(1-EXP(-LN(2)/2))/(LN(2)/2)*CG178*CJ178*VLOOKUP('Données projet'!$B$12,Paramètres!$A$1:$I$89,3,0)*0.475*44/12</f>
        <v>3.484664790829599E-21</v>
      </c>
      <c r="CN178" s="24">
        <f t="shared" si="172"/>
        <v>5.2462388198604201E-2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-5.7639226724859328E-14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345.67675698621832</v>
      </c>
      <c r="T179" s="62">
        <f t="shared" si="142"/>
        <v>178.72086185623849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219.21539650048186</v>
      </c>
      <c r="AO179" s="62">
        <f t="shared" si="144"/>
        <v>204.10961748628708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9.4844906975275631E-2</v>
      </c>
      <c r="AW179" s="23">
        <f>EXP(-LN(2)/2)*AW178+(1-EXP(-LN(2)/2))/(LN(2)/2)*AQ179*AT179*VLOOKUP('Données projet'!$B$10,Paramètres!$A$1:$I$89,3,0)*0.475*44/12</f>
        <v>7.7028086690188048E-22</v>
      </c>
      <c r="AX179" s="23">
        <f t="shared" si="166"/>
        <v>9.4844906975275631E-2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-5.6752469390630726E-14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341.48836779133632</v>
      </c>
      <c r="BJ179" s="62">
        <f t="shared" si="146"/>
        <v>176.87842498964287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6.1618477203847562E-2</v>
      </c>
      <c r="BR179" s="23">
        <f>EXP(-LN(2)/2)*BR178+(1-EXP(-LN(2)/2))/(LN(2)/2)*BL179*BO179*VLOOKUP('Données projet'!$B$11,Paramètres!$A$1:$I$89,3,0)*0.475*44/12</f>
        <v>3.667393642802027E-21</v>
      </c>
      <c r="BS179" s="24">
        <f t="shared" si="169"/>
        <v>6.1618477203847562E-2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-3.813056537183002E-14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253.16238957399855</v>
      </c>
      <c r="CE179" s="62">
        <f t="shared" si="148"/>
        <v>138.00705940844708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5.1027801434436276E-2</v>
      </c>
      <c r="CM179" s="23">
        <f>EXP(-LN(2)/2)*CM178+(1-EXP(-LN(2)/2))/(LN(2)/2)*CG179*CJ179*VLOOKUP('Données projet'!$B$12,Paramètres!$A$1:$I$89,3,0)*0.475*44/12</f>
        <v>2.4640301037576117E-21</v>
      </c>
      <c r="CN179" s="24">
        <f t="shared" si="172"/>
        <v>5.1027801434436276E-2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-5.7639226724859328E-14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345.67675698621832</v>
      </c>
      <c r="T180" s="62">
        <f t="shared" si="142"/>
        <v>178.72086185623849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219.21539650048186</v>
      </c>
      <c r="AO180" s="62">
        <f t="shared" si="144"/>
        <v>204.10961748628708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9.225136800635983E-2</v>
      </c>
      <c r="AW180" s="23">
        <f>EXP(-LN(2)/2)*AW179+(1-EXP(-LN(2)/2))/(LN(2)/2)*AQ180*AT180*VLOOKUP('Données projet'!$B$10,Paramètres!$A$1:$I$89,3,0)*0.475*44/12</f>
        <v>5.4467082440457212E-22</v>
      </c>
      <c r="AX180" s="23">
        <f t="shared" si="166"/>
        <v>9.225136800635983E-2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-5.6752469390630726E-14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341.48836779133632</v>
      </c>
      <c r="BJ180" s="62">
        <f t="shared" si="146"/>
        <v>176.87842498964287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5.9933516704333466E-2</v>
      </c>
      <c r="BR180" s="23">
        <f>EXP(-LN(2)/2)*BR179+(1-EXP(-LN(2)/2))/(LN(2)/2)*BL180*BO180*VLOOKUP('Données projet'!$B$11,Paramètres!$A$1:$I$89,3,0)*0.475*44/12</f>
        <v>2.5932389141057484E-21</v>
      </c>
      <c r="BS180" s="24">
        <f t="shared" si="169"/>
        <v>5.9933516704333466E-2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-3.813056537183002E-14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253.16238957399855</v>
      </c>
      <c r="CE180" s="62">
        <f t="shared" si="148"/>
        <v>138.00705940844708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4.9632443520776164E-2</v>
      </c>
      <c r="CM180" s="23">
        <f>EXP(-LN(2)/2)*CM179+(1-EXP(-LN(2)/2))/(LN(2)/2)*CG180*CJ180*VLOOKUP('Données projet'!$B$12,Paramètres!$A$1:$I$89,3,0)*0.475*44/12</f>
        <v>1.7423323954147995E-21</v>
      </c>
      <c r="CN180" s="24">
        <f t="shared" si="172"/>
        <v>4.9632443520776164E-2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-5.7639226724859328E-14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345.67675698621832</v>
      </c>
      <c r="T181" s="62">
        <f t="shared" si="142"/>
        <v>178.72086185623849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219.21539650048186</v>
      </c>
      <c r="AO181" s="62">
        <f t="shared" si="144"/>
        <v>204.10961748628708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8.9728749496937321E-2</v>
      </c>
      <c r="AW181" s="23">
        <f>EXP(-LN(2)/2)*AW180+(1-EXP(-LN(2)/2))/(LN(2)/2)*AQ181*AT181*VLOOKUP('Données projet'!$B$10,Paramètres!$A$1:$I$89,3,0)*0.475*44/12</f>
        <v>3.8514043345094024E-22</v>
      </c>
      <c r="AX181" s="23">
        <f t="shared" si="166"/>
        <v>8.9728749496937321E-2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-5.6752469390630726E-14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341.48836779133632</v>
      </c>
      <c r="BJ181" s="62">
        <f t="shared" si="146"/>
        <v>176.87842498964287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5.8294631538286804E-2</v>
      </c>
      <c r="BR181" s="23">
        <f>EXP(-LN(2)/2)*BR180+(1-EXP(-LN(2)/2))/(LN(2)/2)*BL181*BO181*VLOOKUP('Données projet'!$B$11,Paramètres!$A$1:$I$89,3,0)*0.475*44/12</f>
        <v>1.8336968214010135E-21</v>
      </c>
      <c r="BS181" s="24">
        <f t="shared" si="169"/>
        <v>5.8294631538286804E-2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-3.813056537183002E-14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253.16238957399855</v>
      </c>
      <c r="CE181" s="62">
        <f t="shared" si="148"/>
        <v>138.00705940844708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4.8275241742643769E-2</v>
      </c>
      <c r="CM181" s="23">
        <f>EXP(-LN(2)/2)*CM180+(1-EXP(-LN(2)/2))/(LN(2)/2)*CG181*CJ181*VLOOKUP('Données projet'!$B$12,Paramètres!$A$1:$I$89,3,0)*0.475*44/12</f>
        <v>1.2320150518788058E-21</v>
      </c>
      <c r="CN181" s="24">
        <f t="shared" si="172"/>
        <v>4.8275241742643769E-2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-5.7639226724859328E-14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345.67675698621832</v>
      </c>
      <c r="T182" s="62">
        <f t="shared" si="142"/>
        <v>178.72086185623849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219.21539650048186</v>
      </c>
      <c r="AO182" s="62">
        <f t="shared" si="144"/>
        <v>204.10961748628708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8.7275112123313708E-2</v>
      </c>
      <c r="AW182" s="23">
        <f>EXP(-LN(2)/2)*AW181+(1-EXP(-LN(2)/2))/(LN(2)/2)*AQ182*AT182*VLOOKUP('Données projet'!$B$10,Paramètres!$A$1:$I$89,3,0)*0.475*44/12</f>
        <v>2.7233541220228606E-22</v>
      </c>
      <c r="AX182" s="23">
        <f t="shared" si="166"/>
        <v>8.7275112123313708E-2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-5.6752469390630726E-14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341.48836779133632</v>
      </c>
      <c r="BJ182" s="62">
        <f t="shared" si="146"/>
        <v>176.87842498964287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5.6700561773290914E-2</v>
      </c>
      <c r="BR182" s="23">
        <f>EXP(-LN(2)/2)*BR181+(1-EXP(-LN(2)/2))/(LN(2)/2)*BL182*BO182*VLOOKUP('Données projet'!$B$11,Paramètres!$A$1:$I$89,3,0)*0.475*44/12</f>
        <v>1.2966194570528742E-21</v>
      </c>
      <c r="BS182" s="24">
        <f t="shared" si="169"/>
        <v>5.6700561773290914E-2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-3.813056537183002E-14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253.16238957399855</v>
      </c>
      <c r="CE182" s="62">
        <f t="shared" si="148"/>
        <v>138.00705940844708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4.6955152718506546E-2</v>
      </c>
      <c r="CM182" s="23">
        <f>EXP(-LN(2)/2)*CM181+(1-EXP(-LN(2)/2))/(LN(2)/2)*CG182*CJ182*VLOOKUP('Données projet'!$B$12,Paramètres!$A$1:$I$89,3,0)*0.475*44/12</f>
        <v>8.7116619770739976E-22</v>
      </c>
      <c r="CN182" s="24">
        <f t="shared" si="172"/>
        <v>4.6955152718506546E-2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-5.7639226724859328E-14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345.67675698621832</v>
      </c>
      <c r="T183" s="62">
        <f t="shared" si="142"/>
        <v>178.72086185623849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219.21539650048186</v>
      </c>
      <c r="AO183" s="62">
        <f t="shared" si="144"/>
        <v>204.10961748628708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8.4888569592703023E-2</v>
      </c>
      <c r="AW183" s="23">
        <f>EXP(-LN(2)/2)*AW182+(1-EXP(-LN(2)/2))/(LN(2)/2)*AQ183*AT183*VLOOKUP('Données projet'!$B$10,Paramètres!$A$1:$I$89,3,0)*0.475*44/12</f>
        <v>1.9257021672547012E-22</v>
      </c>
      <c r="AX183" s="23">
        <f t="shared" si="166"/>
        <v>8.4888569592703023E-2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-5.6752469390630726E-14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341.48836779133632</v>
      </c>
      <c r="BJ183" s="62">
        <f t="shared" si="146"/>
        <v>176.87842498964287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5.5150081929847321E-2</v>
      </c>
      <c r="BR183" s="23">
        <f>EXP(-LN(2)/2)*BR182+(1-EXP(-LN(2)/2))/(LN(2)/2)*BL183*BO183*VLOOKUP('Données projet'!$B$11,Paramètres!$A$1:$I$89,3,0)*0.475*44/12</f>
        <v>9.1684841070050675E-22</v>
      </c>
      <c r="BS183" s="24">
        <f t="shared" si="169"/>
        <v>5.5150081929847321E-2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-3.813056537183002E-14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253.16238957399855</v>
      </c>
      <c r="CE183" s="62">
        <f t="shared" si="148"/>
        <v>138.00705940844708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4.5671161598154819E-2</v>
      </c>
      <c r="CM183" s="23">
        <f>EXP(-LN(2)/2)*CM182+(1-EXP(-LN(2)/2))/(LN(2)/2)*CG183*CJ183*VLOOKUP('Données projet'!$B$12,Paramètres!$A$1:$I$89,3,0)*0.475*44/12</f>
        <v>6.1600752593940292E-22</v>
      </c>
      <c r="CN183" s="24">
        <f t="shared" si="172"/>
        <v>4.5671161598154819E-2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-5.7639226724859328E-14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345.67675698621832</v>
      </c>
      <c r="T184" s="62">
        <f t="shared" si="142"/>
        <v>178.72086185623849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219.21539650048186</v>
      </c>
      <c r="AO184" s="62">
        <f t="shared" si="144"/>
        <v>204.10961748628708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8.2567287193094696E-2</v>
      </c>
      <c r="AW184" s="23">
        <f>EXP(-LN(2)/2)*AW183+(1-EXP(-LN(2)/2))/(LN(2)/2)*AQ184*AT184*VLOOKUP('Données projet'!$B$10,Paramètres!$A$1:$I$89,3,0)*0.475*44/12</f>
        <v>1.3616770610114303E-22</v>
      </c>
      <c r="AX184" s="23">
        <f t="shared" si="166"/>
        <v>8.2567287193094696E-2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-5.6752469390630726E-14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341.48836779133632</v>
      </c>
      <c r="BJ184" s="62">
        <f t="shared" si="146"/>
        <v>176.87842498964287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5.3642000039258883E-2</v>
      </c>
      <c r="BR184" s="23">
        <f>EXP(-LN(2)/2)*BR183+(1-EXP(-LN(2)/2))/(LN(2)/2)*BL184*BO184*VLOOKUP('Données projet'!$B$11,Paramètres!$A$1:$I$89,3,0)*0.475*44/12</f>
        <v>6.4830972852643709E-22</v>
      </c>
      <c r="BS184" s="24">
        <f t="shared" si="169"/>
        <v>5.3642000039258883E-2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-3.813056537183002E-14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253.16238957399855</v>
      </c>
      <c r="CE184" s="62">
        <f t="shared" si="148"/>
        <v>138.00705940844708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4.4422281282511272E-2</v>
      </c>
      <c r="CM184" s="23">
        <f>EXP(-LN(2)/2)*CM183+(1-EXP(-LN(2)/2))/(LN(2)/2)*CG184*CJ184*VLOOKUP('Données projet'!$B$12,Paramètres!$A$1:$I$89,3,0)*0.475*44/12</f>
        <v>4.3558309885369988E-22</v>
      </c>
      <c r="CN184" s="24">
        <f t="shared" si="172"/>
        <v>4.4422281282511272E-2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-5.7639226724859328E-14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345.67675698621832</v>
      </c>
      <c r="T185" s="62">
        <f t="shared" si="142"/>
        <v>178.72086185623849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219.21539650048186</v>
      </c>
      <c r="AO185" s="62">
        <f t="shared" si="144"/>
        <v>204.10961748628708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8.0309480382774592E-2</v>
      </c>
      <c r="AW185" s="23">
        <f>EXP(-LN(2)/2)*AW184+(1-EXP(-LN(2)/2))/(LN(2)/2)*AQ185*AT185*VLOOKUP('Données projet'!$B$10,Paramètres!$A$1:$I$89,3,0)*0.475*44/12</f>
        <v>9.6285108362735059E-23</v>
      </c>
      <c r="AX185" s="23">
        <f t="shared" si="166"/>
        <v>8.0309480382774592E-2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-5.6752469390630726E-14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341.48836779133632</v>
      </c>
      <c r="BJ185" s="62">
        <f t="shared" si="146"/>
        <v>176.87842498964287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5.2175156727275164E-2</v>
      </c>
      <c r="BR185" s="23">
        <f>EXP(-LN(2)/2)*BR184+(1-EXP(-LN(2)/2))/(LN(2)/2)*BL185*BO185*VLOOKUP('Données projet'!$B$11,Paramètres!$A$1:$I$89,3,0)*0.475*44/12</f>
        <v>4.5842420535025337E-22</v>
      </c>
      <c r="BS185" s="24">
        <f t="shared" si="169"/>
        <v>5.2175156727275164E-2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-3.813056537183002E-14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253.16238957399855</v>
      </c>
      <c r="CE185" s="62">
        <f t="shared" si="148"/>
        <v>138.00705940844708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4.320755166477476E-2</v>
      </c>
      <c r="CM185" s="23">
        <f>EXP(-LN(2)/2)*CM184+(1-EXP(-LN(2)/2))/(LN(2)/2)*CG185*CJ185*VLOOKUP('Données projet'!$B$12,Paramètres!$A$1:$I$89,3,0)*0.475*44/12</f>
        <v>3.0800376296970146E-22</v>
      </c>
      <c r="CN185" s="24">
        <f t="shared" si="172"/>
        <v>4.320755166477476E-2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-5.7639226724859328E-14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345.67675698621832</v>
      </c>
      <c r="T186" s="62">
        <f t="shared" si="142"/>
        <v>178.72086185623849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219.21539650048186</v>
      </c>
      <c r="AO186" s="62">
        <f t="shared" si="144"/>
        <v>204.10961748628708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7.81134134184156E-2</v>
      </c>
      <c r="AW186" s="23">
        <f>EXP(-LN(2)/2)*AW185+(1-EXP(-LN(2)/2))/(LN(2)/2)*AQ186*AT186*VLOOKUP('Données projet'!$B$10,Paramètres!$A$1:$I$89,3,0)*0.475*44/12</f>
        <v>6.8083853050571516E-23</v>
      </c>
      <c r="AX186" s="23">
        <f t="shared" si="166"/>
        <v>7.81134134184156E-2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-5.6752469390630726E-14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341.48836779133632</v>
      </c>
      <c r="BJ186" s="62">
        <f t="shared" si="146"/>
        <v>176.87842498964287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5.0748424322795582E-2</v>
      </c>
      <c r="BR186" s="23">
        <f>EXP(-LN(2)/2)*BR185+(1-EXP(-LN(2)/2))/(LN(2)/2)*BL186*BO186*VLOOKUP('Données projet'!$B$11,Paramètres!$A$1:$I$89,3,0)*0.475*44/12</f>
        <v>3.2415486426321855E-22</v>
      </c>
      <c r="BS186" s="24">
        <f t="shared" si="169"/>
        <v>5.0748424322795582E-2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-3.813056537183002E-14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253.16238957399855</v>
      </c>
      <c r="CE186" s="62">
        <f t="shared" si="148"/>
        <v>138.00705940844708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4.2026038892315105E-2</v>
      </c>
      <c r="CM186" s="23">
        <f>EXP(-LN(2)/2)*CM185+(1-EXP(-LN(2)/2))/(LN(2)/2)*CG186*CJ186*VLOOKUP('Données projet'!$B$12,Paramètres!$A$1:$I$89,3,0)*0.475*44/12</f>
        <v>2.1779154942684994E-22</v>
      </c>
      <c r="CN186" s="24">
        <f t="shared" si="172"/>
        <v>4.2026038892315105E-2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-5.7639226724859328E-14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345.67675698621832</v>
      </c>
      <c r="T187" s="62">
        <f t="shared" si="142"/>
        <v>178.72086185623849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219.21539650048186</v>
      </c>
      <c r="AO187" s="62">
        <f t="shared" si="144"/>
        <v>204.10961748628708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7.5977398020683151E-2</v>
      </c>
      <c r="AW187" s="23">
        <f>EXP(-LN(2)/2)*AW186+(1-EXP(-LN(2)/2))/(LN(2)/2)*AQ187*AT187*VLOOKUP('Données projet'!$B$10,Paramètres!$A$1:$I$89,3,0)*0.475*44/12</f>
        <v>4.814255418136753E-23</v>
      </c>
      <c r="AX187" s="23">
        <f t="shared" si="166"/>
        <v>7.5977398020683151E-2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-5.6752469390630726E-14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341.48836779133632</v>
      </c>
      <c r="BJ187" s="62">
        <f t="shared" si="146"/>
        <v>176.87842498964287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4.9360705990945088E-2</v>
      </c>
      <c r="BR187" s="23">
        <f>EXP(-LN(2)/2)*BR186+(1-EXP(-LN(2)/2))/(LN(2)/2)*BL187*BO187*VLOOKUP('Données projet'!$B$11,Paramètres!$A$1:$I$89,3,0)*0.475*44/12</f>
        <v>2.2921210267512669E-22</v>
      </c>
      <c r="BS187" s="24">
        <f t="shared" si="169"/>
        <v>4.9360705990945088E-2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-3.813056537183002E-14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253.16238957399855</v>
      </c>
      <c r="CE187" s="62">
        <f t="shared" si="148"/>
        <v>138.00705940844708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4.0876834648751414E-2</v>
      </c>
      <c r="CM187" s="23">
        <f>EXP(-LN(2)/2)*CM186+(1-EXP(-LN(2)/2))/(LN(2)/2)*CG187*CJ187*VLOOKUP('Données projet'!$B$12,Paramètres!$A$1:$I$89,3,0)*0.475*44/12</f>
        <v>1.5400188148485073E-22</v>
      </c>
      <c r="CN187" s="24">
        <f t="shared" si="172"/>
        <v>4.0876834648751414E-2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-5.7639226724859328E-14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345.67675698621832</v>
      </c>
      <c r="T188" s="62">
        <f t="shared" si="142"/>
        <v>178.72086185623849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219.21539650048186</v>
      </c>
      <c r="AO188" s="62">
        <f t="shared" si="144"/>
        <v>204.10961748628708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7.3899792076329851E-2</v>
      </c>
      <c r="AW188" s="23">
        <f>EXP(-LN(2)/2)*AW187+(1-EXP(-LN(2)/2))/(LN(2)/2)*AQ188*AT188*VLOOKUP('Données projet'!$B$10,Paramètres!$A$1:$I$89,3,0)*0.475*44/12</f>
        <v>3.4041926525285758E-23</v>
      </c>
      <c r="AX188" s="23">
        <f t="shared" si="166"/>
        <v>7.3899792076329851E-2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-5.6752469390630726E-14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341.48836779133632</v>
      </c>
      <c r="BJ188" s="62">
        <f t="shared" si="146"/>
        <v>176.87842498964287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4.8010934889855979E-2</v>
      </c>
      <c r="BR188" s="23">
        <f>EXP(-LN(2)/2)*BR187+(1-EXP(-LN(2)/2))/(LN(2)/2)*BL188*BO188*VLOOKUP('Données projet'!$B$11,Paramètres!$A$1:$I$89,3,0)*0.475*44/12</f>
        <v>1.6207743213160927E-22</v>
      </c>
      <c r="BS188" s="24">
        <f t="shared" si="169"/>
        <v>4.8010934889855979E-2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-3.813056537183002E-14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253.16238957399855</v>
      </c>
      <c r="CE188" s="62">
        <f t="shared" si="148"/>
        <v>138.00705940844708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3.9759055455661996E-2</v>
      </c>
      <c r="CM188" s="23">
        <f>EXP(-LN(2)/2)*CM187+(1-EXP(-LN(2)/2))/(LN(2)/2)*CG188*CJ188*VLOOKUP('Données projet'!$B$12,Paramètres!$A$1:$I$89,3,0)*0.475*44/12</f>
        <v>1.0889577471342497E-22</v>
      </c>
      <c r="CN188" s="24">
        <f t="shared" si="172"/>
        <v>3.9759055455661996E-2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-5.7639226724859328E-14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345.67675698621832</v>
      </c>
      <c r="T189" s="62">
        <f t="shared" si="142"/>
        <v>178.72086185623849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219.21539650048186</v>
      </c>
      <c r="AO189" s="62">
        <f t="shared" si="144"/>
        <v>204.10961748628708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7.1878998375781447E-2</v>
      </c>
      <c r="AW189" s="23">
        <f>EXP(-LN(2)/2)*AW188+(1-EXP(-LN(2)/2))/(LN(2)/2)*AQ189*AT189*VLOOKUP('Données projet'!$B$10,Paramètres!$A$1:$I$89,3,0)*0.475*44/12</f>
        <v>2.4071277090683765E-23</v>
      </c>
      <c r="AX189" s="23">
        <f t="shared" si="166"/>
        <v>7.1878998375781447E-2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-5.6752469390630726E-14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341.48836779133632</v>
      </c>
      <c r="BJ189" s="62">
        <f t="shared" si="146"/>
        <v>176.87842498964287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4.6698073350507532E-2</v>
      </c>
      <c r="BR189" s="23">
        <f>EXP(-LN(2)/2)*BR188+(1-EXP(-LN(2)/2))/(LN(2)/2)*BL189*BO189*VLOOKUP('Données projet'!$B$11,Paramètres!$A$1:$I$89,3,0)*0.475*44/12</f>
        <v>1.1460605133756334E-22</v>
      </c>
      <c r="BS189" s="24">
        <f t="shared" si="169"/>
        <v>4.6698073350507532E-2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-3.813056537183002E-14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253.16238957399855</v>
      </c>
      <c r="CE189" s="62">
        <f t="shared" si="148"/>
        <v>138.00705940844708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3.8671841993389064E-2</v>
      </c>
      <c r="CM189" s="23">
        <f>EXP(-LN(2)/2)*CM188+(1-EXP(-LN(2)/2))/(LN(2)/2)*CG189*CJ189*VLOOKUP('Données projet'!$B$12,Paramètres!$A$1:$I$89,3,0)*0.475*44/12</f>
        <v>7.7000940742425365E-23</v>
      </c>
      <c r="CN189" s="24">
        <f t="shared" si="172"/>
        <v>3.8671841993389064E-2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-5.7639226724859328E-14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345.67675698621832</v>
      </c>
      <c r="T190" s="62">
        <f t="shared" si="142"/>
        <v>178.72086185623849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219.21539650048186</v>
      </c>
      <c r="AO190" s="62">
        <f t="shared" si="144"/>
        <v>204.10961748628708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6.9913463385243457E-2</v>
      </c>
      <c r="AW190" s="23">
        <f>EXP(-LN(2)/2)*AW189+(1-EXP(-LN(2)/2))/(LN(2)/2)*AQ190*AT190*VLOOKUP('Données projet'!$B$10,Paramètres!$A$1:$I$89,3,0)*0.475*44/12</f>
        <v>1.7020963262642879E-23</v>
      </c>
      <c r="AX190" s="23">
        <f t="shared" si="166"/>
        <v>6.9913463385243457E-2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-5.6752469390630726E-14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341.48836779133632</v>
      </c>
      <c r="BJ190" s="62">
        <f t="shared" si="146"/>
        <v>176.87842498964287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4.5421112078992958E-2</v>
      </c>
      <c r="BR190" s="23">
        <f>EXP(-LN(2)/2)*BR189+(1-EXP(-LN(2)/2))/(LN(2)/2)*BL190*BO190*VLOOKUP('Données projet'!$B$11,Paramètres!$A$1:$I$89,3,0)*0.475*44/12</f>
        <v>8.1038716065804636E-23</v>
      </c>
      <c r="BS190" s="24">
        <f t="shared" si="169"/>
        <v>4.5421112078992958E-2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-3.813056537183002E-14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253.16238957399855</v>
      </c>
      <c r="CE190" s="62">
        <f t="shared" si="148"/>
        <v>138.00705940844708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3.7614358440416058E-2</v>
      </c>
      <c r="CM190" s="23">
        <f>EXP(-LN(2)/2)*CM189+(1-EXP(-LN(2)/2))/(LN(2)/2)*CG190*CJ190*VLOOKUP('Données projet'!$B$12,Paramètres!$A$1:$I$89,3,0)*0.475*44/12</f>
        <v>5.4447887356712485E-23</v>
      </c>
      <c r="CN190" s="24">
        <f t="shared" si="172"/>
        <v>3.7614358440416058E-2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-5.7639226724859328E-14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345.67675698621832</v>
      </c>
      <c r="T191" s="62">
        <f t="shared" si="142"/>
        <v>178.72086185623849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219.21539650048186</v>
      </c>
      <c r="AO191" s="62">
        <f t="shared" si="144"/>
        <v>204.10961748628708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6.8001676052384719E-2</v>
      </c>
      <c r="AW191" s="23">
        <f>EXP(-LN(2)/2)*AW190+(1-EXP(-LN(2)/2))/(LN(2)/2)*AQ191*AT191*VLOOKUP('Données projet'!$B$10,Paramètres!$A$1:$I$89,3,0)*0.475*44/12</f>
        <v>1.2035638545341882E-23</v>
      </c>
      <c r="AX191" s="23">
        <f t="shared" si="166"/>
        <v>6.8001676052384719E-2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-5.6752469390630726E-14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341.48836779133632</v>
      </c>
      <c r="BJ191" s="62">
        <f t="shared" si="146"/>
        <v>176.87842498964287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4.4179069380600421E-2</v>
      </c>
      <c r="BR191" s="23">
        <f>EXP(-LN(2)/2)*BR190+(1-EXP(-LN(2)/2))/(LN(2)/2)*BL191*BO191*VLOOKUP('Données projet'!$B$11,Paramètres!$A$1:$I$89,3,0)*0.475*44/12</f>
        <v>5.7303025668781672E-23</v>
      </c>
      <c r="BS191" s="24">
        <f t="shared" si="169"/>
        <v>4.4179069380600421E-2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-3.813056537183002E-14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253.16238957399855</v>
      </c>
      <c r="CE191" s="62">
        <f t="shared" si="148"/>
        <v>138.00705940844708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3.658579183080974E-2</v>
      </c>
      <c r="CM191" s="23">
        <f>EXP(-LN(2)/2)*CM190+(1-EXP(-LN(2)/2))/(LN(2)/2)*CG191*CJ191*VLOOKUP('Données projet'!$B$12,Paramètres!$A$1:$I$89,3,0)*0.475*44/12</f>
        <v>3.8500470371212683E-23</v>
      </c>
      <c r="CN191" s="24">
        <f t="shared" si="172"/>
        <v>3.658579183080974E-2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-5.7639226724859328E-14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345.67675698621832</v>
      </c>
      <c r="T192" s="62">
        <f t="shared" si="142"/>
        <v>178.72086185623849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219.21539650048186</v>
      </c>
      <c r="AO192" s="62">
        <f t="shared" si="144"/>
        <v>204.10961748628708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6.6142166644679534E-2</v>
      </c>
      <c r="AW192" s="23">
        <f>EXP(-LN(2)/2)*AW191+(1-EXP(-LN(2)/2))/(LN(2)/2)*AQ192*AT192*VLOOKUP('Données projet'!$B$10,Paramètres!$A$1:$I$89,3,0)*0.475*44/12</f>
        <v>8.5104816313214395E-24</v>
      </c>
      <c r="AX192" s="23">
        <f t="shared" si="166"/>
        <v>6.6142166644679534E-2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-5.6752469390630726E-14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341.48836779133632</v>
      </c>
      <c r="BJ192" s="62">
        <f t="shared" si="146"/>
        <v>176.87842498964287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4.2970990405111618E-2</v>
      </c>
      <c r="BR192" s="23">
        <f>EXP(-LN(2)/2)*BR191+(1-EXP(-LN(2)/2))/(LN(2)/2)*BL192*BO192*VLOOKUP('Données projet'!$B$11,Paramètres!$A$1:$I$89,3,0)*0.475*44/12</f>
        <v>4.0519358032902318E-23</v>
      </c>
      <c r="BS192" s="24">
        <f t="shared" si="169"/>
        <v>4.2970990405111618E-2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-3.813056537183002E-14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253.16238957399855</v>
      </c>
      <c r="CE192" s="62">
        <f t="shared" si="148"/>
        <v>138.00705940844708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3.5585351429233074E-2</v>
      </c>
      <c r="CM192" s="23">
        <f>EXP(-LN(2)/2)*CM191+(1-EXP(-LN(2)/2))/(LN(2)/2)*CG192*CJ192*VLOOKUP('Données projet'!$B$12,Paramètres!$A$1:$I$89,3,0)*0.475*44/12</f>
        <v>2.7223943678356242E-23</v>
      </c>
      <c r="CN192" s="24">
        <f t="shared" si="172"/>
        <v>3.5585351429233074E-2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-5.7639226724859328E-14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345.67675698621832</v>
      </c>
      <c r="T193" s="62">
        <f t="shared" si="142"/>
        <v>178.72086185623849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219.21539650048186</v>
      </c>
      <c r="AO193" s="62">
        <f t="shared" si="144"/>
        <v>204.10961748628708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6.4333505619515396E-2</v>
      </c>
      <c r="AW193" s="23">
        <f>EXP(-LN(2)/2)*AW192+(1-EXP(-LN(2)/2))/(LN(2)/2)*AQ193*AT193*VLOOKUP('Données projet'!$B$10,Paramètres!$A$1:$I$89,3,0)*0.475*44/12</f>
        <v>6.0178192726709412E-24</v>
      </c>
      <c r="AX193" s="23">
        <f t="shared" si="166"/>
        <v>6.4333505619515396E-2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-5.6752469390630726E-14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341.48836779133632</v>
      </c>
      <c r="BJ193" s="62">
        <f t="shared" si="146"/>
        <v>176.87842498964287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4.1795946412737664E-2</v>
      </c>
      <c r="BR193" s="23">
        <f>EXP(-LN(2)/2)*BR192+(1-EXP(-LN(2)/2))/(LN(2)/2)*BL193*BO193*VLOOKUP('Données projet'!$B$11,Paramètres!$A$1:$I$89,3,0)*0.475*44/12</f>
        <v>2.8651512834390836E-23</v>
      </c>
      <c r="BS193" s="24">
        <f t="shared" si="169"/>
        <v>4.1795946412737664E-2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-3.813056537183002E-14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253.16238957399855</v>
      </c>
      <c r="CE193" s="62">
        <f t="shared" si="148"/>
        <v>138.00705940844708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3.4612268123048393E-2</v>
      </c>
      <c r="CM193" s="23">
        <f>EXP(-LN(2)/2)*CM192+(1-EXP(-LN(2)/2))/(LN(2)/2)*CG193*CJ193*VLOOKUP('Données projet'!$B$12,Paramètres!$A$1:$I$89,3,0)*0.475*44/12</f>
        <v>1.9250235185606341E-23</v>
      </c>
      <c r="CN193" s="24">
        <f t="shared" si="172"/>
        <v>3.4612268123048393E-2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-5.7639226724859328E-14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345.67675698621832</v>
      </c>
      <c r="T194" s="62">
        <f t="shared" si="142"/>
        <v>178.72086185623849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219.21539650048186</v>
      </c>
      <c r="AO194" s="62">
        <f t="shared" si="144"/>
        <v>204.10961748628708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6.2574302525197717E-2</v>
      </c>
      <c r="AW194" s="23">
        <f>EXP(-LN(2)/2)*AW193+(1-EXP(-LN(2)/2))/(LN(2)/2)*AQ194*AT194*VLOOKUP('Données projet'!$B$10,Paramètres!$A$1:$I$89,3,0)*0.475*44/12</f>
        <v>4.2552408156607197E-24</v>
      </c>
      <c r="AX194" s="23">
        <f t="shared" si="166"/>
        <v>6.2574302525197717E-2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-5.6752469390630726E-14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341.48836779133632</v>
      </c>
      <c r="BJ194" s="62">
        <f t="shared" si="146"/>
        <v>176.87842498964287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4.065303406012806E-2</v>
      </c>
      <c r="BR194" s="23">
        <f>EXP(-LN(2)/2)*BR193+(1-EXP(-LN(2)/2))/(LN(2)/2)*BL194*BO194*VLOOKUP('Données projet'!$B$11,Paramètres!$A$1:$I$89,3,0)*0.475*44/12</f>
        <v>2.0259679016451159E-23</v>
      </c>
      <c r="BS194" s="24">
        <f t="shared" si="169"/>
        <v>4.065303406012806E-2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-3.813056537183002E-14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253.16238957399855</v>
      </c>
      <c r="CE194" s="62">
        <f t="shared" si="148"/>
        <v>138.00705940844708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3.366579383104356E-2</v>
      </c>
      <c r="CM194" s="23">
        <f>EXP(-LN(2)/2)*CM193+(1-EXP(-LN(2)/2))/(LN(2)/2)*CG194*CJ194*VLOOKUP('Données projet'!$B$12,Paramètres!$A$1:$I$89,3,0)*0.475*44/12</f>
        <v>1.3611971839178121E-23</v>
      </c>
      <c r="CN194" s="24">
        <f t="shared" si="172"/>
        <v>3.366579383104356E-2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-5.7639226724859328E-14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345.67675698621832</v>
      </c>
      <c r="T195" s="62">
        <f t="shared" si="142"/>
        <v>178.72086185623849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219.21539650048186</v>
      </c>
      <c r="AO195" s="62">
        <f t="shared" si="144"/>
        <v>204.10961748628708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6.0863204932006629E-2</v>
      </c>
      <c r="AW195" s="23">
        <f>EXP(-LN(2)/2)*AW194+(1-EXP(-LN(2)/2))/(LN(2)/2)*AQ195*AT195*VLOOKUP('Données projet'!$B$10,Paramètres!$A$1:$I$89,3,0)*0.475*44/12</f>
        <v>3.0089096363354706E-24</v>
      </c>
      <c r="AX195" s="23">
        <f t="shared" si="166"/>
        <v>6.0863204932006629E-2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-5.6752469390630726E-14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341.48836779133632</v>
      </c>
      <c r="BJ195" s="62">
        <f t="shared" si="146"/>
        <v>176.87842498964287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3.9541374705903708E-2</v>
      </c>
      <c r="BR195" s="23">
        <f>EXP(-LN(2)/2)*BR194+(1-EXP(-LN(2)/2))/(LN(2)/2)*BL195*BO195*VLOOKUP('Données projet'!$B$11,Paramètres!$A$1:$I$89,3,0)*0.475*44/12</f>
        <v>1.4325756417195418E-23</v>
      </c>
      <c r="BS195" s="24">
        <f t="shared" si="169"/>
        <v>3.9541374705903708E-2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-3.813056537183002E-14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253.16238957399855</v>
      </c>
      <c r="CE195" s="62">
        <f t="shared" si="148"/>
        <v>138.00705940844708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3.2745200928326522E-2</v>
      </c>
      <c r="CM195" s="23">
        <f>EXP(-LN(2)/2)*CM194+(1-EXP(-LN(2)/2))/(LN(2)/2)*CG195*CJ195*VLOOKUP('Données projet'!$B$12,Paramètres!$A$1:$I$89,3,0)*0.475*44/12</f>
        <v>9.6251175928031707E-24</v>
      </c>
      <c r="CN195" s="24">
        <f t="shared" si="172"/>
        <v>3.2745200928326522E-2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-5.7639226724859328E-14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345.67675698621832</v>
      </c>
      <c r="T196" s="62">
        <f t="shared" si="142"/>
        <v>178.72086185623849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219.21539650048186</v>
      </c>
      <c r="AO196" s="62">
        <f t="shared" si="144"/>
        <v>204.10961748628708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5.9198897392484066E-2</v>
      </c>
      <c r="AW196" s="23">
        <f>EXP(-LN(2)/2)*AW195+(1-EXP(-LN(2)/2))/(LN(2)/2)*AQ196*AT196*VLOOKUP('Données projet'!$B$10,Paramètres!$A$1:$I$89,3,0)*0.475*44/12</f>
        <v>2.1276204078303599E-24</v>
      </c>
      <c r="AX196" s="23">
        <f t="shared" si="166"/>
        <v>5.9198897392484066E-2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-5.6752469390630726E-14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341.48836779133632</v>
      </c>
      <c r="BJ196" s="62">
        <f t="shared" si="146"/>
        <v>176.87842498964287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3.8460113735180247E-2</v>
      </c>
      <c r="BR196" s="23">
        <f>EXP(-LN(2)/2)*BR195+(1-EXP(-LN(2)/2))/(LN(2)/2)*BL196*BO196*VLOOKUP('Données projet'!$B$11,Paramètres!$A$1:$I$89,3,0)*0.475*44/12</f>
        <v>1.012983950822558E-23</v>
      </c>
      <c r="BS196" s="24">
        <f t="shared" si="169"/>
        <v>3.8460113735180247E-2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-3.813056537183002E-14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253.16238957399855</v>
      </c>
      <c r="CE196" s="62">
        <f t="shared" si="148"/>
        <v>138.00705940844708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3.1849781686946153E-2</v>
      </c>
      <c r="CM196" s="23">
        <f>EXP(-LN(2)/2)*CM195+(1-EXP(-LN(2)/2))/(LN(2)/2)*CG196*CJ196*VLOOKUP('Données projet'!$B$12,Paramètres!$A$1:$I$89,3,0)*0.475*44/12</f>
        <v>6.8059859195890606E-24</v>
      </c>
      <c r="CN196" s="24">
        <f t="shared" si="172"/>
        <v>3.1849781686946153E-2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-5.7639226724859328E-14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345.67675698621832</v>
      </c>
      <c r="T197" s="62">
        <f t="shared" ref="T197:T203" si="204">$T$3</f>
        <v>178.72086185623849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219.21539650048186</v>
      </c>
      <c r="AO197" s="62">
        <f t="shared" ref="AO197:AO203" si="205">$AO$3</f>
        <v>204.10961748628708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5.7580100430151875E-2</v>
      </c>
      <c r="AW197" s="23">
        <f>EXP(-LN(2)/2)*AW196+(1-EXP(-LN(2)/2))/(LN(2)/2)*AQ197*AT197*VLOOKUP('Données projet'!$B$10,Paramètres!$A$1:$I$89,3,0)*0.475*44/12</f>
        <v>1.5044548181677353E-24</v>
      </c>
      <c r="AX197" s="23">
        <f t="shared" si="166"/>
        <v>5.7580100430151875E-2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-5.6752469390630726E-14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341.48836779133632</v>
      </c>
      <c r="BJ197" s="62">
        <f t="shared" ref="BJ197:BJ203" si="206">$BJ$3</f>
        <v>176.87842498964287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3.7408419902562266E-2</v>
      </c>
      <c r="BR197" s="23">
        <f>EXP(-LN(2)/2)*BR196+(1-EXP(-LN(2)/2))/(LN(2)/2)*BL197*BO197*VLOOKUP('Données projet'!$B$11,Paramètres!$A$1:$I$89,3,0)*0.475*44/12</f>
        <v>7.162878208597709E-24</v>
      </c>
      <c r="BS197" s="24">
        <f t="shared" si="169"/>
        <v>3.7408419902562266E-2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-3.813056537183002E-14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253.16238957399855</v>
      </c>
      <c r="CE197" s="62">
        <f t="shared" ref="CE197:CE203" si="207">$CE$3</f>
        <v>138.00705940844708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3.0978847731809384E-2</v>
      </c>
      <c r="CM197" s="23">
        <f>EXP(-LN(2)/2)*CM196+(1-EXP(-LN(2)/2))/(LN(2)/2)*CG197*CJ197*VLOOKUP('Données projet'!$B$12,Paramètres!$A$1:$I$89,3,0)*0.475*44/12</f>
        <v>4.8125587964015853E-24</v>
      </c>
      <c r="CN197" s="24">
        <f t="shared" si="172"/>
        <v>3.0978847731809384E-2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-5.7639226724859328E-14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345.67675698621832</v>
      </c>
      <c r="T198" s="62">
        <f t="shared" si="204"/>
        <v>178.72086185623849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219.21539650048186</v>
      </c>
      <c r="AO198" s="62">
        <f t="shared" si="205"/>
        <v>204.10961748628708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5.600556955588349E-2</v>
      </c>
      <c r="AW198" s="23">
        <f>EXP(-LN(2)/2)*AW197+(1-EXP(-LN(2)/2))/(LN(2)/2)*AQ198*AT198*VLOOKUP('Données projet'!$B$10,Paramètres!$A$1:$I$89,3,0)*0.475*44/12</f>
        <v>1.0638102039151799E-24</v>
      </c>
      <c r="AX198" s="23">
        <f t="shared" si="166"/>
        <v>5.600556955588349E-2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-5.6752469390630726E-14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341.48836779133632</v>
      </c>
      <c r="BJ198" s="62">
        <f t="shared" si="206"/>
        <v>176.87842498964287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3.6385484693103397E-2</v>
      </c>
      <c r="BR198" s="23">
        <f>EXP(-LN(2)/2)*BR197+(1-EXP(-LN(2)/2))/(LN(2)/2)*BL198*BO198*VLOOKUP('Données projet'!$B$11,Paramètres!$A$1:$I$89,3,0)*0.475*44/12</f>
        <v>5.0649197541127898E-24</v>
      </c>
      <c r="BS198" s="24">
        <f t="shared" si="169"/>
        <v>3.6385484693103397E-2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-3.813056537183002E-14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253.16238957399855</v>
      </c>
      <c r="CE198" s="62">
        <f t="shared" si="207"/>
        <v>138.00705940844708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3.0131729511476257E-2</v>
      </c>
      <c r="CM198" s="23">
        <f>EXP(-LN(2)/2)*CM197+(1-EXP(-LN(2)/2))/(LN(2)/2)*CG198*CJ198*VLOOKUP('Données projet'!$B$12,Paramètres!$A$1:$I$89,3,0)*0.475*44/12</f>
        <v>3.4029929597945303E-24</v>
      </c>
      <c r="CN198" s="24">
        <f t="shared" si="172"/>
        <v>3.0131729511476257E-2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-5.7639226724859328E-14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345.67675698621832</v>
      </c>
      <c r="T199" s="62">
        <f t="shared" si="204"/>
        <v>178.72086185623849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219.21539650048186</v>
      </c>
      <c r="AO199" s="62">
        <f t="shared" si="205"/>
        <v>204.10961748628708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5.4474094311172956E-2</v>
      </c>
      <c r="AW199" s="23">
        <f>EXP(-LN(2)/2)*AW198+(1-EXP(-LN(2)/2))/(LN(2)/2)*AQ199*AT199*VLOOKUP('Données projet'!$B$10,Paramètres!$A$1:$I$89,3,0)*0.475*44/12</f>
        <v>7.5222740908386765E-25</v>
      </c>
      <c r="AX199" s="23">
        <f t="shared" si="166"/>
        <v>5.4474094311172956E-2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-5.6752469390630726E-14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341.48836779133632</v>
      </c>
      <c r="BJ199" s="62">
        <f t="shared" si="206"/>
        <v>176.87842498964287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3.5390521700741001E-2</v>
      </c>
      <c r="BR199" s="23">
        <f>EXP(-LN(2)/2)*BR198+(1-EXP(-LN(2)/2))/(LN(2)/2)*BL199*BO199*VLOOKUP('Données projet'!$B$11,Paramètres!$A$1:$I$89,3,0)*0.475*44/12</f>
        <v>3.5814391042988545E-24</v>
      </c>
      <c r="BS199" s="24">
        <f t="shared" si="169"/>
        <v>3.5390521700741001E-2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-3.813056537183002E-14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253.16238957399855</v>
      </c>
      <c r="CE199" s="62">
        <f t="shared" si="207"/>
        <v>138.00705940844708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2.9307775783426152E-2</v>
      </c>
      <c r="CM199" s="23">
        <f>EXP(-LN(2)/2)*CM198+(1-EXP(-LN(2)/2))/(LN(2)/2)*CG199*CJ199*VLOOKUP('Données projet'!$B$12,Paramètres!$A$1:$I$89,3,0)*0.475*44/12</f>
        <v>2.4062793982007927E-24</v>
      </c>
      <c r="CN199" s="24">
        <f t="shared" si="172"/>
        <v>2.9307775783426152E-2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-5.7639226724859328E-14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345.67675698621832</v>
      </c>
      <c r="T200" s="62">
        <f t="shared" si="204"/>
        <v>178.72086185623849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219.21539650048186</v>
      </c>
      <c r="AO200" s="62">
        <f t="shared" si="205"/>
        <v>204.10961748628708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5.2984497337565814E-2</v>
      </c>
      <c r="AW200" s="23">
        <f>EXP(-LN(2)/2)*AW199+(1-EXP(-LN(2)/2))/(LN(2)/2)*AQ200*AT200*VLOOKUP('Données projet'!$B$10,Paramètres!$A$1:$I$89,3,0)*0.475*44/12</f>
        <v>5.3190510195758997E-25</v>
      </c>
      <c r="AX200" s="23">
        <f t="shared" si="166"/>
        <v>5.2984497337565814E-2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-5.6752469390630726E-14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341.48836779133632</v>
      </c>
      <c r="BJ200" s="62">
        <f t="shared" si="206"/>
        <v>176.87842498964287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3.442276602372759E-2</v>
      </c>
      <c r="BR200" s="23">
        <f>EXP(-LN(2)/2)*BR199+(1-EXP(-LN(2)/2))/(LN(2)/2)*BL200*BO200*VLOOKUP('Données projet'!$B$11,Paramètres!$A$1:$I$89,3,0)*0.475*44/12</f>
        <v>2.5324598770563949E-24</v>
      </c>
      <c r="BS200" s="24">
        <f t="shared" si="169"/>
        <v>3.442276602372759E-2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-3.813056537183002E-14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253.16238957399855</v>
      </c>
      <c r="CE200" s="62">
        <f t="shared" si="207"/>
        <v>138.00705940844708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2.850635311339942E-2</v>
      </c>
      <c r="CM200" s="23">
        <f>EXP(-LN(2)/2)*CM199+(1-EXP(-LN(2)/2))/(LN(2)/2)*CG200*CJ200*VLOOKUP('Données projet'!$B$12,Paramètres!$A$1:$I$89,3,0)*0.475*44/12</f>
        <v>1.7014964798972651E-24</v>
      </c>
      <c r="CN200" s="24">
        <f t="shared" si="172"/>
        <v>2.850635311339942E-2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-5.7639226724859328E-14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345.67675698621832</v>
      </c>
      <c r="T201" s="62">
        <f t="shared" si="204"/>
        <v>178.72086185623849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219.21539650048186</v>
      </c>
      <c r="AO201" s="62">
        <f t="shared" si="205"/>
        <v>204.10961748628708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5.153563347153646E-2</v>
      </c>
      <c r="AW201" s="23">
        <f>EXP(-LN(2)/2)*AW200+(1-EXP(-LN(2)/2))/(LN(2)/2)*AQ201*AT201*VLOOKUP('Données projet'!$B$10,Paramètres!$A$1:$I$89,3,0)*0.475*44/12</f>
        <v>3.7611370454193383E-25</v>
      </c>
      <c r="AX201" s="23">
        <f t="shared" si="166"/>
        <v>5.153563347153646E-2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-5.6752469390630726E-14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341.48836779133632</v>
      </c>
      <c r="BJ201" s="62">
        <f t="shared" si="206"/>
        <v>176.87842498964287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3.3481473676594167E-2</v>
      </c>
      <c r="BR201" s="23">
        <f>EXP(-LN(2)/2)*BR200+(1-EXP(-LN(2)/2))/(LN(2)/2)*BL201*BO201*VLOOKUP('Données projet'!$B$11,Paramètres!$A$1:$I$89,3,0)*0.475*44/12</f>
        <v>1.7907195521494272E-24</v>
      </c>
      <c r="BS201" s="24">
        <f t="shared" si="169"/>
        <v>3.3481473676594167E-2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-3.813056537183002E-14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253.16238957399855</v>
      </c>
      <c r="CE201" s="62">
        <f t="shared" si="207"/>
        <v>138.00705940844708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2.7726845388429556E-2</v>
      </c>
      <c r="CM201" s="23">
        <f>EXP(-LN(2)/2)*CM200+(1-EXP(-LN(2)/2))/(LN(2)/2)*CG201*CJ201*VLOOKUP('Données projet'!$B$12,Paramètres!$A$1:$I$89,3,0)*0.475*44/12</f>
        <v>1.2031396991003963E-24</v>
      </c>
      <c r="CN201" s="24">
        <f t="shared" si="172"/>
        <v>2.7726845388429556E-2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-5.7639226724859328E-14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345.67675698621832</v>
      </c>
      <c r="T202" s="62">
        <f t="shared" si="204"/>
        <v>178.72086185623849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219.21539650048186</v>
      </c>
      <c r="AO202" s="62">
        <f t="shared" si="205"/>
        <v>204.10961748628708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5.012638886411612E-2</v>
      </c>
      <c r="AW202" s="23">
        <f>EXP(-LN(2)/2)*AW201+(1-EXP(-LN(2)/2))/(LN(2)/2)*AQ202*AT202*VLOOKUP('Données projet'!$B$10,Paramètres!$A$1:$I$89,3,0)*0.475*44/12</f>
        <v>2.6595255097879498E-25</v>
      </c>
      <c r="AX202" s="23">
        <f t="shared" si="166"/>
        <v>5.012638886411612E-2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-5.6752469390630726E-14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341.48836779133632</v>
      </c>
      <c r="BJ202" s="62">
        <f t="shared" si="206"/>
        <v>176.87842498964287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3.2565921018193521E-2</v>
      </c>
      <c r="BR202" s="23">
        <f>EXP(-LN(2)/2)*BR201+(1-EXP(-LN(2)/2))/(LN(2)/2)*BL202*BO202*VLOOKUP('Données projet'!$B$11,Paramètres!$A$1:$I$89,3,0)*0.475*44/12</f>
        <v>1.2662299385281974E-24</v>
      </c>
      <c r="BS202" s="24">
        <f t="shared" si="169"/>
        <v>3.2565921018193521E-2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-3.813056537183002E-14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253.16238957399855</v>
      </c>
      <c r="CE202" s="62">
        <f t="shared" si="207"/>
        <v>138.00705940844708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2.6968653343191522E-2</v>
      </c>
      <c r="CM202" s="23">
        <f>EXP(-LN(2)/2)*CM201+(1-EXP(-LN(2)/2))/(LN(2)/2)*CG202*CJ202*VLOOKUP('Données projet'!$B$12,Paramètres!$A$1:$I$89,3,0)*0.475*44/12</f>
        <v>8.5074823994863257E-25</v>
      </c>
      <c r="CN202" s="24">
        <f t="shared" si="172"/>
        <v>2.6968653343191522E-2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-5.7639226724859328E-14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345.67675698621832</v>
      </c>
      <c r="T203" s="62">
        <f t="shared" si="204"/>
        <v>178.72086185623849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219.21539650048186</v>
      </c>
      <c r="AO203" s="62">
        <f t="shared" si="205"/>
        <v>204.10961748628708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4.8755680124594643E-2</v>
      </c>
      <c r="AW203" s="23">
        <f>EXP(-LN(2)/2)*AW202+(1-EXP(-LN(2)/2))/(LN(2)/2)*AQ203*AT203*VLOOKUP('Données projet'!$B$10,Paramètres!$A$1:$I$89,3,0)*0.475*44/12</f>
        <v>1.8805685227096691E-25</v>
      </c>
      <c r="AX203" s="23">
        <f t="shared" si="166"/>
        <v>4.8755680124594643E-2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-5.6752469390630726E-14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341.48836779133632</v>
      </c>
      <c r="BJ203" s="62">
        <f t="shared" si="206"/>
        <v>176.87842498964287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3.1675404195383665E-2</v>
      </c>
      <c r="BR203" s="23">
        <f>EXP(-LN(2)/2)*BR202+(1-EXP(-LN(2)/2))/(LN(2)/2)*BL203*BO203*VLOOKUP('Données projet'!$B$11,Paramètres!$A$1:$I$89,3,0)*0.475*44/12</f>
        <v>8.9535977607471362E-25</v>
      </c>
      <c r="BS203" s="24">
        <f t="shared" si="169"/>
        <v>3.1675404195383665E-2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-3.813056537183002E-14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253.16238957399855</v>
      </c>
      <c r="CE203" s="62">
        <f t="shared" si="207"/>
        <v>138.00705940844708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2.6231194099302108E-2</v>
      </c>
      <c r="CM203" s="23">
        <f>EXP(-LN(2)/2)*CM202+(1-EXP(-LN(2)/2))/(LN(2)/2)*CG203*CJ203*VLOOKUP('Données projet'!$B$12,Paramètres!$A$1:$I$89,3,0)*0.475*44/12</f>
        <v>6.0156984955019817E-25</v>
      </c>
      <c r="CN203" s="24">
        <f t="shared" si="172"/>
        <v>2.6231194099302108E-2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1.1554831727638066</v>
      </c>
      <c r="BA205" s="88">
        <f>EXP(LN('Données projet'!B88)/'Données projet'!A88)</f>
        <v>1.1457367676485573</v>
      </c>
      <c r="BV205" s="88">
        <f>EXP(LN('Données projet'!B114)/'Données projet'!A114)</f>
        <v>1.1457367676485573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7" workbookViewId="0">
      <selection activeCell="O14" sqref="O1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pubescent</v>
      </c>
      <c r="B6" s="155">
        <f>'Données projet'!D9</f>
        <v>1.2749999999999999</v>
      </c>
      <c r="C6" s="156">
        <f ca="1">IF(OR('Données projet'!B9="",'Données projet'!C9="",'Données projet'!C9=0%),0,Calculateur!S3)</f>
        <v>345.67675698621832</v>
      </c>
      <c r="D6" s="156">
        <f>IF(OR('Données projet'!B9="",'Données projet'!C9="",'Données projet'!C9=0%),0,Calculateur!T3)</f>
        <v>178.72086185623849</v>
      </c>
      <c r="E6" s="156">
        <f ca="1">MIN(C6,D6)</f>
        <v>178.72086185623849</v>
      </c>
      <c r="F6" s="156">
        <f ca="1">E6*B6</f>
        <v>227.86909886670406</v>
      </c>
      <c r="G6" s="156">
        <f ca="1">F6*(100%-'Données projet'!$C$24)*(100%-'Données projet'!$C$25)*(100%-'Données projet'!$C$26)*(100%-'Données projet'!$C$27)</f>
        <v>194.82807953103196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194.82807953103196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Erable champêtre</v>
      </c>
      <c r="B7" s="163">
        <f>'Données projet'!D10</f>
        <v>0.1411</v>
      </c>
      <c r="C7" s="156">
        <f ca="1">IF(OR('Données projet'!B10="",'Données projet'!C10="",'Données projet'!C10=0%),0,Calculateur!AN3)</f>
        <v>219.21539650048186</v>
      </c>
      <c r="D7" s="156">
        <f>IF(OR('Données projet'!B10="",'Données projet'!C10="",'Données projet'!C10=0%),0,Calculateur!AO3)</f>
        <v>204.10961748628708</v>
      </c>
      <c r="E7" s="156">
        <f t="shared" ref="E7:E15" ca="1" si="0">MIN(C7,D7)</f>
        <v>204.10961748628708</v>
      </c>
      <c r="F7" s="156">
        <f t="shared" ref="F7:F15" ca="1" si="1">E7*B7</f>
        <v>28.799867027315106</v>
      </c>
      <c r="G7" s="156">
        <f ca="1">F7*(100%-'Données projet'!$C$24)*(100%-'Données projet'!$C$25)*(100%-'Données projet'!$C$26)*(100%-'Données projet'!$C$27)</f>
        <v>24.623886308354415</v>
      </c>
      <c r="H7" s="164">
        <f>IF(OR('Données projet'!B10="",'Données projet'!C10="",'Données projet'!C10=0%),0,AVERAGE(Calculateur!$AX$3:$AX$33)*B7)</f>
        <v>0.24454607309498752</v>
      </c>
      <c r="I7" s="158">
        <f>H7*(100%-'Données projet'!$C$24)*(100%-'Données projet'!$C$25)*(100%-'Données projet'!$C$26)*(100%-'Données projet'!$C$27)</f>
        <v>0.20908689249621432</v>
      </c>
      <c r="J7" s="159">
        <f>IF(OR('Données projet'!B10="",'Données projet'!C10="",'Données projet'!C10=0%),0,SUM(Calculateur!$AQ$3:$AQ$33)*VLOOKUP('Données projet'!$B$10,Paramètres!$A$1:$I$89,9,0)*B7)</f>
        <v>1.0935250000000001</v>
      </c>
      <c r="K7" s="160">
        <f>J7*(100%-'Données projet'!$C$24)*(100%-'Données projet'!$C$25)*(100%-'Données projet'!$C$26)*(100%-'Données projet'!$C$27)</f>
        <v>0.93496387500000011</v>
      </c>
      <c r="L7" s="161">
        <f t="shared" ref="L7:L15" ca="1" si="2">G7+I7+K7</f>
        <v>25.767937075850629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tauzin</v>
      </c>
      <c r="B8" s="163">
        <f>'Données projet'!D11</f>
        <v>0.1411</v>
      </c>
      <c r="C8" s="156">
        <f ca="1">IF(OR('Données projet'!B11="",'Données projet'!C11="",'Données projet'!C11=0%),0,Calculateur!BI3)</f>
        <v>341.48836779133632</v>
      </c>
      <c r="D8" s="156">
        <f>IF(OR('Données projet'!B11="",'Données projet'!C11="",'Données projet'!C11=0%),0,Calculateur!BJ3)</f>
        <v>176.87842498964287</v>
      </c>
      <c r="E8" s="156">
        <f t="shared" ca="1" si="0"/>
        <v>176.87842498964287</v>
      </c>
      <c r="F8" s="156">
        <f t="shared" ca="1" si="1"/>
        <v>24.95754576603861</v>
      </c>
      <c r="G8" s="156">
        <f ca="1">F8*(100%-'Données projet'!$C$24)*(100%-'Données projet'!$C$25)*(100%-'Données projet'!$C$26)*(100%-'Données projet'!$C$27)</f>
        <v>21.338701629963012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21.338701629963012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Tilleul</v>
      </c>
      <c r="B9" s="163">
        <f>'Données projet'!D12</f>
        <v>0.1411</v>
      </c>
      <c r="C9" s="156">
        <f ca="1">IF(OR('Données projet'!B12="",'Données projet'!C12="",'Données projet'!C12=0%),0,Calculateur!CD3)</f>
        <v>253.16238957399855</v>
      </c>
      <c r="D9" s="156">
        <f>IF(OR('Données projet'!B12="",'Données projet'!C12="",'Données projet'!C12=0%),0,Calculateur!CE3)</f>
        <v>138.00705940844708</v>
      </c>
      <c r="E9" s="156">
        <f t="shared" ca="1" si="0"/>
        <v>138.00705940844708</v>
      </c>
      <c r="F9" s="156">
        <f t="shared" ca="1" si="1"/>
        <v>19.472796082531882</v>
      </c>
      <c r="G9" s="156">
        <f ca="1">F9*(100%-'Données projet'!$C$24)*(100%-'Données projet'!$C$25)*(100%-'Données projet'!$C$26)*(100%-'Données projet'!$C$27)</f>
        <v>16.64924065056476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16.64924065056476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301.09930774258964</v>
      </c>
      <c r="G16" s="175">
        <f t="shared" ca="1" si="3"/>
        <v>257.43990811991415</v>
      </c>
      <c r="H16" s="176">
        <f t="shared" si="3"/>
        <v>0.24454607309498752</v>
      </c>
      <c r="I16" s="176">
        <f t="shared" si="3"/>
        <v>0.20908689249621432</v>
      </c>
      <c r="J16" s="177">
        <f t="shared" si="3"/>
        <v>1.0935250000000001</v>
      </c>
      <c r="K16" s="177">
        <f t="shared" si="3"/>
        <v>0.93496387500000011</v>
      </c>
      <c r="L16" s="178">
        <f t="shared" ca="1" si="3"/>
        <v>258.58395888741035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Erable champêtre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tauzin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Tilleul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1" zoomScale="90" zoomScaleNormal="90" workbookViewId="0">
      <selection activeCell="C148" sqref="C14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372.2305674265192</v>
      </c>
      <c r="U10" s="190">
        <f>'Données projet'!D9</f>
        <v>1.2749999999999999</v>
      </c>
      <c r="V10" s="189">
        <f>U10*T10</f>
        <v>474.59397346881195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Erable champêtre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261.8833501148826</v>
      </c>
      <c r="U11" s="190">
        <f>'Données projet'!D10</f>
        <v>0.1411</v>
      </c>
      <c r="V11" s="189">
        <f t="shared" ref="V11" si="0">U11*T11</f>
        <v>36.951740701209935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tauzin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211.34842522680327</v>
      </c>
      <c r="U12" s="190">
        <f>'Données projet'!D11</f>
        <v>0.1411</v>
      </c>
      <c r="V12" s="189">
        <f t="shared" ref="V12:V19" si="1">U12*T12</f>
        <v>29.821262799501941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Tilleul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211.34842522680327</v>
      </c>
      <c r="U13" s="190">
        <f>'Données projet'!D12</f>
        <v>0.1411</v>
      </c>
      <c r="V13" s="189">
        <f t="shared" si="1"/>
        <v>29.821262799501941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8172/1.71</f>
        <v>4778.9473684210525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5594/1.71</f>
        <v>3271.3450292397661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2350/1.71</f>
        <v>1374.2690058479532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0</v>
      </c>
      <c r="C23" s="292">
        <v>0</v>
      </c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-15014.208389782461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0</v>
      </c>
      <c r="C24" s="292">
        <v>8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35</v>
      </c>
      <c r="B25" s="193">
        <f>'Données projet'!D38</f>
        <v>13</v>
      </c>
      <c r="C25" s="292">
        <v>10</v>
      </c>
      <c r="D25" s="194">
        <f t="shared" si="2"/>
        <v>130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-15014.208389782461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40</v>
      </c>
      <c r="B26" s="193">
        <f>'Données projet'!D39</f>
        <v>14</v>
      </c>
      <c r="C26" s="292">
        <v>10</v>
      </c>
      <c r="D26" s="194">
        <f t="shared" si="2"/>
        <v>140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45</v>
      </c>
      <c r="B27" s="193">
        <f>'Données projet'!D40</f>
        <v>14</v>
      </c>
      <c r="C27" s="292">
        <v>10</v>
      </c>
      <c r="D27" s="194">
        <f t="shared" si="2"/>
        <v>140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50</v>
      </c>
      <c r="B28" s="193">
        <f>'Données projet'!D41</f>
        <v>14</v>
      </c>
      <c r="C28" s="292">
        <v>10</v>
      </c>
      <c r="D28" s="194">
        <f t="shared" si="2"/>
        <v>140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55</v>
      </c>
      <c r="B29" s="193">
        <f>'Données projet'!D42</f>
        <v>14</v>
      </c>
      <c r="C29" s="292">
        <v>15</v>
      </c>
      <c r="D29" s="194">
        <f t="shared" si="2"/>
        <v>210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60</v>
      </c>
      <c r="B30" s="193">
        <f>'Données projet'!D43</f>
        <v>14</v>
      </c>
      <c r="C30" s="292">
        <v>15</v>
      </c>
      <c r="D30" s="194">
        <f t="shared" si="2"/>
        <v>210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65</v>
      </c>
      <c r="B31" s="193">
        <f>'Données projet'!D44</f>
        <v>14</v>
      </c>
      <c r="C31" s="292">
        <v>15</v>
      </c>
      <c r="D31" s="194">
        <f t="shared" si="2"/>
        <v>210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70</v>
      </c>
      <c r="B32" s="193">
        <f>'Données projet'!D45</f>
        <v>14</v>
      </c>
      <c r="C32" s="292">
        <v>20</v>
      </c>
      <c r="D32" s="194">
        <f t="shared" si="2"/>
        <v>280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75</v>
      </c>
      <c r="B33" s="193">
        <f>'Données projet'!D46</f>
        <v>14</v>
      </c>
      <c r="C33" s="292">
        <v>20</v>
      </c>
      <c r="D33" s="194">
        <f t="shared" si="2"/>
        <v>280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80</v>
      </c>
      <c r="B34" s="193">
        <f>'Données projet'!D47</f>
        <v>14</v>
      </c>
      <c r="C34" s="292">
        <v>20</v>
      </c>
      <c r="D34" s="194">
        <f t="shared" si="2"/>
        <v>280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14</v>
      </c>
      <c r="C35" s="292">
        <v>20</v>
      </c>
      <c r="D35" s="194">
        <f t="shared" si="2"/>
        <v>280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14</v>
      </c>
      <c r="C36" s="292">
        <v>20</v>
      </c>
      <c r="D36" s="194">
        <f t="shared" si="2"/>
        <v>280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95</v>
      </c>
      <c r="B37" s="193">
        <f>'Données projet'!D50</f>
        <v>14</v>
      </c>
      <c r="C37" s="292">
        <v>30</v>
      </c>
      <c r="D37" s="194">
        <f t="shared" si="2"/>
        <v>420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100</v>
      </c>
      <c r="B38" s="193">
        <f>'Données projet'!D51</f>
        <v>13</v>
      </c>
      <c r="C38" s="292">
        <v>30</v>
      </c>
      <c r="D38" s="194">
        <f t="shared" si="2"/>
        <v>390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105</v>
      </c>
      <c r="B39" s="193">
        <f>'Données projet'!D52</f>
        <v>13</v>
      </c>
      <c r="C39" s="292">
        <v>40</v>
      </c>
      <c r="D39" s="194">
        <f t="shared" si="2"/>
        <v>520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110</v>
      </c>
      <c r="B40" s="193">
        <f>'Données projet'!D53</f>
        <v>13</v>
      </c>
      <c r="C40" s="292">
        <v>50</v>
      </c>
      <c r="D40" s="194">
        <f t="shared" si="2"/>
        <v>650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115</v>
      </c>
      <c r="B41" s="193">
        <f>'Données projet'!D54</f>
        <v>13</v>
      </c>
      <c r="C41" s="292">
        <v>70</v>
      </c>
      <c r="D41" s="194">
        <f t="shared" si="2"/>
        <v>910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120</v>
      </c>
      <c r="B42" s="193">
        <f>'Données projet'!D55</f>
        <v>222</v>
      </c>
      <c r="C42" s="292">
        <v>150</v>
      </c>
      <c r="D42" s="194">
        <f t="shared" si="2"/>
        <v>33300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Erable champêtre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3</v>
      </c>
      <c r="C54" s="292">
        <v>4</v>
      </c>
      <c r="D54" s="191">
        <f>B54*C54</f>
        <v>12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14</v>
      </c>
      <c r="C55" s="292">
        <v>8</v>
      </c>
      <c r="D55" s="191">
        <f t="shared" ref="D55:D73" si="4">B55*C55</f>
        <v>112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14</v>
      </c>
      <c r="C56" s="292">
        <v>10</v>
      </c>
      <c r="D56" s="191">
        <f t="shared" si="4"/>
        <v>140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14</v>
      </c>
      <c r="C57" s="292">
        <v>10</v>
      </c>
      <c r="D57" s="191">
        <f t="shared" si="4"/>
        <v>140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14</v>
      </c>
      <c r="C58" s="292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14</v>
      </c>
      <c r="C59" s="292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11</v>
      </c>
      <c r="C60" s="292">
        <v>15</v>
      </c>
      <c r="D60" s="191">
        <f t="shared" si="4"/>
        <v>165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9</v>
      </c>
      <c r="C61" s="292">
        <v>15</v>
      </c>
      <c r="D61" s="191">
        <f t="shared" si="4"/>
        <v>135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7</v>
      </c>
      <c r="C62" s="292">
        <v>15</v>
      </c>
      <c r="D62" s="191">
        <f t="shared" si="4"/>
        <v>105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6</v>
      </c>
      <c r="C63" s="292">
        <v>20</v>
      </c>
      <c r="D63" s="191">
        <f t="shared" si="4"/>
        <v>120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5</v>
      </c>
      <c r="C64" s="292">
        <v>20</v>
      </c>
      <c r="D64" s="191">
        <f t="shared" si="4"/>
        <v>100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4</v>
      </c>
      <c r="C65" s="292">
        <v>20</v>
      </c>
      <c r="D65" s="191">
        <f t="shared" si="4"/>
        <v>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159</v>
      </c>
      <c r="C66" s="292">
        <v>20</v>
      </c>
      <c r="D66" s="191">
        <f t="shared" si="4"/>
        <v>3180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92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92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92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92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92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92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92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tauzin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25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30</v>
      </c>
      <c r="B86" s="193">
        <f>'Données projet'!D89</f>
        <v>0</v>
      </c>
      <c r="C86" s="204"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35</v>
      </c>
      <c r="B87" s="193">
        <f>'Données projet'!D90</f>
        <v>13</v>
      </c>
      <c r="C87" s="292">
        <v>4</v>
      </c>
      <c r="D87" s="191">
        <f t="shared" si="6"/>
        <v>52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40</v>
      </c>
      <c r="B88" s="193">
        <f>'Données projet'!D91</f>
        <v>14</v>
      </c>
      <c r="C88" s="292">
        <v>8</v>
      </c>
      <c r="D88" s="191">
        <f t="shared" si="6"/>
        <v>112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45</v>
      </c>
      <c r="B89" s="193">
        <f>'Données projet'!D92</f>
        <v>14</v>
      </c>
      <c r="C89" s="292">
        <v>10</v>
      </c>
      <c r="D89" s="191">
        <f t="shared" si="6"/>
        <v>140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50</v>
      </c>
      <c r="B90" s="193">
        <f>'Données projet'!D93</f>
        <v>14</v>
      </c>
      <c r="C90" s="292">
        <v>10</v>
      </c>
      <c r="D90" s="191">
        <f t="shared" si="6"/>
        <v>140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55</v>
      </c>
      <c r="B91" s="193">
        <f>'Données projet'!D94</f>
        <v>14</v>
      </c>
      <c r="C91" s="292">
        <v>10</v>
      </c>
      <c r="D91" s="191">
        <f t="shared" si="6"/>
        <v>140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60</v>
      </c>
      <c r="B92" s="193">
        <f>'Données projet'!D95</f>
        <v>14</v>
      </c>
      <c r="C92" s="292">
        <v>10</v>
      </c>
      <c r="D92" s="191">
        <f t="shared" si="6"/>
        <v>140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65</v>
      </c>
      <c r="B93" s="193">
        <f>'Données projet'!D96</f>
        <v>14</v>
      </c>
      <c r="C93" s="292">
        <v>15</v>
      </c>
      <c r="D93" s="191">
        <f t="shared" si="6"/>
        <v>210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70</v>
      </c>
      <c r="B94" s="193">
        <f>'Données projet'!D97</f>
        <v>14</v>
      </c>
      <c r="C94" s="292">
        <v>15</v>
      </c>
      <c r="D94" s="191">
        <f t="shared" si="6"/>
        <v>210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75</v>
      </c>
      <c r="B95" s="193">
        <f>'Données projet'!D98</f>
        <v>14</v>
      </c>
      <c r="C95" s="292">
        <v>15</v>
      </c>
      <c r="D95" s="191">
        <f t="shared" si="6"/>
        <v>210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80</v>
      </c>
      <c r="B96" s="193">
        <f>'Données projet'!D99</f>
        <v>14</v>
      </c>
      <c r="C96" s="292">
        <v>20</v>
      </c>
      <c r="D96" s="191">
        <f t="shared" si="6"/>
        <v>280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85</v>
      </c>
      <c r="B97" s="193">
        <f>'Données projet'!D100</f>
        <v>14</v>
      </c>
      <c r="C97" s="292">
        <v>20</v>
      </c>
      <c r="D97" s="191">
        <f t="shared" si="6"/>
        <v>280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90</v>
      </c>
      <c r="B98" s="193">
        <f>'Données projet'!D101</f>
        <v>14</v>
      </c>
      <c r="C98" s="292">
        <v>20</v>
      </c>
      <c r="D98" s="191">
        <f t="shared" si="6"/>
        <v>280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95</v>
      </c>
      <c r="B99" s="193">
        <f>'Données projet'!D102</f>
        <v>14</v>
      </c>
      <c r="C99" s="292">
        <v>20</v>
      </c>
      <c r="D99" s="191">
        <f t="shared" si="6"/>
        <v>280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100</v>
      </c>
      <c r="B100" s="193">
        <f>'Données projet'!D103</f>
        <v>13</v>
      </c>
      <c r="C100" s="292">
        <v>20</v>
      </c>
      <c r="D100" s="191">
        <f t="shared" si="6"/>
        <v>260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105</v>
      </c>
      <c r="B101" s="193">
        <f>'Données projet'!D104</f>
        <v>13</v>
      </c>
      <c r="C101" s="292">
        <v>30</v>
      </c>
      <c r="D101" s="191">
        <f t="shared" si="6"/>
        <v>390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110</v>
      </c>
      <c r="B102" s="193">
        <f>'Données projet'!D105</f>
        <v>13</v>
      </c>
      <c r="C102" s="292">
        <v>30</v>
      </c>
      <c r="D102" s="191">
        <f t="shared" si="6"/>
        <v>390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115</v>
      </c>
      <c r="B103" s="193">
        <f>'Données projet'!D106</f>
        <v>13</v>
      </c>
      <c r="C103" s="292">
        <v>40</v>
      </c>
      <c r="D103" s="191">
        <f t="shared" si="6"/>
        <v>520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120</v>
      </c>
      <c r="B104" s="193">
        <f>'Données projet'!D107</f>
        <v>222</v>
      </c>
      <c r="C104" s="292">
        <v>50</v>
      </c>
      <c r="D104" s="191">
        <f t="shared" si="6"/>
        <v>11100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Tilleul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35</v>
      </c>
      <c r="B118" s="193">
        <f>'Données projet'!D116</f>
        <v>13</v>
      </c>
      <c r="C118" s="292">
        <v>4</v>
      </c>
      <c r="D118" s="191">
        <f t="shared" si="8"/>
        <v>52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40</v>
      </c>
      <c r="B119" s="193">
        <f>'Données projet'!D117</f>
        <v>14</v>
      </c>
      <c r="C119" s="292">
        <v>8</v>
      </c>
      <c r="D119" s="191">
        <f t="shared" si="8"/>
        <v>112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45</v>
      </c>
      <c r="B120" s="193">
        <f>'Données projet'!D118</f>
        <v>14</v>
      </c>
      <c r="C120" s="292">
        <v>10</v>
      </c>
      <c r="D120" s="191">
        <f t="shared" si="8"/>
        <v>140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50</v>
      </c>
      <c r="B121" s="193">
        <f>'Données projet'!D119</f>
        <v>14</v>
      </c>
      <c r="C121" s="292">
        <v>10</v>
      </c>
      <c r="D121" s="191">
        <f t="shared" si="8"/>
        <v>140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55</v>
      </c>
      <c r="B122" s="193">
        <f>'Données projet'!D120</f>
        <v>14</v>
      </c>
      <c r="C122" s="292">
        <v>10</v>
      </c>
      <c r="D122" s="191">
        <f t="shared" si="8"/>
        <v>140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60</v>
      </c>
      <c r="B123" s="193">
        <f>'Données projet'!D121</f>
        <v>14</v>
      </c>
      <c r="C123" s="292">
        <v>10</v>
      </c>
      <c r="D123" s="191">
        <f t="shared" si="8"/>
        <v>140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65</v>
      </c>
      <c r="B124" s="193">
        <f>'Données projet'!D122</f>
        <v>14</v>
      </c>
      <c r="C124" s="292">
        <v>15</v>
      </c>
      <c r="D124" s="191">
        <f t="shared" si="8"/>
        <v>210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70</v>
      </c>
      <c r="B125" s="193">
        <f>'Données projet'!D123</f>
        <v>14</v>
      </c>
      <c r="C125" s="292">
        <v>15</v>
      </c>
      <c r="D125" s="191">
        <f t="shared" si="8"/>
        <v>210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75</v>
      </c>
      <c r="B126" s="193">
        <f>'Données projet'!D124</f>
        <v>14</v>
      </c>
      <c r="C126" s="292">
        <v>15</v>
      </c>
      <c r="D126" s="191">
        <f t="shared" si="8"/>
        <v>210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80</v>
      </c>
      <c r="B127" s="193">
        <f>'Données projet'!D125</f>
        <v>14</v>
      </c>
      <c r="C127" s="292">
        <v>20</v>
      </c>
      <c r="D127" s="191">
        <f t="shared" si="8"/>
        <v>280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85</v>
      </c>
      <c r="B128" s="193">
        <f>'Données projet'!D126</f>
        <v>14</v>
      </c>
      <c r="C128" s="292">
        <v>20</v>
      </c>
      <c r="D128" s="191">
        <f t="shared" si="8"/>
        <v>280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90</v>
      </c>
      <c r="B129" s="193">
        <f>'Données projet'!D127</f>
        <v>14</v>
      </c>
      <c r="C129" s="292">
        <v>20</v>
      </c>
      <c r="D129" s="191">
        <f t="shared" si="8"/>
        <v>280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95</v>
      </c>
      <c r="B130" s="193">
        <f>'Données projet'!D128</f>
        <v>14</v>
      </c>
      <c r="C130" s="292">
        <v>20</v>
      </c>
      <c r="D130" s="191">
        <f t="shared" si="8"/>
        <v>280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100</v>
      </c>
      <c r="B131" s="193">
        <f>'Données projet'!D129</f>
        <v>13</v>
      </c>
      <c r="C131" s="292">
        <v>20</v>
      </c>
      <c r="D131" s="191">
        <f t="shared" si="8"/>
        <v>260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105</v>
      </c>
      <c r="B132" s="193">
        <f>'Données projet'!D130</f>
        <v>13</v>
      </c>
      <c r="C132" s="292">
        <v>30</v>
      </c>
      <c r="D132" s="191">
        <f t="shared" si="8"/>
        <v>390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110</v>
      </c>
      <c r="B133" s="193">
        <f>'Données projet'!D131</f>
        <v>13</v>
      </c>
      <c r="C133" s="292">
        <v>30</v>
      </c>
      <c r="D133" s="191">
        <f t="shared" si="8"/>
        <v>390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115</v>
      </c>
      <c r="B134" s="193">
        <f>'Données projet'!D132</f>
        <v>13</v>
      </c>
      <c r="C134" s="292">
        <v>40</v>
      </c>
      <c r="D134" s="191">
        <f t="shared" si="8"/>
        <v>520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120</v>
      </c>
      <c r="B135" s="193">
        <f>'Données projet'!D133</f>
        <v>222</v>
      </c>
      <c r="C135" s="292">
        <v>50</v>
      </c>
      <c r="D135" s="191">
        <f t="shared" si="8"/>
        <v>11100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2024-11-21T11:19:00Z</dcterms:modified>
</cp:coreProperties>
</file>