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SIMORRE (32) - IND OLLIVIER\doc déposé 26_11_24\"/>
    </mc:Choice>
  </mc:AlternateContent>
  <xr:revisionPtr revIDLastSave="0" documentId="13_ncr:1_{ABC1BFEB-D6EF-4C0E-87BD-074D603018F3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B161" i="2"/>
  <c r="ED160" i="2"/>
  <c r="EX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ED174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Y201" i="2" s="1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77" i="2" l="1" a="1"/>
  <c r="CS77" i="2" s="1"/>
  <c r="CS120" i="2" a="1"/>
  <c r="CS120" i="2" s="1"/>
  <c r="CS114" i="2" a="1"/>
  <c r="CS114" i="2" s="1"/>
  <c r="BC83" i="2" a="1"/>
  <c r="BC83" i="2" s="1"/>
  <c r="BC151" i="2" a="1"/>
  <c r="BC151" i="2" s="1"/>
  <c r="BC181" i="2" a="1"/>
  <c r="BC181" i="2" s="1"/>
  <c r="BC65" i="2" a="1"/>
  <c r="BC65" i="2" s="1"/>
  <c r="BC31" i="2" a="1"/>
  <c r="BC31" i="2" s="1"/>
  <c r="BC84" i="2" a="1"/>
  <c r="BC84" i="2" s="1"/>
  <c r="BC7" i="2" a="1"/>
  <c r="BC7" i="2" s="1"/>
  <c r="BD7" i="2" s="1"/>
  <c r="CS137" i="2" a="1"/>
  <c r="CS137" i="2" s="1"/>
  <c r="CS134" i="2" a="1"/>
  <c r="CS134" i="2" s="1"/>
  <c r="CS185" i="2" a="1"/>
  <c r="CS185" i="2" s="1"/>
  <c r="CS52" i="2" a="1"/>
  <c r="CS52" i="2" s="1"/>
  <c r="CS129" i="2" a="1"/>
  <c r="CS129" i="2" s="1"/>
  <c r="CS66" i="2" a="1"/>
  <c r="CS66" i="2" s="1"/>
  <c r="CS116" i="2" a="1"/>
  <c r="CS116" i="2" s="1"/>
  <c r="CS38" i="2" a="1"/>
  <c r="CS38" i="2" s="1"/>
  <c r="CS105" i="2" a="1"/>
  <c r="CS105" i="2" s="1"/>
  <c r="CS161" i="2" a="1"/>
  <c r="CS161" i="2" s="1"/>
  <c r="BC38" i="2" a="1"/>
  <c r="BC38" i="2" s="1"/>
  <c r="BC130" i="2" a="1"/>
  <c r="BC130" i="2" s="1"/>
  <c r="BC185" i="2" a="1"/>
  <c r="BC185" i="2" s="1"/>
  <c r="BC143" i="2" a="1"/>
  <c r="BC143" i="2" s="1"/>
  <c r="BC117" i="2" a="1"/>
  <c r="BC117" i="2" s="1"/>
  <c r="BC32" i="2" a="1"/>
  <c r="BC32" i="2" s="1"/>
  <c r="BC164" i="2" a="1"/>
  <c r="BC164" i="2" s="1"/>
  <c r="BC82" i="2" a="1"/>
  <c r="BC82" i="2" s="1"/>
  <c r="BC192" i="2" a="1"/>
  <c r="BC192" i="2" s="1"/>
  <c r="BC114" i="2" a="1"/>
  <c r="BC114" i="2" s="1"/>
  <c r="BC18" i="2" a="1"/>
  <c r="BC18" i="2" s="1"/>
  <c r="BC55" i="2" a="1"/>
  <c r="BC55" i="2" s="1"/>
  <c r="BC47" i="2" a="1"/>
  <c r="BC47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64" i="2" l="1"/>
  <c r="CY50" i="2"/>
  <c r="CY70" i="2"/>
  <c r="CY113" i="2"/>
  <c r="CY51" i="2"/>
  <c r="CY39" i="2"/>
  <c r="CY12" i="2"/>
  <c r="CY120" i="2"/>
  <c r="CY75" i="2"/>
  <c r="CY140" i="2"/>
  <c r="CY181" i="2"/>
  <c r="CY65" i="2"/>
  <c r="CY187" i="2"/>
  <c r="CY175" i="2"/>
  <c r="CY28" i="2"/>
  <c r="CY114" i="2"/>
  <c r="CY73" i="2"/>
  <c r="CY88" i="2"/>
  <c r="CY54" i="2"/>
  <c r="CY177" i="2"/>
  <c r="CY5" i="2"/>
  <c r="CY71" i="2"/>
  <c r="CY91" i="2"/>
  <c r="CY192" i="2"/>
  <c r="CY102" i="2"/>
  <c r="CY68" i="2"/>
  <c r="CY155" i="2"/>
  <c r="CY138" i="2"/>
  <c r="CY119" i="2"/>
  <c r="CY32" i="2"/>
  <c r="CY122" i="2"/>
  <c r="CY61" i="2"/>
  <c r="CY145" i="2"/>
  <c r="CY83" i="2"/>
  <c r="CY167" i="2"/>
  <c r="CY31" i="2"/>
  <c r="CY55" i="2"/>
  <c r="CY84" i="2"/>
  <c r="CY25" i="2"/>
  <c r="CY3" i="2"/>
  <c r="C10" i="4" s="1"/>
  <c r="E10" i="4" s="1"/>
  <c r="F10" i="4" s="1"/>
  <c r="G10" i="4" s="1"/>
  <c r="L10" i="4" s="1"/>
  <c r="CY157" i="2"/>
  <c r="CY46" i="2"/>
  <c r="CY97" i="2"/>
  <c r="CY60" i="2"/>
  <c r="CY149" i="2"/>
  <c r="CY200" i="2"/>
  <c r="CY87" i="2"/>
  <c r="CY137" i="2"/>
  <c r="CY156" i="2"/>
  <c r="CY186" i="2"/>
  <c r="CY178" i="2"/>
  <c r="CY168" i="2"/>
  <c r="CY47" i="2"/>
  <c r="CY44" i="2"/>
  <c r="CY34" i="2"/>
  <c r="CY98" i="2"/>
  <c r="CY196" i="2"/>
  <c r="CY146" i="2"/>
  <c r="CY21" i="2"/>
  <c r="CY11" i="2"/>
  <c r="CY22" i="2"/>
  <c r="CY169" i="2"/>
  <c r="CY121" i="2"/>
  <c r="CY19" i="2"/>
  <c r="CY191" i="2"/>
  <c r="CY29" i="2"/>
  <c r="CY131" i="2"/>
  <c r="CY53" i="2"/>
  <c r="CY199" i="2"/>
  <c r="CY93" i="2"/>
  <c r="CY193" i="2"/>
  <c r="CY66" i="2"/>
  <c r="CY128" i="2"/>
  <c r="CY95" i="2"/>
  <c r="CY4" i="2"/>
  <c r="CY148" i="2"/>
  <c r="CY173" i="2"/>
  <c r="CY82" i="2"/>
  <c r="CY89" i="2"/>
  <c r="CY151" i="2"/>
  <c r="CY118" i="2"/>
  <c r="CY189" i="2"/>
  <c r="CY139" i="2"/>
  <c r="CY37" i="2"/>
  <c r="CY85" i="2"/>
  <c r="CY124" i="2"/>
  <c r="CY99" i="2"/>
  <c r="CY161" i="2"/>
  <c r="CY69" i="2"/>
  <c r="CY81" i="2"/>
  <c r="CY6" i="2"/>
  <c r="CY45" i="2"/>
  <c r="CY58" i="2"/>
  <c r="CY92" i="2"/>
  <c r="CY174" i="2"/>
  <c r="CY30" i="2"/>
  <c r="CY96" i="2"/>
  <c r="CY170" i="2"/>
  <c r="CY111" i="2"/>
  <c r="CY43" i="2"/>
  <c r="CY35" i="2"/>
  <c r="CY130" i="2"/>
  <c r="CY115" i="2"/>
  <c r="CY103" i="2"/>
  <c r="CY132" i="2"/>
  <c r="CY74" i="2"/>
  <c r="CY90" i="2"/>
  <c r="CY41" i="2"/>
  <c r="CY202" i="2"/>
  <c r="CY48" i="2"/>
  <c r="CY123" i="2"/>
  <c r="CY77" i="2"/>
  <c r="CY117" i="2"/>
  <c r="CY13" i="2"/>
  <c r="CY112" i="2"/>
  <c r="CY143" i="2"/>
  <c r="CY183" i="2"/>
  <c r="CY141" i="2"/>
  <c r="CY109" i="2"/>
  <c r="CY116" i="2"/>
  <c r="CY52" i="2"/>
  <c r="CY180" i="2"/>
  <c r="CY127" i="2"/>
  <c r="CY142" i="2"/>
  <c r="CY86" i="2"/>
  <c r="CY201" i="2"/>
  <c r="CY105" i="2"/>
  <c r="CY7" i="2"/>
  <c r="CY101" i="2"/>
  <c r="CY23" i="2"/>
  <c r="CY14" i="2"/>
  <c r="CY42" i="2"/>
  <c r="CY80" i="2"/>
  <c r="CY150" i="2"/>
  <c r="CY20" i="2"/>
  <c r="CY107" i="2"/>
  <c r="CY76" i="2"/>
  <c r="CY129" i="2"/>
  <c r="CY147" i="2"/>
  <c r="CY100" i="2"/>
  <c r="CY182" i="2"/>
  <c r="CY10" i="2"/>
  <c r="CY106" i="2"/>
  <c r="CY79" i="2"/>
  <c r="CY38" i="2"/>
  <c r="CY125" i="2"/>
  <c r="CY36" i="2"/>
  <c r="CY33" i="2"/>
  <c r="CY154" i="2"/>
  <c r="CY57" i="2"/>
  <c r="CY94" i="2"/>
  <c r="CY164" i="2"/>
  <c r="CY15" i="2"/>
  <c r="CY144" i="2"/>
  <c r="CY136" i="2"/>
  <c r="CY188" i="2"/>
  <c r="CY159" i="2"/>
  <c r="CY165" i="2"/>
  <c r="CY135" i="2"/>
  <c r="CY40" i="2"/>
  <c r="CY59" i="2"/>
  <c r="CY104" i="2"/>
  <c r="CY185" i="2"/>
  <c r="CY110" i="2"/>
  <c r="CY56" i="2"/>
  <c r="CY24" i="2"/>
  <c r="CY133" i="2"/>
  <c r="CY17" i="2"/>
  <c r="CY158" i="2"/>
  <c r="CY184" i="2"/>
  <c r="CY163" i="2"/>
  <c r="CY179" i="2"/>
  <c r="CY9" i="2"/>
  <c r="CY134" i="2"/>
  <c r="CY197" i="2"/>
  <c r="CY194" i="2"/>
  <c r="CY62" i="2"/>
  <c r="CY67" i="2"/>
  <c r="CY8" i="2"/>
  <c r="CY18" i="2"/>
  <c r="CY172" i="2"/>
  <c r="CY72" i="2"/>
  <c r="CY49" i="2"/>
  <c r="CY160" i="2"/>
  <c r="CY166" i="2"/>
  <c r="CY108" i="2"/>
  <c r="CY195" i="2"/>
  <c r="CY162" i="2"/>
  <c r="CY126" i="2"/>
  <c r="CY16" i="2"/>
  <c r="CY153" i="2"/>
  <c r="CY152" i="2"/>
  <c r="CY171" i="2"/>
  <c r="CY63" i="2"/>
  <c r="CY198" i="2"/>
  <c r="CY203" i="2"/>
  <c r="CY78" i="2"/>
  <c r="CY190" i="2"/>
  <c r="CY176" i="2"/>
  <c r="CY26" i="2"/>
  <c r="CY2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<sst xmlns="http://schemas.openxmlformats.org/spreadsheetml/2006/main" count="1183" uniqueCount="332">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</sst>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C-4260-B990-81E35A5401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FC-4260-B990-81E35A5401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C-4260-B990-81E35A5401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C-4260-B990-81E35A5401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FC-4260-B990-81E35A5401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FC-4260-B990-81E35A5401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FC-4260-B990-81E35A5401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FC-4260-B990-81E35A5401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FC-4260-B990-81E35A5401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FC-4260-B990-81E35A5401D6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3.5848171351889988</c:v>
                </c:pt>
                <c:pt idx="2">
                  <c:v>4.8416286626927247</c:v>
                </c:pt>
                <c:pt idx="3">
                  <c:v>6.5408715372244179</c:v>
                </c:pt>
                <c:pt idx="4">
                  <c:v>8.8388887797983759</c:v>
                </c:pt>
                <c:pt idx="5">
                  <c:v>11.947466582584214</c:v>
                </c:pt>
                <c:pt idx="6">
                  <c:v>16.153560047933912</c:v>
                </c:pt>
                <c:pt idx="7">
                  <c:v>21.846057976010275</c:v>
                </c:pt>
                <c:pt idx="8">
                  <c:v>29.552105381384482</c:v>
                </c:pt>
                <c:pt idx="9">
                  <c:v>39.986405856823303</c:v>
                </c:pt>
                <c:pt idx="10">
                  <c:v>54.118154115891912</c:v>
                </c:pt>
                <c:pt idx="11">
                  <c:v>73.261919019549453</c:v>
                </c:pt>
                <c:pt idx="12">
                  <c:v>99.201068322796701</c:v>
                </c:pt>
                <c:pt idx="13">
                  <c:v>134.35541493135989</c:v>
                </c:pt>
                <c:pt idx="14">
                  <c:v>182.00896554681501</c:v>
                </c:pt>
                <c:pt idx="15">
                  <c:v>246.61936765788826</c:v>
                </c:pt>
                <c:pt idx="16">
                  <c:v>206.51794973434934</c:v>
                </c:pt>
                <c:pt idx="17">
                  <c:v>243.02122855783492</c:v>
                </c:pt>
                <c:pt idx="18">
                  <c:v>279.39963766111288</c:v>
                </c:pt>
                <c:pt idx="19">
                  <c:v>315.67172376772402</c:v>
                </c:pt>
                <c:pt idx="20">
                  <c:v>351.85141458646626</c:v>
                </c:pt>
                <c:pt idx="21">
                  <c:v>274.91455293818166</c:v>
                </c:pt>
                <c:pt idx="22">
                  <c:v>309.85682211726339</c:v>
                </c:pt>
                <c:pt idx="23">
                  <c:v>344.711580692376</c:v>
                </c:pt>
                <c:pt idx="24">
                  <c:v>379.48891258338023</c:v>
                </c:pt>
                <c:pt idx="25">
                  <c:v>414.19690225230153</c:v>
                </c:pt>
                <c:pt idx="26">
                  <c:v>331.31556691700854</c:v>
                </c:pt>
                <c:pt idx="27">
                  <c:v>364.33852516457887</c:v>
                </c:pt>
                <c:pt idx="28">
                  <c:v>397.29609733045731</c:v>
                </c:pt>
                <c:pt idx="29">
                  <c:v>430.19446310321763</c:v>
                </c:pt>
                <c:pt idx="30">
                  <c:v>463.03878041146328</c:v>
                </c:pt>
                <c:pt idx="31">
                  <c:v>379.93431009929628</c:v>
                </c:pt>
                <c:pt idx="32">
                  <c:v>410.19544990407513</c:v>
                </c:pt>
                <c:pt idx="33">
                  <c:v>440.40840252576203</c:v>
                </c:pt>
                <c:pt idx="34">
                  <c:v>470.57693415697889</c:v>
                </c:pt>
                <c:pt idx="35">
                  <c:v>500.70428912785314</c:v>
                </c:pt>
                <c:pt idx="36">
                  <c:v>419.08643473326879</c:v>
                </c:pt>
                <c:pt idx="37">
                  <c:v>446.17924414056756</c:v>
                </c:pt>
                <c:pt idx="38">
                  <c:v>473.23684263623528</c:v>
                </c:pt>
                <c:pt idx="39">
                  <c:v>500.26152412217448</c:v>
                </c:pt>
                <c:pt idx="40">
                  <c:v>527.25531469060434</c:v>
                </c:pt>
                <c:pt idx="41">
                  <c:v>452.39221015864678</c:v>
                </c:pt>
                <c:pt idx="42">
                  <c:v>477.22610926559105</c:v>
                </c:pt>
                <c:pt idx="43">
                  <c:v>502.03253444791227</c:v>
                </c:pt>
                <c:pt idx="44">
                  <c:v>526.81303270774799</c:v>
                </c:pt>
                <c:pt idx="45">
                  <c:v>551.56899378437413</c:v>
                </c:pt>
                <c:pt idx="46">
                  <c:v>482.54402933920204</c:v>
                </c:pt>
                <c:pt idx="47">
                  <c:v>504.24611149146443</c:v>
                </c:pt>
                <c:pt idx="48">
                  <c:v>525.92844527215686</c:v>
                </c:pt>
                <c:pt idx="49">
                  <c:v>547.59195866062225</c:v>
                </c:pt>
                <c:pt idx="50">
                  <c:v>569.2375002894953</c:v>
                </c:pt>
                <c:pt idx="51">
                  <c:v>506.45948298618129</c:v>
                </c:pt>
                <c:pt idx="52">
                  <c:v>525.48613980439268</c:v>
                </c:pt>
                <c:pt idx="53">
                  <c:v>544.49829034246511</c:v>
                </c:pt>
                <c:pt idx="54">
                  <c:v>563.49651203558233</c:v>
                </c:pt>
                <c:pt idx="55">
                  <c:v>582.48134023717648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45.976451369424893</c:v>
                </c:pt>
                <c:pt idx="22">
                  <c:v>61.195253174133917</c:v>
                </c:pt>
                <c:pt idx="23">
                  <c:v>76.314953891111699</c:v>
                </c:pt>
                <c:pt idx="24">
                  <c:v>91.358114590501202</c:v>
                </c:pt>
                <c:pt idx="25">
                  <c:v>106.33917221071198</c:v>
                </c:pt>
                <c:pt idx="26">
                  <c:v>93.28198944103697</c:v>
                </c:pt>
                <c:pt idx="27">
                  <c:v>107.10595572323882</c:v>
                </c:pt>
                <c:pt idx="28">
                  <c:v>120.88592545349094</c:v>
                </c:pt>
                <c:pt idx="29">
                  <c:v>134.62762855321992</c:v>
                </c:pt>
                <c:pt idx="30">
                  <c:v>148.33552588657844</c:v>
                </c:pt>
                <c:pt idx="31">
                  <c:v>134.24638938649042</c:v>
                </c:pt>
                <c:pt idx="32">
                  <c:v>146.81397834828729</c:v>
                </c:pt>
                <c:pt idx="33">
                  <c:v>159.35586286360191</c:v>
                </c:pt>
                <c:pt idx="34">
                  <c:v>171.87435267338165</c:v>
                </c:pt>
                <c:pt idx="35">
                  <c:v>184.37139305479846</c:v>
                </c:pt>
                <c:pt idx="36">
                  <c:v>168.8416056097681</c:v>
                </c:pt>
                <c:pt idx="37">
                  <c:v>179.829386330098</c:v>
                </c:pt>
                <c:pt idx="38">
                  <c:v>190.80144399249431</c:v>
                </c:pt>
                <c:pt idx="39">
                  <c:v>201.75881092692779</c:v>
                </c:pt>
                <c:pt idx="40">
                  <c:v>212.70239804910184</c:v>
                </c:pt>
                <c:pt idx="41">
                  <c:v>195.33725403815257</c:v>
                </c:pt>
                <c:pt idx="42">
                  <c:v>204.40159586063604</c:v>
                </c:pt>
                <c:pt idx="43">
                  <c:v>213.45664137520589</c:v>
                </c:pt>
                <c:pt idx="44">
                  <c:v>222.50284096633968</c:v>
                </c:pt>
                <c:pt idx="45">
                  <c:v>231.54060536306474</c:v>
                </c:pt>
                <c:pt idx="46">
                  <c:v>213.07952740360659</c:v>
                </c:pt>
                <c:pt idx="47">
                  <c:v>220.99573745004457</c:v>
                </c:pt>
                <c:pt idx="48">
                  <c:v>228.90543935922884</c:v>
                </c:pt>
                <c:pt idx="49">
                  <c:v>236.80889001154424</c:v>
                </c:pt>
                <c:pt idx="50">
                  <c:v>244.70632771903044</c:v>
                </c:pt>
                <c:pt idx="51">
                  <c:v>230.78777111964928</c:v>
                </c:pt>
                <c:pt idx="52">
                  <c:v>237.56128239156058</c:v>
                </c:pt>
                <c:pt idx="53">
                  <c:v>244.3303922732961</c:v>
                </c:pt>
                <c:pt idx="54">
                  <c:v>251.0952400785371</c:v>
                </c:pt>
                <c:pt idx="55">
                  <c:v>257.85595699105755</c:v>
                </c:pt>
                <c:pt idx="56">
                  <c:v>246.58580846713619</c:v>
                </c:pt>
                <c:pt idx="57">
                  <c:v>252.22230966781112</c:v>
                </c:pt>
                <c:pt idx="58">
                  <c:v>257.85595699105755</c:v>
                </c:pt>
                <c:pt idx="59">
                  <c:v>263.4868216859382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265.73840375453756</c:v>
                </c:pt>
                <c:pt idx="63">
                  <c:v>270.61536157536983</c:v>
                </c:pt>
                <c:pt idx="64">
                  <c:v>275.49034176419684</c:v>
                </c:pt>
                <c:pt idx="65">
                  <c:v>280.36338431358678</c:v>
                </c:pt>
                <c:pt idx="66">
                  <c:v>272.86559571589561</c:v>
                </c:pt>
                <c:pt idx="67">
                  <c:v>276.61506059958811</c:v>
                </c:pt>
                <c:pt idx="68">
                  <c:v>280.36338431358678</c:v>
                </c:pt>
                <c:pt idx="69">
                  <c:v>284.11058429716269</c:v>
                </c:pt>
                <c:pt idx="70">
                  <c:v>287.85667749117096</c:v>
                </c:pt>
                <c:pt idx="71">
                  <c:v>282.23712370144068</c:v>
                </c:pt>
                <c:pt idx="72">
                  <c:v>285.98376820295493</c:v>
                </c:pt>
                <c:pt idx="73">
                  <c:v>289.72931420493518</c:v>
                </c:pt>
                <c:pt idx="74">
                  <c:v>293.47377793906486</c:v>
                </c:pt>
                <c:pt idx="75">
                  <c:v>297.21717518827535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2" sqref="G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3" t="s">
        <v>190</v>
      </c>
      <c r="D1" s="313"/>
      <c r="E1" s="31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2.17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0.49844414221323441</v>
      </c>
      <c r="D9" s="36">
        <f t="shared" ref="D9:D18" si="0">C9*$C$5</f>
        <v>1.0816237886027187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9</v>
      </c>
      <c r="C10" s="35">
        <v>8.3667409585792912E-2</v>
      </c>
      <c r="D10" s="36">
        <f t="shared" si="0"/>
        <v>0.18155827880117062</v>
      </c>
      <c r="E10" s="37">
        <v>55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21</v>
      </c>
      <c r="C11" s="35">
        <v>8.3667409585792912E-2</v>
      </c>
      <c r="D11" s="36">
        <f t="shared" si="0"/>
        <v>0.18155827880117062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</v>
      </c>
      <c r="C12" s="35">
        <v>0.127</v>
      </c>
      <c r="D12" s="36">
        <f t="shared" si="0"/>
        <v>0.27559</v>
      </c>
      <c r="E12" s="37">
        <v>55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0.20599999999999999</v>
      </c>
      <c r="D13" s="36">
        <f t="shared" si="0"/>
        <v>0.44701999999999997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0.99877896138482014</v>
      </c>
      <c r="D19" s="41">
        <f>SUM(D9:D18)</f>
        <v>2.1673503462050601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107</v>
      </c>
      <c r="C62" s="63">
        <v>1</v>
      </c>
      <c r="D62" s="63">
        <v>34</v>
      </c>
      <c r="E62" s="54"/>
      <c r="F62" s="54"/>
      <c r="G62" s="54"/>
      <c r="H62" s="54">
        <v>1</v>
      </c>
      <c r="I62" s="56">
        <f>IFERROR(B62/A62,"")</f>
        <v>7.1333333333333337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154</v>
      </c>
      <c r="C63" s="63">
        <v>2</v>
      </c>
      <c r="D63" s="63">
        <v>50</v>
      </c>
      <c r="E63" s="54"/>
      <c r="F63" s="54">
        <v>0.5</v>
      </c>
      <c r="G63" s="54">
        <v>0.5</v>
      </c>
      <c r="H63" s="54"/>
      <c r="I63" s="52">
        <f>IF(A63&lt;&gt;0,(B63-(B62-D62))/(A63-A62),"")</f>
        <v>16.2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182</v>
      </c>
      <c r="C64" s="63">
        <v>3</v>
      </c>
      <c r="D64" s="63">
        <v>52</v>
      </c>
      <c r="E64" s="54"/>
      <c r="F64" s="54">
        <v>0.6</v>
      </c>
      <c r="G64" s="54">
        <v>0.4</v>
      </c>
      <c r="H64" s="54"/>
      <c r="I64" s="52">
        <f>IF(A64&lt;&gt;0,(B64-(B63-D63))/(A64-A63),"")</f>
        <v>15.6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204</v>
      </c>
      <c r="C65" s="63">
        <v>4</v>
      </c>
      <c r="D65" s="63">
        <v>51</v>
      </c>
      <c r="E65" s="54"/>
      <c r="F65" s="54">
        <v>0.7</v>
      </c>
      <c r="G65" s="54">
        <v>0.3</v>
      </c>
      <c r="H65" s="54"/>
      <c r="I65" s="52">
        <f>IF(A65&lt;&gt;0,(B65-(B64-D64))/(A65-A64),"")</f>
        <v>14.8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221</v>
      </c>
      <c r="C66" s="63">
        <v>5</v>
      </c>
      <c r="D66" s="63">
        <v>49</v>
      </c>
      <c r="E66" s="54"/>
      <c r="F66" s="54"/>
      <c r="G66" s="54"/>
      <c r="H66" s="54"/>
      <c r="I66" s="52">
        <f t="shared" ref="I66:I81" si="2">IF(A66&lt;&gt;0,(B66-(B65-D65))/(A66-A65),"")</f>
        <v>13.6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233</v>
      </c>
      <c r="C67" s="63">
        <v>6</v>
      </c>
      <c r="D67" s="63">
        <v>45</v>
      </c>
      <c r="E67" s="54"/>
      <c r="F67" s="54"/>
      <c r="G67" s="54"/>
      <c r="H67" s="54"/>
      <c r="I67" s="52">
        <f t="shared" si="2"/>
        <v>12.2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244</v>
      </c>
      <c r="C68" s="63">
        <v>7</v>
      </c>
      <c r="D68" s="63">
        <v>41</v>
      </c>
      <c r="E68" s="54"/>
      <c r="F68" s="54"/>
      <c r="G68" s="54"/>
      <c r="H68" s="54"/>
      <c r="I68" s="52">
        <f t="shared" si="2"/>
        <v>11.2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252</v>
      </c>
      <c r="C69" s="53">
        <v>8</v>
      </c>
      <c r="D69" s="53">
        <v>37</v>
      </c>
      <c r="E69" s="54"/>
      <c r="F69" s="54"/>
      <c r="G69" s="54"/>
      <c r="H69" s="54"/>
      <c r="I69" s="52">
        <f t="shared" si="2"/>
        <v>9.8000000000000007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258</v>
      </c>
      <c r="C70" s="53">
        <v>9</v>
      </c>
      <c r="D70" s="53">
        <v>258</v>
      </c>
      <c r="E70" s="54"/>
      <c r="F70" s="54"/>
      <c r="G70" s="54"/>
      <c r="H70" s="54"/>
      <c r="I70" s="52">
        <f t="shared" si="2"/>
        <v>8.6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champêtre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18</v>
      </c>
      <c r="C88" s="63">
        <v>1</v>
      </c>
      <c r="D88" s="63">
        <v>3</v>
      </c>
      <c r="E88" s="54"/>
      <c r="F88" s="54"/>
      <c r="G88" s="54"/>
      <c r="H88" s="93">
        <v>1</v>
      </c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54</v>
      </c>
      <c r="C89" s="63">
        <v>2</v>
      </c>
      <c r="D89" s="63">
        <v>14</v>
      </c>
      <c r="E89" s="54"/>
      <c r="F89" s="54"/>
      <c r="G89" s="54"/>
      <c r="H89" s="93">
        <v>1</v>
      </c>
      <c r="I89" s="56">
        <f t="shared" ref="I89:I107" si="3">IF(A89&lt;&gt;0,(B89-(B88-D88))/(A89-A88),"")</f>
        <v>7.8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76</v>
      </c>
      <c r="C90" s="63">
        <v>3</v>
      </c>
      <c r="D90" s="63">
        <v>14</v>
      </c>
      <c r="E90" s="93"/>
      <c r="F90" s="93"/>
      <c r="G90" s="93"/>
      <c r="H90" s="93"/>
      <c r="I90" s="56">
        <f t="shared" si="3"/>
        <v>7.2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95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6.6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110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120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4.8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127</v>
      </c>
      <c r="C94" s="63">
        <v>7</v>
      </c>
      <c r="D94" s="63">
        <v>11</v>
      </c>
      <c r="E94" s="93"/>
      <c r="F94" s="93"/>
      <c r="G94" s="93"/>
      <c r="H94" s="93"/>
      <c r="I94" s="56">
        <f t="shared" si="3"/>
        <v>4.2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134</v>
      </c>
      <c r="C95" s="63">
        <v>8</v>
      </c>
      <c r="D95" s="63">
        <v>9</v>
      </c>
      <c r="E95" s="93"/>
      <c r="F95" s="93"/>
      <c r="G95" s="93"/>
      <c r="H95" s="93"/>
      <c r="I95" s="56">
        <f t="shared" si="3"/>
        <v>3.6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140</v>
      </c>
      <c r="C96" s="63">
        <v>9</v>
      </c>
      <c r="D96" s="63">
        <v>7</v>
      </c>
      <c r="E96" s="93"/>
      <c r="F96" s="93"/>
      <c r="G96" s="93"/>
      <c r="H96" s="93"/>
      <c r="I96" s="56">
        <f t="shared" si="3"/>
        <v>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146</v>
      </c>
      <c r="C97" s="63">
        <v>10</v>
      </c>
      <c r="D97" s="63">
        <v>6</v>
      </c>
      <c r="E97" s="93"/>
      <c r="F97" s="93"/>
      <c r="G97" s="93"/>
      <c r="H97" s="93"/>
      <c r="I97" s="56">
        <f t="shared" si="3"/>
        <v>2.6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150</v>
      </c>
      <c r="C98" s="63">
        <v>11</v>
      </c>
      <c r="D98" s="63">
        <v>5</v>
      </c>
      <c r="E98" s="93"/>
      <c r="F98" s="93"/>
      <c r="G98" s="93"/>
      <c r="H98" s="93"/>
      <c r="I98" s="56">
        <f t="shared" si="3"/>
        <v>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155</v>
      </c>
      <c r="C99" s="63">
        <v>12</v>
      </c>
      <c r="D99" s="63">
        <v>4</v>
      </c>
      <c r="E99" s="93"/>
      <c r="F99" s="93"/>
      <c r="G99" s="93"/>
      <c r="H99" s="93"/>
      <c r="I99" s="56">
        <f t="shared" si="3"/>
        <v>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159</v>
      </c>
      <c r="C100" s="63">
        <v>13</v>
      </c>
      <c r="D100" s="63">
        <v>159</v>
      </c>
      <c r="E100" s="68"/>
      <c r="F100" s="68"/>
      <c r="G100" s="68"/>
      <c r="H100" s="68"/>
      <c r="I100" s="56">
        <f t="shared" si="3"/>
        <v>1.6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107</v>
      </c>
      <c r="C114" s="53">
        <v>1</v>
      </c>
      <c r="D114" s="63">
        <v>34</v>
      </c>
      <c r="E114" s="54"/>
      <c r="F114" s="54"/>
      <c r="G114" s="54"/>
      <c r="H114" s="54">
        <v>1</v>
      </c>
      <c r="I114" s="56">
        <f>IFERROR(B114/A114,"")</f>
        <v>7.1333333333333337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154</v>
      </c>
      <c r="C115" s="53">
        <v>2</v>
      </c>
      <c r="D115" s="63">
        <v>50</v>
      </c>
      <c r="E115" s="54"/>
      <c r="F115" s="54">
        <v>0.5</v>
      </c>
      <c r="G115" s="54">
        <v>0.5</v>
      </c>
      <c r="H115" s="54"/>
      <c r="I115" s="56">
        <f t="shared" ref="I115:I133" si="4">IF(A115&lt;&gt;0,(B115-(B114-D114))/(A115-A114),"")</f>
        <v>16.2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182</v>
      </c>
      <c r="C116" s="53">
        <v>3</v>
      </c>
      <c r="D116" s="63">
        <v>52</v>
      </c>
      <c r="E116" s="54"/>
      <c r="F116" s="54">
        <v>0.6</v>
      </c>
      <c r="G116" s="54">
        <v>0.4</v>
      </c>
      <c r="H116" s="54"/>
      <c r="I116" s="56">
        <f t="shared" si="4"/>
        <v>15.6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204</v>
      </c>
      <c r="C117" s="53">
        <v>4</v>
      </c>
      <c r="D117" s="63">
        <v>51</v>
      </c>
      <c r="E117" s="54"/>
      <c r="F117" s="54">
        <v>0.7</v>
      </c>
      <c r="G117" s="54">
        <v>0.3</v>
      </c>
      <c r="H117" s="54"/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221</v>
      </c>
      <c r="C118" s="53">
        <v>5</v>
      </c>
      <c r="D118" s="63">
        <v>49</v>
      </c>
      <c r="E118" s="54"/>
      <c r="F118" s="54"/>
      <c r="G118" s="54"/>
      <c r="H118" s="54"/>
      <c r="I118" s="56">
        <f t="shared" si="4"/>
        <v>13.6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233</v>
      </c>
      <c r="C119" s="53">
        <v>6</v>
      </c>
      <c r="D119" s="63">
        <v>45</v>
      </c>
      <c r="E119" s="54"/>
      <c r="F119" s="54"/>
      <c r="G119" s="54"/>
      <c r="H119" s="54"/>
      <c r="I119" s="56">
        <f t="shared" si="4"/>
        <v>12.2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v>244</v>
      </c>
      <c r="C120" s="63">
        <v>7</v>
      </c>
      <c r="D120" s="63">
        <v>41</v>
      </c>
      <c r="E120" s="93"/>
      <c r="F120" s="93"/>
      <c r="G120" s="93"/>
      <c r="H120" s="93"/>
      <c r="I120" s="56">
        <f t="shared" si="4"/>
        <v>11.2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252</v>
      </c>
      <c r="C121" s="63">
        <v>8</v>
      </c>
      <c r="D121" s="63">
        <v>37</v>
      </c>
      <c r="E121" s="93"/>
      <c r="F121" s="93"/>
      <c r="G121" s="93"/>
      <c r="H121" s="93"/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258</v>
      </c>
      <c r="C122" s="63">
        <v>9</v>
      </c>
      <c r="D122" s="63">
        <v>258</v>
      </c>
      <c r="E122" s="93"/>
      <c r="F122" s="93"/>
      <c r="G122" s="93"/>
      <c r="H122" s="93"/>
      <c r="I122" s="56">
        <f t="shared" si="4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158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7.9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250</v>
      </c>
      <c r="C141" s="53">
        <v>2</v>
      </c>
      <c r="D141" s="63">
        <v>0</v>
      </c>
      <c r="E141" s="54"/>
      <c r="F141" s="54"/>
      <c r="G141" s="54"/>
      <c r="H141" s="54"/>
      <c r="I141" s="60">
        <f t="shared" ref="I141:I159" si="5">IF(A141&lt;&gt;0,(B141-(B140-D140))/(A141-A140),"")</f>
        <v>9.1999999999999993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40</v>
      </c>
      <c r="B142" s="63">
        <v>350</v>
      </c>
      <c r="C142" s="53">
        <v>3</v>
      </c>
      <c r="D142" s="63">
        <v>88</v>
      </c>
      <c r="E142" s="54"/>
      <c r="F142" s="54"/>
      <c r="G142" s="54"/>
      <c r="H142" s="54"/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50</v>
      </c>
      <c r="B143" s="63">
        <v>377</v>
      </c>
      <c r="C143" s="53">
        <v>4</v>
      </c>
      <c r="D143" s="63">
        <v>0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60</v>
      </c>
      <c r="B144" s="63">
        <v>512</v>
      </c>
      <c r="C144" s="53">
        <v>5</v>
      </c>
      <c r="D144" s="63">
        <v>102</v>
      </c>
      <c r="E144" s="54"/>
      <c r="F144" s="54"/>
      <c r="G144" s="54"/>
      <c r="H144" s="54"/>
      <c r="I144" s="60">
        <f t="shared" si="5"/>
        <v>13.5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70</v>
      </c>
      <c r="B145" s="63">
        <v>565</v>
      </c>
      <c r="C145" s="53">
        <v>6</v>
      </c>
      <c r="D145" s="63">
        <v>113</v>
      </c>
      <c r="E145" s="54"/>
      <c r="F145" s="54"/>
      <c r="G145" s="54"/>
      <c r="H145" s="54"/>
      <c r="I145" s="60">
        <f t="shared" si="5"/>
        <v>15.5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80</v>
      </c>
      <c r="B146" s="63">
        <v>622</v>
      </c>
      <c r="C146" s="53">
        <v>7</v>
      </c>
      <c r="D146" s="63">
        <v>124</v>
      </c>
      <c r="E146" s="54"/>
      <c r="F146" s="54"/>
      <c r="G146" s="54"/>
      <c r="H146" s="54"/>
      <c r="I146" s="60">
        <f t="shared" si="5"/>
        <v>17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90</v>
      </c>
      <c r="B147" s="63">
        <v>673</v>
      </c>
      <c r="C147" s="53">
        <v>8</v>
      </c>
      <c r="D147" s="63">
        <v>135</v>
      </c>
      <c r="E147" s="54"/>
      <c r="F147" s="54"/>
      <c r="G147" s="54"/>
      <c r="H147" s="54"/>
      <c r="I147" s="60">
        <f>IF(A147&lt;&gt;0,(B147-(B146-D146))/(A147-A146),"")</f>
        <v>17.5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100</v>
      </c>
      <c r="B148" s="63">
        <v>723</v>
      </c>
      <c r="C148" s="53">
        <v>9</v>
      </c>
      <c r="D148" s="63">
        <v>723</v>
      </c>
      <c r="E148" s="54"/>
      <c r="F148" s="54"/>
      <c r="G148" s="54"/>
      <c r="H148" s="54"/>
      <c r="I148" s="60">
        <f t="shared" si="5"/>
        <v>18.5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pubescent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Chêne chevelu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Erable champêtre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Chêne rouge d'Amérique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>Cèdre de l'Atlas</v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411.98877330238821</v>
      </c>
      <c r="T3" s="62">
        <f>IF('Données projet'!E9&gt;30,$R$33-$H$33,LOOKUP('Données projet'!$E$9,$A$3:$A$203,R3:R203)-LOOKUP('Données projet'!$E$9,$A$3:$A$203,$H$3:$H$203))</f>
        <v>256.4377087753457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356.31271939877655</v>
      </c>
      <c r="AO3" s="62">
        <f>IF('Données projet'!E10&gt;30,$AM$33-$H$33,LOOKUP('Données projet'!$E$10,$A$3:$A$203,AM3:AM203)-LOOKUP('Données projet'!$E$10,$A$3:$A$203,$H$3:$H$203))</f>
        <v>499.70544707812991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195.30963433439501</v>
      </c>
      <c r="BJ3" s="62">
        <f>IF('Données projet'!E11&gt;30,$BH$33-$H$33,LOOKUP('Données projet'!$E$11,$A$3:$A$203,BH3:BH203)-LOOKUP('Données projet'!$E$11,$A$3:$A$203,$H$3:$H$203))</f>
        <v>185.00219255324504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303.33040062722074</v>
      </c>
      <c r="CE3" s="62">
        <f>IF('Données projet'!E12&gt;30,$CC$33-$H$33,LOOKUP('Données projet'!$E$12,$A$3:$A$203,CC3:CC203)-LOOKUP('Données projet'!$E$12,$A$3:$A$203,$H$3:$H$203))</f>
        <v>425.30058672361548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396.92963589781414</v>
      </c>
      <c r="CZ3" s="62">
        <f>IF('Données projet'!E13&gt;30,$CX$33-$H$33,LOOKUP('Données projet'!$E$13,$A$3:$A$203,CX3:CX203)-LOOKUP('Données projet'!$E$13,$A$3:$A$203,$H$3:$H$203))</f>
        <v>294.38852181137639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1.2025088711792926</v>
      </c>
      <c r="P4" s="14">
        <f>EXP(-1.0587+0.8836*LN(O4)+0.284)</f>
        <v>0.54239799688655566</v>
      </c>
      <c r="Q4" s="22">
        <f t="shared" ref="Q4:Q34" si="2">(O4+P4)*0.475*44/12</f>
        <v>3.0390461285480193</v>
      </c>
      <c r="R4" s="62">
        <f t="shared" si="0"/>
        <v>260.92793501743688</v>
      </c>
      <c r="S4" s="62">
        <f ca="1">AVERAGE(OFFSET($R$3,0,0,'Données projet'!$E$9+1,1))-AVERAGE(OFFSET($H$3,0,0,'Données projet'!$E$9+1,1))</f>
        <v>411.98877330238821</v>
      </c>
      <c r="T4" s="62">
        <f>$T$3</f>
        <v>256.4377087753457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7.1333333333333337</v>
      </c>
      <c r="AI4" s="14">
        <f>IF('Données projet'!$A$62&gt;35,AI3+AH4-AQ3,IF(A4&lt;'Données projet'!$A$62,$AF$205^A4,IF(A4='Données projet'!$A$62,'Données projet'!$B$62,AI3+AH4-AQ3)))</f>
        <v>1.3655017210306359</v>
      </c>
      <c r="AJ4" s="14">
        <f>AI4*VLOOKUP('Données projet'!$B$10,Paramètres!$A$1:$I$89,3,0)*VLOOKUP('Données projet'!$B$10,Paramètres!$A$1:$I$89,5,0)</f>
        <v>1.4272223988212207</v>
      </c>
      <c r="AK4" s="14">
        <f>EXP(-1.0587+0.8836*LN(AJ4)+0.284)</f>
        <v>0.63104581277054894</v>
      </c>
      <c r="AL4" s="22">
        <f t="shared" ref="AL4:AL67" si="4">(AJ4+AK4)*0.475*44/12</f>
        <v>3.5848171351889988</v>
      </c>
      <c r="AM4" s="62">
        <f t="shared" ref="AM4:AM67" si="5">AL4+(AD4+AE4)*44/12</f>
        <v>261.47370602407784</v>
      </c>
      <c r="AN4" s="62">
        <f ca="1">AVERAGE(OFFSET($AM$3,0,0,'Données projet'!$E$10+1,1))-AVERAGE(OFFSET($H$3,0,0,'Données projet'!$E$10+1,1))</f>
        <v>356.31271939877655</v>
      </c>
      <c r="AO4" s="62">
        <f>$AO$3</f>
        <v>499.70544707812991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1.1554831727638066</v>
      </c>
      <c r="BE4" s="14">
        <f>BD4*VLOOKUP('Données projet'!$B$11,Paramètres!$A$1:$I$89,3,0)*VLOOKUP('Données projet'!$B$11,Paramètres!$A$1:$I$89,5,0)</f>
        <v>1.0094300997264616</v>
      </c>
      <c r="BF4" s="14">
        <f>EXP(-1.0587+0.8836*LN(BE4)+0.284)</f>
        <v>0.46467984937949935</v>
      </c>
      <c r="BG4" s="22">
        <f t="shared" ref="BG4:BG67" si="7">(BE4+BF4)*0.475*44/12</f>
        <v>2.5674081613595483</v>
      </c>
      <c r="BH4" s="62">
        <f t="shared" ref="BH4:BH67" si="8">BG4+(AY4+AZ4)*44/12</f>
        <v>260.45629705024839</v>
      </c>
      <c r="BI4" s="62">
        <f ca="1">AVERAGE(OFFSET($BH$3,0,0,'Données projet'!$E$11+1,1))-AVERAGE(OFFSET($H$3,0,0,'Données projet'!$E$11+1,1))</f>
        <v>195.30963433439501</v>
      </c>
      <c r="BJ4" s="62">
        <f>$BJ$3</f>
        <v>185.00219255324504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7.1333333333333337</v>
      </c>
      <c r="BY4" s="13">
        <f>IF('Données projet'!$A$114&gt;35,BY3+BX4-CG3,IF(A4&lt;'Données projet'!$A$114,$BV$205^A4,IF(A4='Données projet'!$A$114,'Données projet'!$B$114,BY3+BX4-CG3)))</f>
        <v>1.3655017210306359</v>
      </c>
      <c r="BZ4" s="14">
        <f>BY4*VLOOKUP('Données projet'!$B$12,Paramètres!$A$1:$I$89,3,0)*VLOOKUP('Données projet'!$B$12,Paramètres!$A$1:$I$89,5,0)</f>
        <v>1.1929023034923638</v>
      </c>
      <c r="CA4" s="14">
        <f>EXP(-1.0587+0.8836*LN(BZ4)+0.284)</f>
        <v>0.53856749022761552</v>
      </c>
      <c r="CB4" s="22">
        <f t="shared" ref="CB4:CB67" si="10">(BZ4+CA4)*0.475*44/12</f>
        <v>3.015643224062297</v>
      </c>
      <c r="CC4" s="62">
        <f t="shared" ref="CC4:CC67" si="11">CB4+(BT4+BU4)*44/12</f>
        <v>260.90453211295113</v>
      </c>
      <c r="CD4" s="62">
        <f ca="1">AVERAGE(OFFSET($CC$3,0,0,'Données projet'!$E$12+1,1))-AVERAGE(OFFSET($H$3,0,0,'Données projet'!$E$12+1,1))</f>
        <v>303.33040062722074</v>
      </c>
      <c r="CE4" s="62">
        <f>$CE$3</f>
        <v>425.30058672361548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7.9</v>
      </c>
      <c r="CT4" s="13">
        <f>IF('Données projet'!$A$140&gt;35,CT3+CS4-DB3,IF(A4&lt;'Données projet'!$A$140,$CQ$205^A4,IF(A4='Données projet'!$A$140,'Données projet'!$B$140,CT3+CS4-DB3)))</f>
        <v>1.2880503926580862</v>
      </c>
      <c r="CU4" s="18">
        <f>CT4*VLOOKUP('Données projet'!$B$13,Paramètres!$A$1:$I$89,3,0)*VLOOKUP('Données projet'!$B$13,Paramètres!$A$1:$I$89,5,0)</f>
        <v>0.60280758376398436</v>
      </c>
      <c r="CV4" s="14">
        <f>EXP(-1.0587+0.8836*LN(CU4)+0.284)</f>
        <v>0.29465781953181042</v>
      </c>
      <c r="CW4" s="22">
        <f t="shared" ref="CW4:CW67" si="13">(CU4+CV4)*0.475*44/12</f>
        <v>1.5630855774068424</v>
      </c>
      <c r="CX4" s="62">
        <f t="shared" ref="CX4:CX67" si="14">CW4+(CO4+CP4)*44/12</f>
        <v>259.45197446629572</v>
      </c>
      <c r="CY4" s="62">
        <f ca="1">AVERAGE(OFFSET($CX$3,0,0,'Données projet'!$E$13+1,1))-AVERAGE(OFFSET($H$3,0,0,'Données projet'!$E$13+1,1))</f>
        <v>396.92963589781414</v>
      </c>
      <c r="CZ4" s="62">
        <f>$CZ$3</f>
        <v>294.38852181137639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1.4260627073618306</v>
      </c>
      <c r="P5" s="14">
        <f t="shared" ref="P5:P68" si="33">EXP(-1.0587+0.8836*LN(O5)+0.284)</f>
        <v>0.63059271915132864</v>
      </c>
      <c r="Q5" s="22">
        <f t="shared" si="2"/>
        <v>3.5820082011770853</v>
      </c>
      <c r="R5" s="62">
        <f t="shared" si="0"/>
        <v>262.69311931228822</v>
      </c>
      <c r="S5" s="62">
        <f ca="1">AVERAGE(OFFSET($R$3,0,0,'Données projet'!$E$9+1,1))-AVERAGE(OFFSET($H$3,0,0,'Données projet'!$E$9+1,1))</f>
        <v>411.98877330238821</v>
      </c>
      <c r="T5" s="62">
        <f t="shared" ref="T5:T68" si="34">$T$3</f>
        <v>256.4377087753457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7.1333333333333337</v>
      </c>
      <c r="AI5" s="14">
        <f>IF('Données projet'!$A$62&gt;35,AI4+AH5-AQ4,IF(A5&lt;'Données projet'!$A$62,$AF$205^A5,IF(A5='Données projet'!$A$62,'Données projet'!$B$62,AI4+AH5-AQ4)))</f>
        <v>1.8645949501376287</v>
      </c>
      <c r="AJ5" s="14">
        <f>AI5*VLOOKUP('Données projet'!$B$10,Paramètres!$A$1:$I$89,3,0)*VLOOKUP('Données projet'!$B$10,Paramètres!$A$1:$I$89,5,0)</f>
        <v>1.9488746418838494</v>
      </c>
      <c r="AK5" s="14">
        <f t="shared" ref="AK5:AK68" si="35">EXP(-1.0587+0.8836*LN(AJ5)+0.284)</f>
        <v>0.8310078438727394</v>
      </c>
      <c r="AL5" s="22">
        <f t="shared" si="4"/>
        <v>4.8416286626927247</v>
      </c>
      <c r="AM5" s="62">
        <f t="shared" si="5"/>
        <v>263.95273977380384</v>
      </c>
      <c r="AN5" s="62">
        <f ca="1">AVERAGE(OFFSET($AM$3,0,0,'Données projet'!$E$10+1,1))-AVERAGE(OFFSET($H$3,0,0,'Données projet'!$E$10+1,1))</f>
        <v>356.31271939877655</v>
      </c>
      <c r="AO5" s="62">
        <f t="shared" ref="AO5:AO68" si="36">$AO$3</f>
        <v>499.70544707812991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1.335141362540313</v>
      </c>
      <c r="BE5" s="14">
        <f>BD5*VLOOKUP('Données projet'!$B$11,Paramètres!$A$1:$I$89,3,0)*VLOOKUP('Données projet'!$B$11,Paramètres!$A$1:$I$89,5,0)</f>
        <v>1.1663794943152175</v>
      </c>
      <c r="BF5" s="14">
        <f t="shared" ref="BF5:BF68" si="37">EXP(-1.0587+0.8836*LN(BE5)+0.284)</f>
        <v>0.52797307958445927</v>
      </c>
      <c r="BG5" s="22">
        <f t="shared" si="7"/>
        <v>2.9509973995419365</v>
      </c>
      <c r="BH5" s="62">
        <f t="shared" si="8"/>
        <v>262.0621085106531</v>
      </c>
      <c r="BI5" s="62">
        <f ca="1">AVERAGE(OFFSET($BH$3,0,0,'Données projet'!$E$11+1,1))-AVERAGE(OFFSET($H$3,0,0,'Données projet'!$E$11+1,1))</f>
        <v>195.30963433439501</v>
      </c>
      <c r="BJ5" s="62">
        <f t="shared" ref="BJ5:BJ68" si="38">$BJ$3</f>
        <v>185.00219255324504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7.1333333333333337</v>
      </c>
      <c r="BY5" s="13">
        <f>IF('Données projet'!$A$114&gt;35,BY4+BX5-CG4,IF(A5&lt;'Données projet'!$A$114,$BV$205^A5,IF(A5='Données projet'!$A$114,'Données projet'!$B$114,BY4+BX5-CG4)))</f>
        <v>1.8645949501376287</v>
      </c>
      <c r="BZ5" s="14">
        <f>BY5*VLOOKUP('Données projet'!$B$12,Paramètres!$A$1:$I$89,3,0)*VLOOKUP('Données projet'!$B$12,Paramètres!$A$1:$I$89,5,0)</f>
        <v>1.6289101484402326</v>
      </c>
      <c r="CA5" s="14">
        <f t="shared" ref="CA5:CA68" si="39">EXP(-1.0587+0.8836*LN(BZ5)+0.284)</f>
        <v>0.70922554238821334</v>
      </c>
      <c r="CB5" s="22">
        <f t="shared" si="10"/>
        <v>4.0722529948595438</v>
      </c>
      <c r="CC5" s="62">
        <f t="shared" si="11"/>
        <v>263.18336410597067</v>
      </c>
      <c r="CD5" s="62">
        <f ca="1">AVERAGE(OFFSET($CC$3,0,0,'Données projet'!$E$12+1,1))-AVERAGE(OFFSET($H$3,0,0,'Données projet'!$E$12+1,1))</f>
        <v>303.33040062722074</v>
      </c>
      <c r="CE5" s="62">
        <f t="shared" ref="CE5:CE68" si="40">$CE$3</f>
        <v>425.30058672361548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7.9</v>
      </c>
      <c r="CT5" s="13">
        <f>IF('Données projet'!$A$140&gt;35,CT4+CS5-DB4,IF(A5&lt;'Données projet'!$A$140,$CQ$205^A5,IF(A5='Données projet'!$A$140,'Données projet'!$B$140,CT4+CS5-DB4)))</f>
        <v>1.6590738140266501</v>
      </c>
      <c r="CU5" s="18">
        <f>CT5*VLOOKUP('Données projet'!$B$13,Paramètres!$A$1:$I$89,3,0)*VLOOKUP('Données projet'!$B$13,Paramètres!$A$1:$I$89,5,0)</f>
        <v>0.77644654496447219</v>
      </c>
      <c r="CV5" s="14">
        <f t="shared" ref="CV5:CV68" si="41">EXP(-1.0587+0.8836*LN(CU5)+0.284)</f>
        <v>0.36851455096495994</v>
      </c>
      <c r="CW5" s="22">
        <f t="shared" si="13"/>
        <v>1.9941405754104276</v>
      </c>
      <c r="CX5" s="62">
        <f t="shared" si="14"/>
        <v>261.10525168652157</v>
      </c>
      <c r="CY5" s="62">
        <f ca="1">AVERAGE(OFFSET($CX$3,0,0,'Données projet'!$E$13+1,1))-AVERAGE(OFFSET($H$3,0,0,'Données projet'!$E$13+1,1))</f>
        <v>396.92963589781414</v>
      </c>
      <c r="CZ5" s="62">
        <f t="shared" ref="CZ5:CZ68" si="42">$CZ$3</f>
        <v>294.38852181137639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1.6911765842806317</v>
      </c>
      <c r="P6" s="14">
        <f t="shared" si="33"/>
        <v>0.73312803463364506</v>
      </c>
      <c r="Q6" s="22">
        <f t="shared" si="2"/>
        <v>4.2223305446090311</v>
      </c>
      <c r="R6" s="62">
        <f t="shared" si="0"/>
        <v>264.55566387794232</v>
      </c>
      <c r="S6" s="62">
        <f ca="1">AVERAGE(OFFSET($R$3,0,0,'Données projet'!$E$9+1,1))-AVERAGE(OFFSET($H$3,0,0,'Données projet'!$E$9+1,1))</f>
        <v>411.98877330238821</v>
      </c>
      <c r="T6" s="62">
        <f t="shared" si="34"/>
        <v>256.4377087753457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7.1333333333333337</v>
      </c>
      <c r="AI6" s="14">
        <f>IF('Données projet'!$A$62&gt;35,AI5+AH6-AQ5,IF(A6&lt;'Données projet'!$A$62,$AF$205^A6,IF(A6='Données projet'!$A$62,'Données projet'!$B$62,AI5+AH6-AQ5)))</f>
        <v>2.5461076134379645</v>
      </c>
      <c r="AJ6" s="14">
        <f>AI6*VLOOKUP('Données projet'!$B$10,Paramètres!$A$1:$I$89,3,0)*VLOOKUP('Données projet'!$B$10,Paramètres!$A$1:$I$89,5,0)</f>
        <v>2.6611916775653608</v>
      </c>
      <c r="AK6" s="14">
        <f t="shared" si="35"/>
        <v>1.094332650027606</v>
      </c>
      <c r="AL6" s="22">
        <f t="shared" si="4"/>
        <v>6.5408715372244179</v>
      </c>
      <c r="AM6" s="62">
        <f t="shared" si="5"/>
        <v>266.87420487055772</v>
      </c>
      <c r="AN6" s="62">
        <f ca="1">AVERAGE(OFFSET($AM$3,0,0,'Données projet'!$E$10+1,1))-AVERAGE(OFFSET($H$3,0,0,'Données projet'!$E$10+1,1))</f>
        <v>356.31271939877655</v>
      </c>
      <c r="AO6" s="62">
        <f t="shared" si="36"/>
        <v>499.70544707812991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1.5427333776762726</v>
      </c>
      <c r="BE6" s="14">
        <f>BD6*VLOOKUP('Données projet'!$B$11,Paramètres!$A$1:$I$89,3,0)*VLOOKUP('Données projet'!$B$11,Paramètres!$A$1:$I$89,5,0)</f>
        <v>1.3477318787379919</v>
      </c>
      <c r="BF6" s="14">
        <f t="shared" si="37"/>
        <v>0.59988737006377257</v>
      </c>
      <c r="BG6" s="22">
        <f t="shared" si="7"/>
        <v>3.3921035249964064</v>
      </c>
      <c r="BH6" s="62">
        <f t="shared" si="8"/>
        <v>263.72543685832972</v>
      </c>
      <c r="BI6" s="62">
        <f ca="1">AVERAGE(OFFSET($BH$3,0,0,'Données projet'!$E$11+1,1))-AVERAGE(OFFSET($H$3,0,0,'Données projet'!$E$11+1,1))</f>
        <v>195.30963433439501</v>
      </c>
      <c r="BJ6" s="62">
        <f t="shared" si="38"/>
        <v>185.00219255324504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7.1333333333333337</v>
      </c>
      <c r="BY6" s="13">
        <f>IF('Données projet'!$A$114&gt;35,BY5+BX6-CG5,IF(A6&lt;'Données projet'!$A$114,$BV$205^A6,IF(A6='Données projet'!$A$114,'Données projet'!$B$114,BY5+BX6-CG5)))</f>
        <v>2.5461076134379645</v>
      </c>
      <c r="BZ6" s="14">
        <f>BY6*VLOOKUP('Données projet'!$B$12,Paramètres!$A$1:$I$89,3,0)*VLOOKUP('Données projet'!$B$12,Paramètres!$A$1:$I$89,5,0)</f>
        <v>2.2242796110994063</v>
      </c>
      <c r="CA6" s="14">
        <f t="shared" si="39"/>
        <v>0.93396069963909534</v>
      </c>
      <c r="CB6" s="22">
        <f t="shared" si="10"/>
        <v>5.5006018745362235</v>
      </c>
      <c r="CC6" s="62">
        <f t="shared" si="11"/>
        <v>265.83393520786956</v>
      </c>
      <c r="CD6" s="62">
        <f ca="1">AVERAGE(OFFSET($CC$3,0,0,'Données projet'!$E$12+1,1))-AVERAGE(OFFSET($H$3,0,0,'Données projet'!$E$12+1,1))</f>
        <v>303.33040062722074</v>
      </c>
      <c r="CE6" s="62">
        <f t="shared" si="40"/>
        <v>425.30058672361548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7.9</v>
      </c>
      <c r="CT6" s="13">
        <f>IF('Données projet'!$A$140&gt;35,CT5+CS6-DB5,IF(A6&lt;'Données projet'!$A$140,$CQ$205^A6,IF(A6='Données projet'!$A$140,'Données projet'!$B$140,CT5+CS6-DB5)))</f>
        <v>2.1369706776057753</v>
      </c>
      <c r="CU6" s="18">
        <f>CT6*VLOOKUP('Données projet'!$B$13,Paramètres!$A$1:$I$89,3,0)*VLOOKUP('Données projet'!$B$13,Paramètres!$A$1:$I$89,5,0)</f>
        <v>1.0001022771195029</v>
      </c>
      <c r="CV6" s="14">
        <f t="shared" si="41"/>
        <v>0.46088365986243646</v>
      </c>
      <c r="CW6" s="22">
        <f t="shared" si="13"/>
        <v>2.5445505069102112</v>
      </c>
      <c r="CX6" s="62">
        <f t="shared" si="14"/>
        <v>262.8778838402435</v>
      </c>
      <c r="CY6" s="62">
        <f ca="1">AVERAGE(OFFSET($CX$3,0,0,'Données projet'!$E$13+1,1))-AVERAGE(OFFSET($H$3,0,0,'Données projet'!$E$13+1,1))</f>
        <v>396.92963589781414</v>
      </c>
      <c r="CZ6" s="62">
        <f t="shared" si="42"/>
        <v>294.38852181137639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2.005576770540586</v>
      </c>
      <c r="P7" s="14">
        <f t="shared" si="33"/>
        <v>0.85233574515282073</v>
      </c>
      <c r="Q7" s="22">
        <f t="shared" si="2"/>
        <v>4.9775309648326838</v>
      </c>
      <c r="R7" s="62">
        <f t="shared" si="0"/>
        <v>266.53308652038822</v>
      </c>
      <c r="S7" s="62">
        <f ca="1">AVERAGE(OFFSET($R$3,0,0,'Données projet'!$E$9+1,1))-AVERAGE(OFFSET($H$3,0,0,'Données projet'!$E$9+1,1))</f>
        <v>411.98877330238821</v>
      </c>
      <c r="T7" s="62">
        <f t="shared" si="34"/>
        <v>256.4377087753457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7.1333333333333337</v>
      </c>
      <c r="AI7" s="14">
        <f>IF('Données projet'!$A$62&gt;35,AI6+AH7-AQ6,IF(A7&lt;'Données projet'!$A$62,$AF$205^A7,IF(A7='Données projet'!$A$62,'Données projet'!$B$62,AI6+AH7-AQ6)))</f>
        <v>3.4767143280787458</v>
      </c>
      <c r="AJ7" s="14">
        <f>AI7*VLOOKUP('Données projet'!$B$10,Paramètres!$A$1:$I$89,3,0)*VLOOKUP('Données projet'!$B$10,Paramètres!$A$1:$I$89,5,0)</f>
        <v>3.6338618157079052</v>
      </c>
      <c r="AK7" s="14">
        <f t="shared" si="35"/>
        <v>1.4410982492480999</v>
      </c>
      <c r="AL7" s="22">
        <f t="shared" si="4"/>
        <v>8.8388887797983759</v>
      </c>
      <c r="AM7" s="62">
        <f t="shared" si="5"/>
        <v>270.39444433535391</v>
      </c>
      <c r="AN7" s="62">
        <f ca="1">AVERAGE(OFFSET($AM$3,0,0,'Données projet'!$E$10+1,1))-AVERAGE(OFFSET($H$3,0,0,'Données projet'!$E$10+1,1))</f>
        <v>356.31271939877655</v>
      </c>
      <c r="AO7" s="62">
        <f t="shared" si="36"/>
        <v>499.70544707812991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1.7826024579660036</v>
      </c>
      <c r="BE7" s="14">
        <f>BD7*VLOOKUP('Données projet'!$B$11,Paramètres!$A$1:$I$89,3,0)*VLOOKUP('Données projet'!$B$11,Paramètres!$A$1:$I$89,5,0)</f>
        <v>1.5572815072791011</v>
      </c>
      <c r="BF7" s="14">
        <f t="shared" si="37"/>
        <v>0.68159698037116012</v>
      </c>
      <c r="BG7" s="22">
        <f t="shared" si="7"/>
        <v>3.8993800326575379</v>
      </c>
      <c r="BH7" s="62">
        <f t="shared" si="8"/>
        <v>265.45493558821306</v>
      </c>
      <c r="BI7" s="62">
        <f ca="1">AVERAGE(OFFSET($BH$3,0,0,'Données projet'!$E$11+1,1))-AVERAGE(OFFSET($H$3,0,0,'Données projet'!$E$11+1,1))</f>
        <v>195.30963433439501</v>
      </c>
      <c r="BJ7" s="62">
        <f t="shared" si="38"/>
        <v>185.00219255324504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7.1333333333333337</v>
      </c>
      <c r="BY7" s="13">
        <f>IF('Données projet'!$A$114&gt;35,BY6+BX7-CG6,IF(A7&lt;'Données projet'!$A$114,$BV$205^A7,IF(A7='Données projet'!$A$114,'Données projet'!$B$114,BY6+BX7-CG6)))</f>
        <v>3.4767143280787458</v>
      </c>
      <c r="BZ7" s="14">
        <f>BY7*VLOOKUP('Données projet'!$B$12,Paramètres!$A$1:$I$89,3,0)*VLOOKUP('Données projet'!$B$12,Paramètres!$A$1:$I$89,5,0)</f>
        <v>3.0372576370095925</v>
      </c>
      <c r="CA7" s="14">
        <f t="shared" si="39"/>
        <v>1.2299085923119242</v>
      </c>
      <c r="CB7" s="22">
        <f t="shared" si="10"/>
        <v>7.4319811827349751</v>
      </c>
      <c r="CC7" s="62">
        <f t="shared" si="11"/>
        <v>268.98753673829054</v>
      </c>
      <c r="CD7" s="62">
        <f ca="1">AVERAGE(OFFSET($CC$3,0,0,'Données projet'!$E$12+1,1))-AVERAGE(OFFSET($H$3,0,0,'Données projet'!$E$12+1,1))</f>
        <v>303.33040062722074</v>
      </c>
      <c r="CE7" s="62">
        <f t="shared" si="40"/>
        <v>425.30058672361548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7.9</v>
      </c>
      <c r="CT7" s="13">
        <f>IF('Données projet'!$A$140&gt;35,CT6+CS7-DB6,IF(A7&lt;'Données projet'!$A$140,$CQ$205^A7,IF(A7='Données projet'!$A$140,'Données projet'!$B$140,CT6+CS7-DB6)))</f>
        <v>2.7525259203889356</v>
      </c>
      <c r="CU7" s="18">
        <f>CT7*VLOOKUP('Données projet'!$B$13,Paramètres!$A$1:$I$89,3,0)*VLOOKUP('Données projet'!$B$13,Paramètres!$A$1:$I$89,5,0)</f>
        <v>1.2881821307420218</v>
      </c>
      <c r="CV7" s="14">
        <f t="shared" si="41"/>
        <v>0.57640532069082717</v>
      </c>
      <c r="CW7" s="22">
        <f t="shared" si="13"/>
        <v>3.2474898112455457</v>
      </c>
      <c r="CX7" s="62">
        <f t="shared" si="14"/>
        <v>264.80304536680109</v>
      </c>
      <c r="CY7" s="62">
        <f ca="1">AVERAGE(OFFSET($CX$3,0,0,'Données projet'!$E$13+1,1))-AVERAGE(OFFSET($H$3,0,0,'Données projet'!$E$13+1,1))</f>
        <v>396.92963589781414</v>
      </c>
      <c r="CZ7" s="62">
        <f t="shared" si="42"/>
        <v>294.38852181137639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2.3784258958640736</v>
      </c>
      <c r="P8" s="14">
        <f t="shared" si="33"/>
        <v>0.99092680697750823</v>
      </c>
      <c r="Q8" s="22">
        <f t="shared" si="2"/>
        <v>5.868289290782422</v>
      </c>
      <c r="R8" s="62">
        <f t="shared" si="0"/>
        <v>268.64606706856017</v>
      </c>
      <c r="S8" s="62">
        <f ca="1">AVERAGE(OFFSET($R$3,0,0,'Données projet'!$E$9+1,1))-AVERAGE(OFFSET($H$3,0,0,'Données projet'!$E$9+1,1))</f>
        <v>411.98877330238821</v>
      </c>
      <c r="T8" s="62">
        <f t="shared" si="34"/>
        <v>256.4377087753457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7.1333333333333337</v>
      </c>
      <c r="AI8" s="14">
        <f>IF('Données projet'!$A$62&gt;35,AI7+AH8-AQ7,IF(A8&lt;'Données projet'!$A$62,$AF$205^A8,IF(A8='Données projet'!$A$62,'Données projet'!$B$62,AI7+AH8-AQ7)))</f>
        <v>4.7474593985233984</v>
      </c>
      <c r="AJ8" s="14">
        <f>AI8*VLOOKUP('Données projet'!$B$10,Paramètres!$A$1:$I$89,3,0)*VLOOKUP('Données projet'!$B$10,Paramètres!$A$1:$I$89,5,0)</f>
        <v>4.9620445633366561</v>
      </c>
      <c r="AK8" s="14">
        <f t="shared" si="35"/>
        <v>1.8977448620705497</v>
      </c>
      <c r="AL8" s="22">
        <f t="shared" si="4"/>
        <v>11.947466582584214</v>
      </c>
      <c r="AM8" s="62">
        <f t="shared" si="5"/>
        <v>274.72524436036201</v>
      </c>
      <c r="AN8" s="62">
        <f ca="1">AVERAGE(OFFSET($AM$3,0,0,'Données projet'!$E$10+1,1))-AVERAGE(OFFSET($H$3,0,0,'Données projet'!$E$10+1,1))</f>
        <v>356.31271939877655</v>
      </c>
      <c r="AO8" s="62">
        <f t="shared" si="36"/>
        <v>499.70544707812991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2.0597671439071181</v>
      </c>
      <c r="BE8" s="14">
        <f>BD8*VLOOKUP('Données projet'!$B$11,Paramètres!$A$1:$I$89,3,0)*VLOOKUP('Données projet'!$B$11,Paramètres!$A$1:$I$89,5,0)</f>
        <v>1.7994125769172586</v>
      </c>
      <c r="BF8" s="14">
        <f t="shared" si="37"/>
        <v>0.77443611390200762</v>
      </c>
      <c r="BG8" s="22">
        <f t="shared" si="7"/>
        <v>4.4827864698435551</v>
      </c>
      <c r="BH8" s="62">
        <f t="shared" si="8"/>
        <v>267.26056424762135</v>
      </c>
      <c r="BI8" s="62">
        <f ca="1">AVERAGE(OFFSET($BH$3,0,0,'Données projet'!$E$11+1,1))-AVERAGE(OFFSET($H$3,0,0,'Données projet'!$E$11+1,1))</f>
        <v>195.30963433439501</v>
      </c>
      <c r="BJ8" s="62">
        <f t="shared" si="38"/>
        <v>185.00219255324504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7.1333333333333337</v>
      </c>
      <c r="BY8" s="13">
        <f>IF('Données projet'!$A$114&gt;35,BY7+BX8-CG7,IF(A8&lt;'Données projet'!$A$114,$BV$205^A8,IF(A8='Données projet'!$A$114,'Données projet'!$B$114,BY7+BX8-CG7)))</f>
        <v>4.7474593985233984</v>
      </c>
      <c r="BZ8" s="14">
        <f>BY8*VLOOKUP('Données projet'!$B$12,Paramètres!$A$1:$I$89,3,0)*VLOOKUP('Données projet'!$B$12,Paramètres!$A$1:$I$89,5,0)</f>
        <v>4.1473805305500413</v>
      </c>
      <c r="CA8" s="14">
        <f t="shared" si="39"/>
        <v>1.6196346870133109</v>
      </c>
      <c r="CB8" s="22">
        <f t="shared" si="10"/>
        <v>10.044218170589504</v>
      </c>
      <c r="CC8" s="62">
        <f t="shared" si="11"/>
        <v>272.82199594836726</v>
      </c>
      <c r="CD8" s="62">
        <f ca="1">AVERAGE(OFFSET($CC$3,0,0,'Données projet'!$E$12+1,1))-AVERAGE(OFFSET($H$3,0,0,'Données projet'!$E$12+1,1))</f>
        <v>303.33040062722074</v>
      </c>
      <c r="CE8" s="62">
        <f t="shared" si="40"/>
        <v>425.30058672361548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7.9</v>
      </c>
      <c r="CT8" s="13">
        <f>IF('Données projet'!$A$140&gt;35,CT7+CS8-DB7,IF(A8&lt;'Données projet'!$A$140,$CQ$205^A8,IF(A8='Données projet'!$A$140,'Données projet'!$B$140,CT7+CS8-DB7)))</f>
        <v>3.5453920925585285</v>
      </c>
      <c r="CU8" s="18">
        <f>CT8*VLOOKUP('Données projet'!$B$13,Paramètres!$A$1:$I$89,3,0)*VLOOKUP('Données projet'!$B$13,Paramètres!$A$1:$I$89,5,0)</f>
        <v>1.6592434993173915</v>
      </c>
      <c r="CV8" s="14">
        <f t="shared" si="41"/>
        <v>0.72088277944126433</v>
      </c>
      <c r="CW8" s="22">
        <f t="shared" si="13"/>
        <v>4.1453866021713255</v>
      </c>
      <c r="CX8" s="62">
        <f t="shared" si="14"/>
        <v>266.92316437994907</v>
      </c>
      <c r="CY8" s="62">
        <f ca="1">AVERAGE(OFFSET($CX$3,0,0,'Données projet'!$E$13+1,1))-AVERAGE(OFFSET($H$3,0,0,'Données projet'!$E$13+1,1))</f>
        <v>396.92963589781414</v>
      </c>
      <c r="CZ8" s="62">
        <f t="shared" si="42"/>
        <v>294.38852181137639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2.8205899795060203</v>
      </c>
      <c r="P9" s="14">
        <f t="shared" si="33"/>
        <v>1.1520529819039591</v>
      </c>
      <c r="Q9" s="22">
        <f t="shared" si="2"/>
        <v>6.919019824455714</v>
      </c>
      <c r="R9" s="62">
        <f t="shared" si="0"/>
        <v>270.91901982445569</v>
      </c>
      <c r="S9" s="62">
        <f ca="1">AVERAGE(OFFSET($R$3,0,0,'Données projet'!$E$9+1,1))-AVERAGE(OFFSET($H$3,0,0,'Données projet'!$E$9+1,1))</f>
        <v>411.98877330238821</v>
      </c>
      <c r="T9" s="62">
        <f t="shared" si="34"/>
        <v>256.4377087753457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7.1333333333333337</v>
      </c>
      <c r="AI9" s="14">
        <f>IF('Données projet'!$A$62&gt;35,AI8+AH9-AQ8,IF(A9&lt;'Données projet'!$A$62,$AF$205^A9,IF(A9='Données projet'!$A$62,'Données projet'!$B$62,AI8+AH9-AQ8)))</f>
        <v>6.4826639792067677</v>
      </c>
      <c r="AJ9" s="14">
        <f>AI9*VLOOKUP('Données projet'!$B$10,Paramètres!$A$1:$I$89,3,0)*VLOOKUP('Données projet'!$B$10,Paramètres!$A$1:$I$89,5,0)</f>
        <v>6.7756803910669143</v>
      </c>
      <c r="AK9" s="14">
        <f t="shared" si="35"/>
        <v>2.4990909283209772</v>
      </c>
      <c r="AL9" s="22">
        <f t="shared" si="4"/>
        <v>16.153560047933912</v>
      </c>
      <c r="AM9" s="62">
        <f t="shared" si="5"/>
        <v>280.15356004793392</v>
      </c>
      <c r="AN9" s="62">
        <f ca="1">AVERAGE(OFFSET($AM$3,0,0,'Données projet'!$E$10+1,1))-AVERAGE(OFFSET($H$3,0,0,'Données projet'!$E$10+1,1))</f>
        <v>356.31271939877655</v>
      </c>
      <c r="AO9" s="62">
        <f t="shared" si="36"/>
        <v>499.70544707812991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2.3800262745964411</v>
      </c>
      <c r="BE9" s="14">
        <f>BD9*VLOOKUP('Données projet'!$B$11,Paramètres!$A$1:$I$89,3,0)*VLOOKUP('Données projet'!$B$11,Paramètres!$A$1:$I$89,5,0)</f>
        <v>2.0791909534874513</v>
      </c>
      <c r="BF9" s="14">
        <f t="shared" si="37"/>
        <v>0.87992070356451979</v>
      </c>
      <c r="BG9" s="22">
        <f t="shared" si="7"/>
        <v>5.1537861360321822</v>
      </c>
      <c r="BH9" s="62">
        <f t="shared" si="8"/>
        <v>269.15378613603218</v>
      </c>
      <c r="BI9" s="62">
        <f ca="1">AVERAGE(OFFSET($BH$3,0,0,'Données projet'!$E$11+1,1))-AVERAGE(OFFSET($H$3,0,0,'Données projet'!$E$11+1,1))</f>
        <v>195.30963433439501</v>
      </c>
      <c r="BJ9" s="62">
        <f t="shared" si="38"/>
        <v>185.00219255324504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7.1333333333333337</v>
      </c>
      <c r="BY9" s="13">
        <f>IF('Données projet'!$A$114&gt;35,BY8+BX9-CG8,IF(A9&lt;'Données projet'!$A$114,$BV$205^A9,IF(A9='Données projet'!$A$114,'Données projet'!$B$114,BY8+BX9-CG8)))</f>
        <v>6.4826639792067677</v>
      </c>
      <c r="BZ9" s="14">
        <f>BY9*VLOOKUP('Données projet'!$B$12,Paramètres!$A$1:$I$89,3,0)*VLOOKUP('Données projet'!$B$12,Paramètres!$A$1:$I$89,5,0)</f>
        <v>5.6632552522350332</v>
      </c>
      <c r="CA9" s="14">
        <f t="shared" si="39"/>
        <v>2.1328548607386395</v>
      </c>
      <c r="CB9" s="22">
        <f t="shared" si="10"/>
        <v>13.578225113429147</v>
      </c>
      <c r="CC9" s="62">
        <f t="shared" si="11"/>
        <v>277.57822511342914</v>
      </c>
      <c r="CD9" s="62">
        <f ca="1">AVERAGE(OFFSET($CC$3,0,0,'Données projet'!$E$12+1,1))-AVERAGE(OFFSET($H$3,0,0,'Données projet'!$E$12+1,1))</f>
        <v>303.33040062722074</v>
      </c>
      <c r="CE9" s="62">
        <f t="shared" si="40"/>
        <v>425.30058672361548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7.9</v>
      </c>
      <c r="CT9" s="13">
        <f>IF('Données projet'!$A$140&gt;35,CT8+CS9-DB8,IF(A9&lt;'Données projet'!$A$140,$CQ$205^A9,IF(A9='Données projet'!$A$140,'Données projet'!$B$140,CT8+CS9-DB8)))</f>
        <v>4.566643676946887</v>
      </c>
      <c r="CU9" s="18">
        <f>CT9*VLOOKUP('Données projet'!$B$13,Paramètres!$A$1:$I$89,3,0)*VLOOKUP('Données projet'!$B$13,Paramètres!$A$1:$I$89,5,0)</f>
        <v>2.1371892408111433</v>
      </c>
      <c r="CV9" s="14">
        <f t="shared" si="41"/>
        <v>0.9015738804633705</v>
      </c>
      <c r="CW9" s="22">
        <f t="shared" si="13"/>
        <v>5.292512436219778</v>
      </c>
      <c r="CX9" s="62">
        <f t="shared" si="14"/>
        <v>269.29251243621979</v>
      </c>
      <c r="CY9" s="62">
        <f ca="1">AVERAGE(OFFSET($CX$3,0,0,'Données projet'!$E$13+1,1))-AVERAGE(OFFSET($H$3,0,0,'Données projet'!$E$13+1,1))</f>
        <v>396.92963589781414</v>
      </c>
      <c r="CZ9" s="62">
        <f t="shared" si="42"/>
        <v>294.38852181137639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3.3449551009027689</v>
      </c>
      <c r="P10" s="14">
        <f t="shared" si="33"/>
        <v>1.3393785128914457</v>
      </c>
      <c r="Q10" s="22">
        <f t="shared" si="2"/>
        <v>8.1585477106915896</v>
      </c>
      <c r="R10" s="62">
        <f t="shared" si="0"/>
        <v>273.38076993291384</v>
      </c>
      <c r="S10" s="62">
        <f ca="1">AVERAGE(OFFSET($R$3,0,0,'Données projet'!$E$9+1,1))-AVERAGE(OFFSET($H$3,0,0,'Données projet'!$E$9+1,1))</f>
        <v>411.98877330238821</v>
      </c>
      <c r="T10" s="62">
        <f t="shared" si="34"/>
        <v>256.4377087753457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7.1333333333333337</v>
      </c>
      <c r="AI10" s="14">
        <f>IF('Données projet'!$A$62&gt;35,AI9+AH10-AQ9,IF(A10&lt;'Données projet'!$A$62,$AF$205^A10,IF(A10='Données projet'!$A$62,'Données projet'!$B$62,AI9+AH10-AQ9)))</f>
        <v>8.8520888204701524</v>
      </c>
      <c r="AJ10" s="14">
        <f>AI10*VLOOKUP('Données projet'!$B$10,Paramètres!$A$1:$I$89,3,0)*VLOOKUP('Données projet'!$B$10,Paramètres!$A$1:$I$89,5,0)</f>
        <v>9.2522032351554042</v>
      </c>
      <c r="AK10" s="14">
        <f t="shared" si="35"/>
        <v>3.2909879472428405</v>
      </c>
      <c r="AL10" s="22">
        <f t="shared" si="4"/>
        <v>21.846057976010275</v>
      </c>
      <c r="AM10" s="62">
        <f t="shared" si="5"/>
        <v>287.06828019823251</v>
      </c>
      <c r="AN10" s="62">
        <f ca="1">AVERAGE(OFFSET($AM$3,0,0,'Données projet'!$E$10+1,1))-AVERAGE(OFFSET($H$3,0,0,'Données projet'!$E$10+1,1))</f>
        <v>356.31271939877655</v>
      </c>
      <c r="AO10" s="62">
        <f t="shared" si="36"/>
        <v>499.70544707812991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2.7500803110319185</v>
      </c>
      <c r="BE10" s="14">
        <f>BD10*VLOOKUP('Données projet'!$B$11,Paramètres!$A$1:$I$89,3,0)*VLOOKUP('Données projet'!$B$11,Paramètres!$A$1:$I$89,5,0)</f>
        <v>2.4024701597174842</v>
      </c>
      <c r="BF10" s="14">
        <f t="shared" si="37"/>
        <v>0.9997731648390682</v>
      </c>
      <c r="BG10" s="22">
        <f t="shared" si="7"/>
        <v>5.9255737902693291</v>
      </c>
      <c r="BH10" s="62">
        <f t="shared" si="8"/>
        <v>271.14779601249154</v>
      </c>
      <c r="BI10" s="62">
        <f ca="1">AVERAGE(OFFSET($BH$3,0,0,'Données projet'!$E$11+1,1))-AVERAGE(OFFSET($H$3,0,0,'Données projet'!$E$11+1,1))</f>
        <v>195.30963433439501</v>
      </c>
      <c r="BJ10" s="62">
        <f t="shared" si="38"/>
        <v>185.00219255324504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7.1333333333333337</v>
      </c>
      <c r="BY10" s="13">
        <f>IF('Données projet'!$A$114&gt;35,BY9+BX10-CG9,IF(A10&lt;'Données projet'!$A$114,$BV$205^A10,IF(A10='Données projet'!$A$114,'Données projet'!$B$114,BY9+BX10-CG9)))</f>
        <v>8.8520888204701524</v>
      </c>
      <c r="BZ10" s="14">
        <f>BY10*VLOOKUP('Données projet'!$B$12,Paramètres!$A$1:$I$89,3,0)*VLOOKUP('Données projet'!$B$12,Paramètres!$A$1:$I$89,5,0)</f>
        <v>7.7331847935627263</v>
      </c>
      <c r="CA10" s="14">
        <f t="shared" si="39"/>
        <v>2.8087011802427866</v>
      </c>
      <c r="CB10" s="22">
        <f t="shared" si="10"/>
        <v>18.360451404377937</v>
      </c>
      <c r="CC10" s="62">
        <f t="shared" si="11"/>
        <v>283.58267362660018</v>
      </c>
      <c r="CD10" s="62">
        <f ca="1">AVERAGE(OFFSET($CC$3,0,0,'Données projet'!$E$12+1,1))-AVERAGE(OFFSET($H$3,0,0,'Données projet'!$E$12+1,1))</f>
        <v>303.33040062722074</v>
      </c>
      <c r="CE10" s="62">
        <f t="shared" si="40"/>
        <v>425.30058672361548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7.9</v>
      </c>
      <c r="CT10" s="13">
        <f>IF('Données projet'!$A$140&gt;35,CT9+CS10-DB9,IF(A10&lt;'Données projet'!$A$140,$CQ$205^A10,IF(A10='Données projet'!$A$140,'Données projet'!$B$140,CT9+CS10-DB9)))</f>
        <v>5.8820671812210037</v>
      </c>
      <c r="CU10" s="18">
        <f>CT10*VLOOKUP('Données projet'!$B$13,Paramètres!$A$1:$I$89,3,0)*VLOOKUP('Données projet'!$B$13,Paramètres!$A$1:$I$89,5,0)</f>
        <v>2.7528074408114294</v>
      </c>
      <c r="CV10" s="14">
        <f t="shared" si="41"/>
        <v>1.1275556652411438</v>
      </c>
      <c r="CW10" s="22">
        <f t="shared" si="13"/>
        <v>6.7582990763748976</v>
      </c>
      <c r="CX10" s="62">
        <f t="shared" si="14"/>
        <v>271.98052129859713</v>
      </c>
      <c r="CY10" s="62">
        <f ca="1">AVERAGE(OFFSET($CX$3,0,0,'Données projet'!$E$13+1,1))-AVERAGE(OFFSET($H$3,0,0,'Données projet'!$E$13+1,1))</f>
        <v>396.92963589781414</v>
      </c>
      <c r="CZ10" s="62">
        <f t="shared" si="42"/>
        <v>294.38852181137639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3.9668029413530626</v>
      </c>
      <c r="P11" s="14">
        <f t="shared" si="33"/>
        <v>1.5571634542627768</v>
      </c>
      <c r="Q11" s="22">
        <f t="shared" si="2"/>
        <v>9.6209081390309201</v>
      </c>
      <c r="R11" s="62">
        <f t="shared" si="0"/>
        <v>276.06535258347537</v>
      </c>
      <c r="S11" s="62">
        <f ca="1">AVERAGE(OFFSET($R$3,0,0,'Données projet'!$E$9+1,1))-AVERAGE(OFFSET($H$3,0,0,'Données projet'!$E$9+1,1))</f>
        <v>411.98877330238821</v>
      </c>
      <c r="T11" s="62">
        <f t="shared" si="34"/>
        <v>256.4377087753457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7.1333333333333337</v>
      </c>
      <c r="AI11" s="14">
        <f>IF('Données projet'!$A$62&gt;35,AI10+AH11-AQ10,IF(A11&lt;'Données projet'!$A$62,$AF$205^A11,IF(A11='Données projet'!$A$62,'Données projet'!$B$62,AI10+AH11-AQ10)))</f>
        <v>12.087542519068045</v>
      </c>
      <c r="AJ11" s="14">
        <f>AI11*VLOOKUP('Données projet'!$B$10,Paramètres!$A$1:$I$89,3,0)*VLOOKUP('Données projet'!$B$10,Paramètres!$A$1:$I$89,5,0)</f>
        <v>12.633899440929923</v>
      </c>
      <c r="AK11" s="14">
        <f t="shared" si="35"/>
        <v>4.3338165675205023</v>
      </c>
      <c r="AL11" s="22">
        <f t="shared" si="4"/>
        <v>29.552105381384482</v>
      </c>
      <c r="AM11" s="62">
        <f t="shared" si="5"/>
        <v>295.99654982582894</v>
      </c>
      <c r="AN11" s="62">
        <f ca="1">AVERAGE(OFFSET($AM$3,0,0,'Données projet'!$E$10+1,1))-AVERAGE(OFFSET($H$3,0,0,'Données projet'!$E$10+1,1))</f>
        <v>356.31271939877655</v>
      </c>
      <c r="AO11" s="62">
        <f t="shared" si="36"/>
        <v>499.70544707812991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3.1776715231464374</v>
      </c>
      <c r="BE11" s="14">
        <f>BD11*VLOOKUP('Données projet'!$B$11,Paramètres!$A$1:$I$89,3,0)*VLOOKUP('Données projet'!$B$11,Paramètres!$A$1:$I$89,5,0)</f>
        <v>2.7760138426207281</v>
      </c>
      <c r="BF11" s="14">
        <f t="shared" si="37"/>
        <v>1.135950520408497</v>
      </c>
      <c r="BG11" s="22">
        <f t="shared" si="7"/>
        <v>6.8133379322758998</v>
      </c>
      <c r="BH11" s="62">
        <f t="shared" si="8"/>
        <v>273.25778237672034</v>
      </c>
      <c r="BI11" s="62">
        <f ca="1">AVERAGE(OFFSET($BH$3,0,0,'Données projet'!$E$11+1,1))-AVERAGE(OFFSET($H$3,0,0,'Données projet'!$E$11+1,1))</f>
        <v>195.30963433439501</v>
      </c>
      <c r="BJ11" s="62">
        <f t="shared" si="38"/>
        <v>185.00219255324504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7.1333333333333337</v>
      </c>
      <c r="BY11" s="13">
        <f>IF('Données projet'!$A$114&gt;35,BY10+BX11-CG10,IF(A11&lt;'Données projet'!$A$114,$BV$205^A11,IF(A11='Données projet'!$A$114,'Données projet'!$B$114,BY10+BX11-CG10)))</f>
        <v>12.087542519068045</v>
      </c>
      <c r="BZ11" s="14">
        <f>BY11*VLOOKUP('Données projet'!$B$12,Paramètres!$A$1:$I$89,3,0)*VLOOKUP('Données projet'!$B$12,Paramètres!$A$1:$I$89,5,0)</f>
        <v>10.559677144657845</v>
      </c>
      <c r="CA11" s="14">
        <f t="shared" si="39"/>
        <v>3.6987056480557761</v>
      </c>
      <c r="CB11" s="22">
        <f t="shared" si="10"/>
        <v>24.83335003064289</v>
      </c>
      <c r="CC11" s="62">
        <f t="shared" si="11"/>
        <v>291.27779447508738</v>
      </c>
      <c r="CD11" s="62">
        <f ca="1">AVERAGE(OFFSET($CC$3,0,0,'Données projet'!$E$12+1,1))-AVERAGE(OFFSET($H$3,0,0,'Données projet'!$E$12+1,1))</f>
        <v>303.33040062722074</v>
      </c>
      <c r="CE11" s="62">
        <f t="shared" si="40"/>
        <v>425.30058672361548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7.9</v>
      </c>
      <c r="CT11" s="13">
        <f>IF('Données projet'!$A$140&gt;35,CT10+CS11-DB10,IF(A11&lt;'Données projet'!$A$140,$CQ$205^A11,IF(A11='Données projet'!$A$140,'Données projet'!$B$140,CT10+CS11-DB10)))</f>
        <v>7.5763989424129567</v>
      </c>
      <c r="CU11" s="18">
        <f>CT11*VLOOKUP('Données projet'!$B$13,Paramètres!$A$1:$I$89,3,0)*VLOOKUP('Données projet'!$B$13,Paramètres!$A$1:$I$89,5,0)</f>
        <v>3.5457547050492639</v>
      </c>
      <c r="CV11" s="14">
        <f t="shared" si="41"/>
        <v>1.4101803587787649</v>
      </c>
      <c r="CW11" s="22">
        <f t="shared" si="13"/>
        <v>8.631586902833817</v>
      </c>
      <c r="CX11" s="62">
        <f t="shared" si="14"/>
        <v>275.07603134727827</v>
      </c>
      <c r="CY11" s="62">
        <f ca="1">AVERAGE(OFFSET($CX$3,0,0,'Données projet'!$E$13+1,1))-AVERAGE(OFFSET($H$3,0,0,'Données projet'!$E$13+1,1))</f>
        <v>396.92963589781414</v>
      </c>
      <c r="CZ11" s="62">
        <f t="shared" si="42"/>
        <v>294.38852181137639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4.7042561412200872</v>
      </c>
      <c r="P12" s="14">
        <f t="shared" si="33"/>
        <v>1.8103605515195429</v>
      </c>
      <c r="Q12" s="22">
        <f t="shared" si="2"/>
        <v>11.346290739854856</v>
      </c>
      <c r="R12" s="62">
        <f t="shared" si="0"/>
        <v>279.01295740652154</v>
      </c>
      <c r="S12" s="62">
        <f ca="1">AVERAGE(OFFSET($R$3,0,0,'Données projet'!$E$9+1,1))-AVERAGE(OFFSET($H$3,0,0,'Données projet'!$E$9+1,1))</f>
        <v>411.98877330238821</v>
      </c>
      <c r="T12" s="62">
        <f t="shared" si="34"/>
        <v>256.4377087753457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7.1333333333333337</v>
      </c>
      <c r="AI12" s="14">
        <f>IF('Données projet'!$A$62&gt;35,AI11+AH12-AQ11,IF(A12&lt;'Données projet'!$A$62,$AF$205^A12,IF(A12='Données projet'!$A$62,'Données projet'!$B$62,AI11+AH12-AQ11)))</f>
        <v>16.505560112818404</v>
      </c>
      <c r="AJ12" s="14">
        <f>AI12*VLOOKUP('Données projet'!$B$10,Paramètres!$A$1:$I$89,3,0)*VLOOKUP('Données projet'!$B$10,Paramètres!$A$1:$I$89,5,0)</f>
        <v>17.251611429917798</v>
      </c>
      <c r="AK12" s="14">
        <f t="shared" si="35"/>
        <v>5.7070904974448622</v>
      </c>
      <c r="AL12" s="22">
        <f t="shared" si="4"/>
        <v>39.986405856823303</v>
      </c>
      <c r="AM12" s="62">
        <f t="shared" si="5"/>
        <v>307.65307252348998</v>
      </c>
      <c r="AN12" s="62">
        <f ca="1">AVERAGE(OFFSET($AM$3,0,0,'Données projet'!$E$10+1,1))-AVERAGE(OFFSET($H$3,0,0,'Données projet'!$E$10+1,1))</f>
        <v>356.31271939877655</v>
      </c>
      <c r="AO12" s="62">
        <f t="shared" si="36"/>
        <v>499.70544707812991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3.6717459735664435</v>
      </c>
      <c r="BE12" s="14">
        <f>BD12*VLOOKUP('Données projet'!$B$11,Paramètres!$A$1:$I$89,3,0)*VLOOKUP('Données projet'!$B$11,Paramètres!$A$1:$I$89,5,0)</f>
        <v>3.2076372825076458</v>
      </c>
      <c r="BF12" s="14">
        <f t="shared" si="37"/>
        <v>1.290676355595167</v>
      </c>
      <c r="BG12" s="22">
        <f t="shared" si="7"/>
        <v>7.834562919695732</v>
      </c>
      <c r="BH12" s="62">
        <f t="shared" si="8"/>
        <v>275.5012295863624</v>
      </c>
      <c r="BI12" s="62">
        <f ca="1">AVERAGE(OFFSET($BH$3,0,0,'Données projet'!$E$11+1,1))-AVERAGE(OFFSET($H$3,0,0,'Données projet'!$E$11+1,1))</f>
        <v>195.30963433439501</v>
      </c>
      <c r="BJ12" s="62">
        <f t="shared" si="38"/>
        <v>185.00219255324504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7.1333333333333337</v>
      </c>
      <c r="BY12" s="13">
        <f>IF('Données projet'!$A$114&gt;35,BY11+BX12-CG11,IF(A12&lt;'Données projet'!$A$114,$BV$205^A12,IF(A12='Données projet'!$A$114,'Données projet'!$B$114,BY11+BX12-CG11)))</f>
        <v>16.505560112818404</v>
      </c>
      <c r="BZ12" s="14">
        <f>BY12*VLOOKUP('Données projet'!$B$12,Paramètres!$A$1:$I$89,3,0)*VLOOKUP('Données projet'!$B$12,Paramètres!$A$1:$I$89,5,0)</f>
        <v>14.419257314558161</v>
      </c>
      <c r="CA12" s="14">
        <f t="shared" si="39"/>
        <v>4.870729420129039</v>
      </c>
      <c r="CB12" s="22">
        <f t="shared" si="10"/>
        <v>33.596726896246878</v>
      </c>
      <c r="CC12" s="62">
        <f t="shared" si="11"/>
        <v>301.26339356291356</v>
      </c>
      <c r="CD12" s="62">
        <f ca="1">AVERAGE(OFFSET($CC$3,0,0,'Données projet'!$E$12+1,1))-AVERAGE(OFFSET($H$3,0,0,'Données projet'!$E$12+1,1))</f>
        <v>303.33040062722074</v>
      </c>
      <c r="CE12" s="62">
        <f t="shared" si="40"/>
        <v>425.30058672361548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7.9</v>
      </c>
      <c r="CT12" s="13">
        <f>IF('Données projet'!$A$140&gt;35,CT11+CS12-DB11,IF(A12&lt;'Données projet'!$A$140,$CQ$205^A12,IF(A12='Données projet'!$A$140,'Données projet'!$B$140,CT11+CS12-DB11)))</f>
        <v>9.7587836327093171</v>
      </c>
      <c r="CU12" s="18">
        <f>CT12*VLOOKUP('Données projet'!$B$13,Paramètres!$A$1:$I$89,3,0)*VLOOKUP('Données projet'!$B$13,Paramètres!$A$1:$I$89,5,0)</f>
        <v>4.5671107401079603</v>
      </c>
      <c r="CV12" s="14">
        <f t="shared" si="41"/>
        <v>1.763645650133036</v>
      </c>
      <c r="CW12" s="22">
        <f t="shared" si="13"/>
        <v>11.026067379669733</v>
      </c>
      <c r="CX12" s="62">
        <f t="shared" si="14"/>
        <v>278.6927340463364</v>
      </c>
      <c r="CY12" s="62">
        <f ca="1">AVERAGE(OFFSET($CX$3,0,0,'Données projet'!$E$13+1,1))-AVERAGE(OFFSET($H$3,0,0,'Données projet'!$E$13+1,1))</f>
        <v>396.92963589781414</v>
      </c>
      <c r="CZ12" s="62">
        <f t="shared" si="42"/>
        <v>294.38852181137639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5.5788064517917366</v>
      </c>
      <c r="P13" s="14">
        <f t="shared" si="33"/>
        <v>2.1047278739596393</v>
      </c>
      <c r="Q13" s="22">
        <f t="shared" si="2"/>
        <v>13.382155617350314</v>
      </c>
      <c r="R13" s="62">
        <f t="shared" si="0"/>
        <v>282.27104450623915</v>
      </c>
      <c r="S13" s="62">
        <f ca="1">AVERAGE(OFFSET($R$3,0,0,'Données projet'!$E$9+1,1))-AVERAGE(OFFSET($H$3,0,0,'Données projet'!$E$9+1,1))</f>
        <v>411.98877330238821</v>
      </c>
      <c r="T13" s="62">
        <f t="shared" si="34"/>
        <v>256.4377087753457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7.1333333333333337</v>
      </c>
      <c r="AI13" s="14">
        <f>IF('Données projet'!$A$62&gt;35,AI12+AH13-AQ12,IF(A13&lt;'Données projet'!$A$62,$AF$205^A13,IF(A13='Données projet'!$A$62,'Données projet'!$B$62,AI12+AH13-AQ12)))</f>
        <v>22.538370740628146</v>
      </c>
      <c r="AJ13" s="14">
        <f>AI13*VLOOKUP('Données projet'!$B$10,Paramètres!$A$1:$I$89,3,0)*VLOOKUP('Données projet'!$B$10,Paramètres!$A$1:$I$89,5,0)</f>
        <v>23.55710509810454</v>
      </c>
      <c r="AK13" s="14">
        <f t="shared" si="35"/>
        <v>7.5155192746563673</v>
      </c>
      <c r="AL13" s="22">
        <f t="shared" si="4"/>
        <v>54.118154115891912</v>
      </c>
      <c r="AM13" s="62">
        <f t="shared" si="5"/>
        <v>323.00704300478077</v>
      </c>
      <c r="AN13" s="62">
        <f ca="1">AVERAGE(OFFSET($AM$3,0,0,'Données projet'!$E$10+1,1))-AVERAGE(OFFSET($H$3,0,0,'Données projet'!$E$10+1,1))</f>
        <v>356.31271939877655</v>
      </c>
      <c r="AO13" s="62">
        <f t="shared" si="36"/>
        <v>499.70544707812991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4.2426406871192865</v>
      </c>
      <c r="BE13" s="14">
        <f>BD13*VLOOKUP('Données projet'!$B$11,Paramètres!$A$1:$I$89,3,0)*VLOOKUP('Données projet'!$B$11,Paramètres!$A$1:$I$89,5,0)</f>
        <v>3.7063709042674091</v>
      </c>
      <c r="BF13" s="14">
        <f t="shared" si="37"/>
        <v>1.4664771263922398</v>
      </c>
      <c r="BG13" s="22">
        <f t="shared" si="7"/>
        <v>9.0093769867322209</v>
      </c>
      <c r="BH13" s="62">
        <f t="shared" si="8"/>
        <v>277.89826587562106</v>
      </c>
      <c r="BI13" s="62">
        <f ca="1">AVERAGE(OFFSET($BH$3,0,0,'Données projet'!$E$11+1,1))-AVERAGE(OFFSET($H$3,0,0,'Données projet'!$E$11+1,1))</f>
        <v>195.30963433439501</v>
      </c>
      <c r="BJ13" s="62">
        <f t="shared" si="38"/>
        <v>185.00219255324504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7.1333333333333337</v>
      </c>
      <c r="BY13" s="13">
        <f>IF('Données projet'!$A$114&gt;35,BY12+BX13-CG12,IF(A13&lt;'Données projet'!$A$114,$BV$205^A13,IF(A13='Données projet'!$A$114,'Données projet'!$B$114,BY12+BX13-CG12)))</f>
        <v>22.538370740628146</v>
      </c>
      <c r="BZ13" s="14">
        <f>BY13*VLOOKUP('Données projet'!$B$12,Paramètres!$A$1:$I$89,3,0)*VLOOKUP('Données projet'!$B$12,Paramètres!$A$1:$I$89,5,0)</f>
        <v>19.689520679012752</v>
      </c>
      <c r="CA13" s="14">
        <f t="shared" si="39"/>
        <v>6.414137090520053</v>
      </c>
      <c r="CB13" s="22">
        <f t="shared" si="10"/>
        <v>45.463870615269634</v>
      </c>
      <c r="CC13" s="62">
        <f t="shared" si="11"/>
        <v>314.35275950415848</v>
      </c>
      <c r="CD13" s="62">
        <f ca="1">AVERAGE(OFFSET($CC$3,0,0,'Données projet'!$E$12+1,1))-AVERAGE(OFFSET($H$3,0,0,'Données projet'!$E$12+1,1))</f>
        <v>303.33040062722074</v>
      </c>
      <c r="CE13" s="62">
        <f t="shared" si="40"/>
        <v>425.30058672361548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7.9</v>
      </c>
      <c r="CT13" s="13">
        <f>IF('Données projet'!$A$140&gt;35,CT12+CS13-DB12,IF(A13&lt;'Données projet'!$A$140,$CQ$205^A13,IF(A13='Données projet'!$A$140,'Données projet'!$B$140,CT12+CS13-DB12)))</f>
        <v>12.569805089976542</v>
      </c>
      <c r="CU13" s="18">
        <f>CT13*VLOOKUP('Données projet'!$B$13,Paramètres!$A$1:$I$89,3,0)*VLOOKUP('Données projet'!$B$13,Paramètres!$A$1:$I$89,5,0)</f>
        <v>5.8826687821090227</v>
      </c>
      <c r="CV13" s="14">
        <f t="shared" si="41"/>
        <v>2.2057079152108381</v>
      </c>
      <c r="CW13" s="22">
        <f t="shared" si="13"/>
        <v>14.087256081165423</v>
      </c>
      <c r="CX13" s="62">
        <f t="shared" si="14"/>
        <v>282.97614497005429</v>
      </c>
      <c r="CY13" s="62">
        <f ca="1">AVERAGE(OFFSET($CX$3,0,0,'Données projet'!$E$13+1,1))-AVERAGE(OFFSET($H$3,0,0,'Données projet'!$E$13+1,1))</f>
        <v>396.92963589781414</v>
      </c>
      <c r="CZ13" s="62">
        <f t="shared" si="42"/>
        <v>294.38852181137639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6.6159410738381021</v>
      </c>
      <c r="P14" s="14">
        <f t="shared" si="33"/>
        <v>2.4469597615261804</v>
      </c>
      <c r="Q14" s="22">
        <f t="shared" si="2"/>
        <v>15.784552288259455</v>
      </c>
      <c r="R14" s="62">
        <f t="shared" si="0"/>
        <v>285.89566339937062</v>
      </c>
      <c r="S14" s="62">
        <f ca="1">AVERAGE(OFFSET($R$3,0,0,'Données projet'!$E$9+1,1))-AVERAGE(OFFSET($H$3,0,0,'Données projet'!$E$9+1,1))</f>
        <v>411.98877330238821</v>
      </c>
      <c r="T14" s="62">
        <f t="shared" si="34"/>
        <v>256.4377087753457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7.1333333333333337</v>
      </c>
      <c r="AI14" s="14">
        <f>IF('Données projet'!$A$62&gt;35,AI13+AH14-AQ13,IF(A14&lt;'Données projet'!$A$62,$AF$205^A14,IF(A14='Données projet'!$A$62,'Données projet'!$B$62,AI13+AH14-AQ13)))</f>
        <v>30.776184035554262</v>
      </c>
      <c r="AJ14" s="14">
        <f>AI14*VLOOKUP('Données projet'!$B$10,Paramètres!$A$1:$I$89,3,0)*VLOOKUP('Données projet'!$B$10,Paramètres!$A$1:$I$89,5,0)</f>
        <v>32.167267553961317</v>
      </c>
      <c r="AK14" s="14">
        <f t="shared" si="35"/>
        <v>9.8969921701819139</v>
      </c>
      <c r="AL14" s="22">
        <f t="shared" si="4"/>
        <v>73.261919019549453</v>
      </c>
      <c r="AM14" s="62">
        <f t="shared" si="5"/>
        <v>343.3730301306606</v>
      </c>
      <c r="AN14" s="62">
        <f ca="1">AVERAGE(OFFSET($AM$3,0,0,'Données projet'!$E$10+1,1))-AVERAGE(OFFSET($H$3,0,0,'Données projet'!$E$10+1,1))</f>
        <v>356.31271939877655</v>
      </c>
      <c r="AO14" s="62">
        <f t="shared" si="36"/>
        <v>499.70544707812991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0.9</v>
      </c>
      <c r="BD14" s="13">
        <f>IF('Données projet'!$A$88&gt;35,BD13+BC14-BL13,IF(A14&lt;'Données projet'!$A$88,$BA$205^A14,IF(A14='Données projet'!$A$88,'Données projet'!$B$88,BD13+BC14-BL13)))</f>
        <v>4.9022999220494095</v>
      </c>
      <c r="BE14" s="14">
        <f>BD14*VLOOKUP('Données projet'!$B$11,Paramètres!$A$1:$I$89,3,0)*VLOOKUP('Données projet'!$B$11,Paramètres!$A$1:$I$89,5,0)</f>
        <v>4.2826492119023651</v>
      </c>
      <c r="BF14" s="14">
        <f t="shared" si="37"/>
        <v>1.6662234129484463</v>
      </c>
      <c r="BG14" s="22">
        <f t="shared" si="7"/>
        <v>10.360953154948495</v>
      </c>
      <c r="BH14" s="62">
        <f t="shared" si="8"/>
        <v>280.47206426605965</v>
      </c>
      <c r="BI14" s="62">
        <f ca="1">AVERAGE(OFFSET($BH$3,0,0,'Données projet'!$E$11+1,1))-AVERAGE(OFFSET($H$3,0,0,'Données projet'!$E$11+1,1))</f>
        <v>195.30963433439501</v>
      </c>
      <c r="BJ14" s="62">
        <f t="shared" si="38"/>
        <v>185.00219255324504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7.1333333333333337</v>
      </c>
      <c r="BY14" s="13">
        <f>IF('Données projet'!$A$114&gt;35,BY13+BX14-CG13,IF(A14&lt;'Données projet'!$A$114,$BV$205^A14,IF(A14='Données projet'!$A$114,'Données projet'!$B$114,BY13+BX14-CG13)))</f>
        <v>30.776184035554262</v>
      </c>
      <c r="BZ14" s="14">
        <f>BY14*VLOOKUP('Données projet'!$B$12,Paramètres!$A$1:$I$89,3,0)*VLOOKUP('Données projet'!$B$12,Paramètres!$A$1:$I$89,5,0)</f>
        <v>26.886074373460207</v>
      </c>
      <c r="CA14" s="14">
        <f t="shared" si="39"/>
        <v>8.4466105725279856</v>
      </c>
      <c r="CB14" s="22">
        <f t="shared" si="10"/>
        <v>61.537759614262761</v>
      </c>
      <c r="CC14" s="62">
        <f t="shared" si="11"/>
        <v>331.64887072537391</v>
      </c>
      <c r="CD14" s="62">
        <f ca="1">AVERAGE(OFFSET($CC$3,0,0,'Données projet'!$E$12+1,1))-AVERAGE(OFFSET($H$3,0,0,'Données projet'!$E$12+1,1))</f>
        <v>303.33040062722074</v>
      </c>
      <c r="CE14" s="62">
        <f t="shared" si="40"/>
        <v>425.30058672361548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7.9</v>
      </c>
      <c r="CT14" s="13">
        <f>IF('Données projet'!$A$140&gt;35,CT13+CS14-DB13,IF(A14&lt;'Données projet'!$A$140,$CQ$205^A14,IF(A14='Données projet'!$A$140,'Données projet'!$B$140,CT13+CS14-DB13)))</f>
        <v>16.190542381779895</v>
      </c>
      <c r="CU14" s="18">
        <f>CT14*VLOOKUP('Données projet'!$B$13,Paramètres!$A$1:$I$89,3,0)*VLOOKUP('Données projet'!$B$13,Paramètres!$A$1:$I$89,5,0)</f>
        <v>7.5771738346729904</v>
      </c>
      <c r="CV14" s="14">
        <f t="shared" si="41"/>
        <v>2.7585742106736397</v>
      </c>
      <c r="CW14" s="22">
        <f t="shared" si="13"/>
        <v>18.001427845645381</v>
      </c>
      <c r="CX14" s="62">
        <f t="shared" si="14"/>
        <v>288.11253895675651</v>
      </c>
      <c r="CY14" s="62">
        <f ca="1">AVERAGE(OFFSET($CX$3,0,0,'Données projet'!$E$13+1,1))-AVERAGE(OFFSET($H$3,0,0,'Données projet'!$E$13+1,1))</f>
        <v>396.92963589781414</v>
      </c>
      <c r="CZ14" s="62">
        <f t="shared" si="42"/>
        <v>294.38852181137639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7.8458854363804464</v>
      </c>
      <c r="P15" s="14">
        <f t="shared" si="33"/>
        <v>2.844839063809101</v>
      </c>
      <c r="Q15" s="22">
        <f t="shared" si="2"/>
        <v>18.619678504496793</v>
      </c>
      <c r="R15" s="62">
        <f t="shared" si="0"/>
        <v>289.9530118378301</v>
      </c>
      <c r="S15" s="62">
        <f ca="1">AVERAGE(OFFSET($R$3,0,0,'Données projet'!$E$9+1,1))-AVERAGE(OFFSET($H$3,0,0,'Données projet'!$E$9+1,1))</f>
        <v>411.98877330238821</v>
      </c>
      <c r="T15" s="62">
        <f t="shared" si="34"/>
        <v>256.4377087753457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7.1333333333333337</v>
      </c>
      <c r="AI15" s="14">
        <f>IF('Données projet'!$A$62&gt;35,AI14+AH15-AQ14,IF(A15&lt;'Données projet'!$A$62,$AF$205^A15,IF(A15='Données projet'!$A$62,'Données projet'!$B$62,AI14+AH15-AQ14)))</f>
        <v>42.024932267304926</v>
      </c>
      <c r="AJ15" s="14">
        <f>AI15*VLOOKUP('Données projet'!$B$10,Paramètres!$A$1:$I$89,3,0)*VLOOKUP('Données projet'!$B$10,Paramètres!$A$1:$I$89,5,0)</f>
        <v>43.924459205787116</v>
      </c>
      <c r="AK15" s="14">
        <f t="shared" si="35"/>
        <v>13.033091984335396</v>
      </c>
      <c r="AL15" s="22">
        <f t="shared" si="4"/>
        <v>99.201068322796701</v>
      </c>
      <c r="AM15" s="62">
        <f t="shared" si="5"/>
        <v>370.53440165613</v>
      </c>
      <c r="AN15" s="62">
        <f ca="1">AVERAGE(OFFSET($AM$3,0,0,'Données projet'!$E$10+1,1))-AVERAGE(OFFSET($H$3,0,0,'Données projet'!$E$10+1,1))</f>
        <v>356.31271939877655</v>
      </c>
      <c r="AO15" s="62">
        <f t="shared" si="36"/>
        <v>499.70544707812991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0.9</v>
      </c>
      <c r="BD15" s="13">
        <f>IF('Données projet'!$A$88&gt;35,BD14+BC15-BL14,IF(A15&lt;'Données projet'!$A$88,$BA$205^A15,IF(A15='Données projet'!$A$88,'Données projet'!$B$88,BD14+BC15-BL14)))</f>
        <v>5.6645250677694134</v>
      </c>
      <c r="BE15" s="14">
        <f>BD15*VLOOKUP('Données projet'!$B$11,Paramètres!$A$1:$I$89,3,0)*VLOOKUP('Données projet'!$B$11,Paramètres!$A$1:$I$89,5,0)</f>
        <v>4.9485290992033608</v>
      </c>
      <c r="BF15" s="14">
        <f t="shared" si="37"/>
        <v>1.8931767921179217</v>
      </c>
      <c r="BG15" s="22">
        <f t="shared" si="7"/>
        <v>11.915971094051232</v>
      </c>
      <c r="BH15" s="62">
        <f t="shared" si="8"/>
        <v>283.24930442738457</v>
      </c>
      <c r="BI15" s="62">
        <f ca="1">AVERAGE(OFFSET($BH$3,0,0,'Données projet'!$E$11+1,1))-AVERAGE(OFFSET($H$3,0,0,'Données projet'!$E$11+1,1))</f>
        <v>195.30963433439501</v>
      </c>
      <c r="BJ15" s="62">
        <f t="shared" si="38"/>
        <v>185.00219255324504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7.1333333333333337</v>
      </c>
      <c r="BY15" s="13">
        <f>IF('Données projet'!$A$114&gt;35,BY14+BX15-CG14,IF(A15&lt;'Données projet'!$A$114,$BV$205^A15,IF(A15='Données projet'!$A$114,'Données projet'!$B$114,BY14+BX15-CG14)))</f>
        <v>42.024932267304926</v>
      </c>
      <c r="BZ15" s="14">
        <f>BY15*VLOOKUP('Données projet'!$B$12,Paramètres!$A$1:$I$89,3,0)*VLOOKUP('Données projet'!$B$12,Paramètres!$A$1:$I$89,5,0)</f>
        <v>36.71298082871759</v>
      </c>
      <c r="CA15" s="14">
        <f t="shared" si="39"/>
        <v>11.123122121818724</v>
      </c>
      <c r="CB15" s="22">
        <f t="shared" si="10"/>
        <v>83.314545972184078</v>
      </c>
      <c r="CC15" s="62">
        <f t="shared" si="11"/>
        <v>354.64787930551739</v>
      </c>
      <c r="CD15" s="62">
        <f ca="1">AVERAGE(OFFSET($CC$3,0,0,'Données projet'!$E$12+1,1))-AVERAGE(OFFSET($H$3,0,0,'Données projet'!$E$12+1,1))</f>
        <v>303.33040062722074</v>
      </c>
      <c r="CE15" s="62">
        <f t="shared" si="40"/>
        <v>425.30058672361548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7.9</v>
      </c>
      <c r="CT15" s="13">
        <f>IF('Données projet'!$A$140&gt;35,CT14+CS15-DB14,IF(A15&lt;'Données projet'!$A$140,$CQ$205^A15,IF(A15='Données projet'!$A$140,'Données projet'!$B$140,CT14+CS15-DB14)))</f>
        <v>20.854234472198982</v>
      </c>
      <c r="CU15" s="18">
        <f>CT15*VLOOKUP('Données projet'!$B$13,Paramètres!$A$1:$I$89,3,0)*VLOOKUP('Données projet'!$B$13,Paramètres!$A$1:$I$89,5,0)</f>
        <v>9.7597817329891239</v>
      </c>
      <c r="CV15" s="14">
        <f t="shared" si="41"/>
        <v>3.4500178483814818</v>
      </c>
      <c r="CW15" s="22">
        <f t="shared" si="13"/>
        <v>23.00706760422047</v>
      </c>
      <c r="CX15" s="62">
        <f t="shared" si="14"/>
        <v>294.3404009375538</v>
      </c>
      <c r="CY15" s="62">
        <f ca="1">AVERAGE(OFFSET($CX$3,0,0,'Données projet'!$E$13+1,1))-AVERAGE(OFFSET($H$3,0,0,'Données projet'!$E$13+1,1))</f>
        <v>396.92963589781414</v>
      </c>
      <c r="CZ15" s="62">
        <f t="shared" si="42"/>
        <v>294.38852181137639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9.3044840626271217</v>
      </c>
      <c r="P16" s="14">
        <f t="shared" si="33"/>
        <v>3.3074141333352105</v>
      </c>
      <c r="Q16" s="22">
        <f t="shared" si="2"/>
        <v>21.965722691301057</v>
      </c>
      <c r="R16" s="62">
        <f t="shared" si="0"/>
        <v>294.52127824685658</v>
      </c>
      <c r="S16" s="62">
        <f ca="1">AVERAGE(OFFSET($R$3,0,0,'Données projet'!$E$9+1,1))-AVERAGE(OFFSET($H$3,0,0,'Données projet'!$E$9+1,1))</f>
        <v>411.98877330238821</v>
      </c>
      <c r="T16" s="62">
        <f t="shared" si="34"/>
        <v>256.4377087753457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7.1333333333333337</v>
      </c>
      <c r="AI16" s="14">
        <f>IF('Données projet'!$A$62&gt;35,AI15+AH16-AQ15,IF(A16&lt;'Données projet'!$A$62,$AF$205^A16,IF(A16='Données projet'!$A$62,'Données projet'!$B$62,AI15+AH16-AQ15)))</f>
        <v>57.385117337200782</v>
      </c>
      <c r="AJ16" s="14">
        <f>AI16*VLOOKUP('Données projet'!$B$10,Paramètres!$A$1:$I$89,3,0)*VLOOKUP('Données projet'!$B$10,Paramètres!$A$1:$I$89,5,0)</f>
        <v>59.978924640842266</v>
      </c>
      <c r="AK16" s="14">
        <f t="shared" si="35"/>
        <v>17.162940391517502</v>
      </c>
      <c r="AL16" s="22">
        <f t="shared" si="4"/>
        <v>134.35541493135989</v>
      </c>
      <c r="AM16" s="62">
        <f t="shared" si="5"/>
        <v>406.9109704869154</v>
      </c>
      <c r="AN16" s="62">
        <f ca="1">AVERAGE(OFFSET($AM$3,0,0,'Données projet'!$E$10+1,1))-AVERAGE(OFFSET($H$3,0,0,'Données projet'!$E$10+1,1))</f>
        <v>356.31271939877655</v>
      </c>
      <c r="AO16" s="62">
        <f t="shared" si="36"/>
        <v>499.70544707812991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0.9</v>
      </c>
      <c r="BD16" s="13">
        <f>IF('Données projet'!$A$88&gt;35,BD15+BC16-BL15,IF(A16&lt;'Données projet'!$A$88,$BA$205^A16,IF(A16='Données projet'!$A$88,'Données projet'!$B$88,BD15+BC16-BL15)))</f>
        <v>6.5452633975063188</v>
      </c>
      <c r="BE16" s="14">
        <f>BD16*VLOOKUP('Données projet'!$B$11,Paramètres!$A$1:$I$89,3,0)*VLOOKUP('Données projet'!$B$11,Paramètres!$A$1:$I$89,5,0)</f>
        <v>5.717942104061521</v>
      </c>
      <c r="BF16" s="14">
        <f t="shared" si="37"/>
        <v>2.1510430944381391</v>
      </c>
      <c r="BG16" s="22">
        <f t="shared" si="7"/>
        <v>13.705149220720239</v>
      </c>
      <c r="BH16" s="62">
        <f t="shared" si="8"/>
        <v>286.26070477627576</v>
      </c>
      <c r="BI16" s="62">
        <f ca="1">AVERAGE(OFFSET($BH$3,0,0,'Données projet'!$E$11+1,1))-AVERAGE(OFFSET($H$3,0,0,'Données projet'!$E$11+1,1))</f>
        <v>195.30963433439501</v>
      </c>
      <c r="BJ16" s="62">
        <f t="shared" si="38"/>
        <v>185.00219255324504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7.1333333333333337</v>
      </c>
      <c r="BY16" s="13">
        <f>IF('Données projet'!$A$114&gt;35,BY15+BX16-CG15,IF(A16&lt;'Données projet'!$A$114,$BV$205^A16,IF(A16='Données projet'!$A$114,'Données projet'!$B$114,BY15+BX16-CG15)))</f>
        <v>57.385117337200782</v>
      </c>
      <c r="BZ16" s="14">
        <f>BY16*VLOOKUP('Données projet'!$B$12,Paramètres!$A$1:$I$89,3,0)*VLOOKUP('Données projet'!$B$12,Paramètres!$A$1:$I$89,5,0)</f>
        <v>50.131638505778611</v>
      </c>
      <c r="CA16" s="14">
        <f t="shared" si="39"/>
        <v>14.647750677567194</v>
      </c>
      <c r="CB16" s="22">
        <f t="shared" si="10"/>
        <v>112.82410282766058</v>
      </c>
      <c r="CC16" s="62">
        <f t="shared" si="11"/>
        <v>385.37965838321611</v>
      </c>
      <c r="CD16" s="62">
        <f ca="1">AVERAGE(OFFSET($CC$3,0,0,'Données projet'!$E$12+1,1))-AVERAGE(OFFSET($H$3,0,0,'Données projet'!$E$12+1,1))</f>
        <v>303.33040062722074</v>
      </c>
      <c r="CE16" s="62">
        <f t="shared" si="40"/>
        <v>425.30058672361548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7.9</v>
      </c>
      <c r="CT16" s="13">
        <f>IF('Données projet'!$A$140&gt;35,CT15+CS16-DB15,IF(A16&lt;'Données projet'!$A$140,$CQ$205^A16,IF(A16='Données projet'!$A$140,'Données projet'!$B$140,CT15+CS16-DB15)))</f>
        <v>26.861304900499697</v>
      </c>
      <c r="CU16" s="18">
        <f>CT16*VLOOKUP('Données projet'!$B$13,Paramètres!$A$1:$I$89,3,0)*VLOOKUP('Données projet'!$B$13,Paramètres!$A$1:$I$89,5,0)</f>
        <v>12.571090693433858</v>
      </c>
      <c r="CV16" s="14">
        <f t="shared" si="41"/>
        <v>4.3147735914069099</v>
      </c>
      <c r="CW16" s="22">
        <f t="shared" si="13"/>
        <v>29.409546962764335</v>
      </c>
      <c r="CX16" s="62">
        <f t="shared" si="14"/>
        <v>301.9651025183199</v>
      </c>
      <c r="CY16" s="62">
        <f ca="1">AVERAGE(OFFSET($CX$3,0,0,'Données projet'!$E$13+1,1))-AVERAGE(OFFSET($H$3,0,0,'Données projet'!$E$13+1,1))</f>
        <v>396.92963589781414</v>
      </c>
      <c r="CZ16" s="62">
        <f t="shared" si="42"/>
        <v>294.38852181137639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11.034245194334769</v>
      </c>
      <c r="P17" s="14">
        <f t="shared" si="33"/>
        <v>3.8452045982308483</v>
      </c>
      <c r="Q17" s="22">
        <f t="shared" si="2"/>
        <v>25.915041722051782</v>
      </c>
      <c r="R17" s="62">
        <f t="shared" si="0"/>
        <v>299.69281949982957</v>
      </c>
      <c r="S17" s="62">
        <f ca="1">AVERAGE(OFFSET($R$3,0,0,'Données projet'!$E$9+1,1))-AVERAGE(OFFSET($H$3,0,0,'Données projet'!$E$9+1,1))</f>
        <v>411.98877330238821</v>
      </c>
      <c r="T17" s="62">
        <f t="shared" si="34"/>
        <v>256.4377087753457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7.1333333333333337</v>
      </c>
      <c r="AI17" s="14">
        <f>IF('Données projet'!$A$62&gt;35,AI16+AH17-AQ16,IF(A17&lt;'Données projet'!$A$62,$AF$205^A17,IF(A17='Données projet'!$A$62,'Données projet'!$B$62,AI16+AH17-AQ16)))</f>
        <v>78.35947648549265</v>
      </c>
      <c r="AJ17" s="14">
        <f>AI17*VLOOKUP('Données projet'!$B$10,Paramètres!$A$1:$I$89,3,0)*VLOOKUP('Données projet'!$B$10,Paramètres!$A$1:$I$89,5,0)</f>
        <v>81.901324822636923</v>
      </c>
      <c r="AK17" s="14">
        <f t="shared" si="35"/>
        <v>22.601430515247294</v>
      </c>
      <c r="AL17" s="22">
        <f t="shared" si="4"/>
        <v>182.00896554681501</v>
      </c>
      <c r="AM17" s="62">
        <f t="shared" si="5"/>
        <v>455.78674332459275</v>
      </c>
      <c r="AN17" s="62">
        <f ca="1">AVERAGE(OFFSET($AM$3,0,0,'Données projet'!$E$10+1,1))-AVERAGE(OFFSET($H$3,0,0,'Données projet'!$E$10+1,1))</f>
        <v>356.31271939877655</v>
      </c>
      <c r="AO17" s="62">
        <f t="shared" si="36"/>
        <v>499.70544707812991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0.9</v>
      </c>
      <c r="BD17" s="13">
        <f>IF('Données projet'!$A$88&gt;35,BD16+BC17-BL16,IF(A17&lt;'Données projet'!$A$88,$BA$205^A17,IF(A17='Données projet'!$A$88,'Données projet'!$B$88,BD16+BC17-BL16)))</f>
        <v>7.5629417171254145</v>
      </c>
      <c r="BE17" s="14">
        <f>BD17*VLOOKUP('Données projet'!$B$11,Paramètres!$A$1:$I$89,3,0)*VLOOKUP('Données projet'!$B$11,Paramètres!$A$1:$I$89,5,0)</f>
        <v>6.6069858840807631</v>
      </c>
      <c r="BF17" s="14">
        <f t="shared" si="37"/>
        <v>2.4440329151477385</v>
      </c>
      <c r="BG17" s="22">
        <f t="shared" si="7"/>
        <v>15.763857741989639</v>
      </c>
      <c r="BH17" s="62">
        <f t="shared" si="8"/>
        <v>289.5416355197674</v>
      </c>
      <c r="BI17" s="62">
        <f ca="1">AVERAGE(OFFSET($BH$3,0,0,'Données projet'!$E$11+1,1))-AVERAGE(OFFSET($H$3,0,0,'Données projet'!$E$11+1,1))</f>
        <v>195.30963433439501</v>
      </c>
      <c r="BJ17" s="62">
        <f t="shared" si="38"/>
        <v>185.00219255324504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7.1333333333333337</v>
      </c>
      <c r="BY17" s="13">
        <f>IF('Données projet'!$A$114&gt;35,BY16+BX17-CG16,IF(A17&lt;'Données projet'!$A$114,$BV$205^A17,IF(A17='Données projet'!$A$114,'Données projet'!$B$114,BY16+BX17-CG16)))</f>
        <v>78.35947648549265</v>
      </c>
      <c r="BZ17" s="14">
        <f>BY17*VLOOKUP('Données projet'!$B$12,Paramètres!$A$1:$I$89,3,0)*VLOOKUP('Données projet'!$B$12,Paramètres!$A$1:$I$89,5,0)</f>
        <v>68.454838657726384</v>
      </c>
      <c r="CA17" s="14">
        <f t="shared" si="39"/>
        <v>19.289242495261615</v>
      </c>
      <c r="CB17" s="22">
        <f t="shared" si="10"/>
        <v>152.8209413414541</v>
      </c>
      <c r="CC17" s="62">
        <f t="shared" si="11"/>
        <v>426.59871911923187</v>
      </c>
      <c r="CD17" s="62">
        <f ca="1">AVERAGE(OFFSET($CC$3,0,0,'Données projet'!$E$12+1,1))-AVERAGE(OFFSET($H$3,0,0,'Données projet'!$E$12+1,1))</f>
        <v>303.33040062722074</v>
      </c>
      <c r="CE17" s="62">
        <f t="shared" si="40"/>
        <v>425.30058672361548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7.9</v>
      </c>
      <c r="CT17" s="13">
        <f>IF('Données projet'!$A$140&gt;35,CT16+CS17-DB16,IF(A17&lt;'Données projet'!$A$140,$CQ$205^A17,IF(A17='Données projet'!$A$140,'Données projet'!$B$140,CT16+CS17-DB16)))</f>
        <v>34.598714324397214</v>
      </c>
      <c r="CU17" s="18">
        <f>CT17*VLOOKUP('Données projet'!$B$13,Paramètres!$A$1:$I$89,3,0)*VLOOKUP('Données projet'!$B$13,Paramètres!$A$1:$I$89,5,0)</f>
        <v>16.192198303817896</v>
      </c>
      <c r="CV17" s="14">
        <f t="shared" si="41"/>
        <v>5.3962825594761723</v>
      </c>
      <c r="CW17" s="22">
        <f t="shared" si="13"/>
        <v>37.599937503570509</v>
      </c>
      <c r="CX17" s="62">
        <f t="shared" si="14"/>
        <v>311.37771528134829</v>
      </c>
      <c r="CY17" s="62">
        <f ca="1">AVERAGE(OFFSET($CX$3,0,0,'Données projet'!$E$13+1,1))-AVERAGE(OFFSET($H$3,0,0,'Données projet'!$E$13+1,1))</f>
        <v>396.92963589781414</v>
      </c>
      <c r="CZ17" s="62">
        <f t="shared" si="42"/>
        <v>294.38852181137639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13.085579618298853</v>
      </c>
      <c r="P18" s="14">
        <f t="shared" si="33"/>
        <v>4.4704405938260292</v>
      </c>
      <c r="Q18" s="22">
        <f t="shared" si="2"/>
        <v>30.576735202784167</v>
      </c>
      <c r="R18" s="62">
        <f t="shared" si="0"/>
        <v>305.57673520278416</v>
      </c>
      <c r="S18" s="62">
        <f ca="1">AVERAGE(OFFSET($R$3,0,0,'Données projet'!$E$9+1,1))-AVERAGE(OFFSET($H$3,0,0,'Données projet'!$E$9+1,1))</f>
        <v>411.98877330238821</v>
      </c>
      <c r="T18" s="62">
        <f t="shared" si="34"/>
        <v>256.4377087753457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107</v>
      </c>
      <c r="AG18" s="13">
        <f>VLOOKUP(A18,'Données projet'!$A$61:$I$81,9,0)</f>
        <v>7.1333333333333337</v>
      </c>
      <c r="AH18" s="13">
        <f t="array" ref="AH18">INDEX(AG:AG,MIN(IF(ISNUMBER(AG18:AG214),ROW(AG18:AG214),"")))</f>
        <v>7.1333333333333337</v>
      </c>
      <c r="AI18" s="14">
        <f>IF('Données projet'!$A$62&gt;35,AI17+AH18-AQ17,IF(A18&lt;'Données projet'!$A$62,$AF$205^A18,IF(A18='Données projet'!$A$62,'Données projet'!$B$62,AI17+AH18-AQ17)))</f>
        <v>107</v>
      </c>
      <c r="AJ18" s="14">
        <f>AI18*VLOOKUP('Données projet'!$B$10,Paramètres!$A$1:$I$89,3,0)*VLOOKUP('Données projet'!$B$10,Paramètres!$A$1:$I$89,5,0)</f>
        <v>111.8364</v>
      </c>
      <c r="AK18" s="14">
        <f t="shared" si="35"/>
        <v>29.763236932758819</v>
      </c>
      <c r="AL18" s="22">
        <f t="shared" si="4"/>
        <v>246.61936765788826</v>
      </c>
      <c r="AM18" s="62">
        <f t="shared" si="5"/>
        <v>521.61936765788823</v>
      </c>
      <c r="AN18" s="62">
        <f ca="1">AVERAGE(OFFSET($AM$3,0,0,'Données projet'!$E$10+1,1))-AVERAGE(OFFSET($H$3,0,0,'Données projet'!$E$10+1,1))</f>
        <v>356.31271939877655</v>
      </c>
      <c r="AO18" s="62">
        <f t="shared" si="36"/>
        <v>499.70544707812991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0.9</v>
      </c>
      <c r="BD18" s="13">
        <f>IF('Données projet'!$A$88&gt;35,BD17+BC18-BL17,IF(A18&lt;'Données projet'!$A$88,$BA$205^A18,IF(A18='Données projet'!$A$88,'Données projet'!$B$88,BD17+BC18-BL17)))</f>
        <v>8.7388518907318247</v>
      </c>
      <c r="BE18" s="14">
        <f>BD18*VLOOKUP('Données projet'!$B$11,Paramètres!$A$1:$I$89,3,0)*VLOOKUP('Données projet'!$B$11,Paramètres!$A$1:$I$89,5,0)</f>
        <v>7.6342610117433241</v>
      </c>
      <c r="BF18" s="14">
        <f t="shared" si="37"/>
        <v>2.7769303673043324</v>
      </c>
      <c r="BG18" s="22">
        <f t="shared" si="7"/>
        <v>18.132824985174668</v>
      </c>
      <c r="BH18" s="62">
        <f t="shared" si="8"/>
        <v>293.13282498517469</v>
      </c>
      <c r="BI18" s="62">
        <f ca="1">AVERAGE(OFFSET($BH$3,0,0,'Données projet'!$E$11+1,1))-AVERAGE(OFFSET($H$3,0,0,'Données projet'!$E$11+1,1))</f>
        <v>195.30963433439501</v>
      </c>
      <c r="BJ18" s="62">
        <f t="shared" si="38"/>
        <v>185.00219255324504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107</v>
      </c>
      <c r="BW18" s="13">
        <f>VLOOKUP(A18,'Données projet'!$A$113:$I$133,9,0)</f>
        <v>7.1333333333333337</v>
      </c>
      <c r="BX18" s="13">
        <f t="array" ref="BX18">INDEX(BW:BW,MIN(IF(ISNUMBER(BW18:BW214),ROW(BW18:BW214),"")))</f>
        <v>7.1333333333333337</v>
      </c>
      <c r="BY18" s="13">
        <f>IF('Données projet'!$A$114&gt;35,BY17+BX18-CG17,IF(A18&lt;'Données projet'!$A$114,$BV$205^A18,IF(A18='Données projet'!$A$114,'Données projet'!$B$114,BY17+BX18-CG17)))</f>
        <v>107</v>
      </c>
      <c r="BZ18" s="14">
        <f>BY18*VLOOKUP('Données projet'!$B$12,Paramètres!$A$1:$I$89,3,0)*VLOOKUP('Données projet'!$B$12,Paramètres!$A$1:$I$89,5,0)</f>
        <v>93.475200000000015</v>
      </c>
      <c r="CA18" s="14">
        <f t="shared" si="39"/>
        <v>25.401502539965662</v>
      </c>
      <c r="CB18" s="22">
        <f t="shared" si="10"/>
        <v>207.04359025710687</v>
      </c>
      <c r="CC18" s="62">
        <f t="shared" si="11"/>
        <v>482.04359025710687</v>
      </c>
      <c r="CD18" s="62">
        <f ca="1">AVERAGE(OFFSET($CC$3,0,0,'Données projet'!$E$12+1,1))-AVERAGE(OFFSET($H$3,0,0,'Données projet'!$E$12+1,1))</f>
        <v>303.33040062722074</v>
      </c>
      <c r="CE18" s="62">
        <f t="shared" si="40"/>
        <v>425.30058672361548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34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7.9</v>
      </c>
      <c r="CT18" s="13">
        <f>IF('Données projet'!$A$140&gt;35,CT17+CS18-DB17,IF(A18&lt;'Données projet'!$A$140,$CQ$205^A18,IF(A18='Données projet'!$A$140,'Données projet'!$B$140,CT17+CS18-DB17)))</f>
        <v>44.564887571004775</v>
      </c>
      <c r="CU18" s="18">
        <f>CT18*VLOOKUP('Données projet'!$B$13,Paramètres!$A$1:$I$89,3,0)*VLOOKUP('Données projet'!$B$13,Paramètres!$A$1:$I$89,5,0)</f>
        <v>20.856367383230236</v>
      </c>
      <c r="CV18" s="14">
        <f t="shared" si="41"/>
        <v>6.7488744993944465</v>
      </c>
      <c r="CW18" s="22">
        <f t="shared" si="13"/>
        <v>48.079129612237985</v>
      </c>
      <c r="CX18" s="62">
        <f t="shared" si="14"/>
        <v>323.07912961223798</v>
      </c>
      <c r="CY18" s="62">
        <f ca="1">AVERAGE(OFFSET($CX$3,0,0,'Données projet'!$E$13+1,1))-AVERAGE(OFFSET($H$3,0,0,'Données projet'!$E$13+1,1))</f>
        <v>396.92963589781414</v>
      </c>
      <c r="CZ18" s="62">
        <f t="shared" si="42"/>
        <v>294.38852181137639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15.518269798350405</v>
      </c>
      <c r="P19" s="14">
        <f t="shared" si="33"/>
        <v>5.1973408936737764</v>
      </c>
      <c r="Q19" s="22">
        <f t="shared" si="2"/>
        <v>36.079688621942118</v>
      </c>
      <c r="R19" s="62">
        <f t="shared" si="0"/>
        <v>312.30191084416435</v>
      </c>
      <c r="S19" s="62">
        <f ca="1">AVERAGE(OFFSET($R$3,0,0,'Données projet'!$E$9+1,1))-AVERAGE(OFFSET($H$3,0,0,'Données projet'!$E$9+1,1))</f>
        <v>411.98877330238821</v>
      </c>
      <c r="T19" s="62">
        <f t="shared" si="34"/>
        <v>256.4377087753457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16.2</v>
      </c>
      <c r="AI19" s="14">
        <f>IF('Données projet'!$A$62&gt;35,AI18+AH19-AQ18,IF(A19&lt;'Données projet'!$A$62,$AF$205^A19,IF(A19='Données projet'!$A$62,'Données projet'!$B$62,AI18+AH19-AQ18)))</f>
        <v>89.2</v>
      </c>
      <c r="AJ19" s="14">
        <f>AI19*VLOOKUP('Données projet'!$B$10,Paramètres!$A$1:$I$89,3,0)*VLOOKUP('Données projet'!$B$10,Paramètres!$A$1:$I$89,5,0)</f>
        <v>93.231840000000005</v>
      </c>
      <c r="AK19" s="14">
        <f t="shared" si="35"/>
        <v>25.343059369004401</v>
      </c>
      <c r="AL19" s="22">
        <f t="shared" si="4"/>
        <v>206.51794973434934</v>
      </c>
      <c r="AM19" s="62">
        <f t="shared" si="5"/>
        <v>482.74017195657154</v>
      </c>
      <c r="AN19" s="62">
        <f ca="1">AVERAGE(OFFSET($AM$3,0,0,'Données projet'!$E$10+1,1))-AVERAGE(OFFSET($H$3,0,0,'Données projet'!$E$10+1,1))</f>
        <v>356.31271939877655</v>
      </c>
      <c r="AO19" s="62">
        <f t="shared" si="36"/>
        <v>499.70544707812991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0.9</v>
      </c>
      <c r="BD19" s="13">
        <f>IF('Données projet'!$A$88&gt;35,BD18+BC19-BL18,IF(A19&lt;'Données projet'!$A$88,$BA$205^A19,IF(A19='Données projet'!$A$88,'Données projet'!$B$88,BD18+BC19-BL18)))</f>
        <v>10.097596309015799</v>
      </c>
      <c r="BE19" s="14">
        <f>BD19*VLOOKUP('Données projet'!$B$11,Paramètres!$A$1:$I$89,3,0)*VLOOKUP('Données projet'!$B$11,Paramètres!$A$1:$I$89,5,0)</f>
        <v>8.8212601355562033</v>
      </c>
      <c r="BF19" s="14">
        <f t="shared" si="37"/>
        <v>3.1551711996443523</v>
      </c>
      <c r="BG19" s="22">
        <f t="shared" si="7"/>
        <v>20.858951242140964</v>
      </c>
      <c r="BH19" s="62">
        <f t="shared" si="8"/>
        <v>297.08117346436319</v>
      </c>
      <c r="BI19" s="62">
        <f ca="1">AVERAGE(OFFSET($BH$3,0,0,'Données projet'!$E$11+1,1))-AVERAGE(OFFSET($H$3,0,0,'Données projet'!$E$11+1,1))</f>
        <v>195.30963433439501</v>
      </c>
      <c r="BJ19" s="62">
        <f t="shared" si="38"/>
        <v>185.00219255324504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16.2</v>
      </c>
      <c r="BY19" s="13">
        <f>IF('Données projet'!$A$114&gt;35,BY18+BX19-CG18,IF(A19&lt;'Données projet'!$A$114,$BV$205^A19,IF(A19='Données projet'!$A$114,'Données projet'!$B$114,BY18+BX19-CG18)))</f>
        <v>89.2</v>
      </c>
      <c r="BZ19" s="14">
        <f>BY19*VLOOKUP('Données projet'!$B$12,Paramètres!$A$1:$I$89,3,0)*VLOOKUP('Données projet'!$B$12,Paramètres!$A$1:$I$89,5,0)</f>
        <v>77.925120000000007</v>
      </c>
      <c r="CA19" s="14">
        <f t="shared" si="39"/>
        <v>21.629091902424182</v>
      </c>
      <c r="CB19" s="22">
        <f t="shared" si="10"/>
        <v>173.3902523967221</v>
      </c>
      <c r="CC19" s="62">
        <f t="shared" si="11"/>
        <v>449.61247461894436</v>
      </c>
      <c r="CD19" s="62">
        <f ca="1">AVERAGE(OFFSET($CC$3,0,0,'Données projet'!$E$12+1,1))-AVERAGE(OFFSET($H$3,0,0,'Données projet'!$E$12+1,1))</f>
        <v>303.33040062722074</v>
      </c>
      <c r="CE19" s="62">
        <f t="shared" si="40"/>
        <v>425.30058672361548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7.9</v>
      </c>
      <c r="CT19" s="13">
        <f>IF('Données projet'!$A$140&gt;35,CT18+CS19-DB18,IF(A19&lt;'Données projet'!$A$140,$CQ$205^A19,IF(A19='Données projet'!$A$140,'Données projet'!$B$140,CT18+CS19-DB18)))</f>
        <v>57.401820934596167</v>
      </c>
      <c r="CU19" s="18">
        <f>CT19*VLOOKUP('Données projet'!$B$13,Paramètres!$A$1:$I$89,3,0)*VLOOKUP('Données projet'!$B$13,Paramètres!$A$1:$I$89,5,0)</f>
        <v>26.864052197391008</v>
      </c>
      <c r="CV19" s="14">
        <f t="shared" si="41"/>
        <v>8.4404970471001413</v>
      </c>
      <c r="CW19" s="22">
        <f t="shared" si="13"/>
        <v>61.488756600822086</v>
      </c>
      <c r="CX19" s="62">
        <f t="shared" si="14"/>
        <v>337.71097882304434</v>
      </c>
      <c r="CY19" s="62">
        <f ca="1">AVERAGE(OFFSET($CX$3,0,0,'Données projet'!$E$13+1,1))-AVERAGE(OFFSET($H$3,0,0,'Données projet'!$E$13+1,1))</f>
        <v>396.92963589781414</v>
      </c>
      <c r="CZ19" s="62">
        <f t="shared" si="42"/>
        <v>294.38852181137639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18.403212128076973</v>
      </c>
      <c r="P20" s="14">
        <f t="shared" si="33"/>
        <v>6.0424362650875043</v>
      </c>
      <c r="Q20" s="22">
        <f t="shared" si="2"/>
        <v>42.576170951428125</v>
      </c>
      <c r="R20" s="62">
        <f t="shared" si="0"/>
        <v>320.0206153958726</v>
      </c>
      <c r="S20" s="62">
        <f ca="1">AVERAGE(OFFSET($R$3,0,0,'Données projet'!$E$9+1,1))-AVERAGE(OFFSET($H$3,0,0,'Données projet'!$E$9+1,1))</f>
        <v>411.98877330238821</v>
      </c>
      <c r="T20" s="62">
        <f t="shared" si="34"/>
        <v>256.4377087753457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16.2</v>
      </c>
      <c r="AI20" s="14">
        <f>IF('Données projet'!$A$62&gt;35,AI19+AH20-AQ19,IF(A20&lt;'Données projet'!$A$62,$AF$205^A20,IF(A20='Données projet'!$A$62,'Données projet'!$B$62,AI19+AH20-AQ19)))</f>
        <v>105.4</v>
      </c>
      <c r="AJ20" s="14">
        <f>AI20*VLOOKUP('Données projet'!$B$10,Paramètres!$A$1:$I$89,3,0)*VLOOKUP('Données projet'!$B$10,Paramètres!$A$1:$I$89,5,0)</f>
        <v>110.16408000000001</v>
      </c>
      <c r="AK20" s="14">
        <f t="shared" si="35"/>
        <v>29.369639746125298</v>
      </c>
      <c r="AL20" s="22">
        <f t="shared" si="4"/>
        <v>243.02122855783492</v>
      </c>
      <c r="AM20" s="62">
        <f t="shared" si="5"/>
        <v>520.46567300227935</v>
      </c>
      <c r="AN20" s="62">
        <f ca="1">AVERAGE(OFFSET($AM$3,0,0,'Données projet'!$E$10+1,1))-AVERAGE(OFFSET($H$3,0,0,'Données projet'!$E$10+1,1))</f>
        <v>356.31271939877655</v>
      </c>
      <c r="AO20" s="62">
        <f t="shared" si="36"/>
        <v>499.70544707812991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0.9</v>
      </c>
      <c r="BD20" s="13">
        <f>IF('Données projet'!$A$88&gt;35,BD19+BC20-BL19,IF(A20&lt;'Données projet'!$A$88,$BA$205^A20,IF(A20='Données projet'!$A$88,'Données projet'!$B$88,BD19+BC20-BL19)))</f>
        <v>11.667602620429678</v>
      </c>
      <c r="BE20" s="14">
        <f>BD20*VLOOKUP('Données projet'!$B$11,Paramètres!$A$1:$I$89,3,0)*VLOOKUP('Données projet'!$B$11,Paramètres!$A$1:$I$89,5,0)</f>
        <v>10.192817649207369</v>
      </c>
      <c r="BF20" s="14">
        <f t="shared" si="37"/>
        <v>3.5849315547400531</v>
      </c>
      <c r="BG20" s="22">
        <f t="shared" si="7"/>
        <v>23.996246530208428</v>
      </c>
      <c r="BH20" s="62">
        <f t="shared" si="8"/>
        <v>301.44069097465291</v>
      </c>
      <c r="BI20" s="62">
        <f ca="1">AVERAGE(OFFSET($BH$3,0,0,'Données projet'!$E$11+1,1))-AVERAGE(OFFSET($H$3,0,0,'Données projet'!$E$11+1,1))</f>
        <v>195.30963433439501</v>
      </c>
      <c r="BJ20" s="62">
        <f t="shared" si="38"/>
        <v>185.00219255324504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16.2</v>
      </c>
      <c r="BY20" s="13">
        <f>IF('Données projet'!$A$114&gt;35,BY19+BX20-CG19,IF(A20&lt;'Données projet'!$A$114,$BV$205^A20,IF(A20='Données projet'!$A$114,'Données projet'!$B$114,BY19+BX20-CG19)))</f>
        <v>105.4</v>
      </c>
      <c r="BZ20" s="14">
        <f>BY20*VLOOKUP('Données projet'!$B$12,Paramètres!$A$1:$I$89,3,0)*VLOOKUP('Données projet'!$B$12,Paramètres!$A$1:$I$89,5,0)</f>
        <v>92.07744000000001</v>
      </c>
      <c r="CA20" s="14">
        <f t="shared" si="39"/>
        <v>25.065586122051112</v>
      </c>
      <c r="CB20" s="22">
        <f t="shared" si="10"/>
        <v>204.02410382923904</v>
      </c>
      <c r="CC20" s="62">
        <f t="shared" si="11"/>
        <v>481.4685482736835</v>
      </c>
      <c r="CD20" s="62">
        <f ca="1">AVERAGE(OFFSET($CC$3,0,0,'Données projet'!$E$12+1,1))-AVERAGE(OFFSET($H$3,0,0,'Données projet'!$E$12+1,1))</f>
        <v>303.33040062722074</v>
      </c>
      <c r="CE20" s="62">
        <f t="shared" si="40"/>
        <v>425.30058672361548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7.9</v>
      </c>
      <c r="CT20" s="13">
        <f>IF('Données projet'!$A$140&gt;35,CT19+CS20-DB19,IF(A20&lt;'Données projet'!$A$140,$CQ$205^A20,IF(A20='Données projet'!$A$140,'Données projet'!$B$140,CT19+CS20-DB19)))</f>
        <v>73.936437994095741</v>
      </c>
      <c r="CU20" s="18">
        <f>CT20*VLOOKUP('Données projet'!$B$13,Paramètres!$A$1:$I$89,3,0)*VLOOKUP('Données projet'!$B$13,Paramètres!$A$1:$I$89,5,0)</f>
        <v>34.602252981236802</v>
      </c>
      <c r="CV20" s="14">
        <f t="shared" si="41"/>
        <v>10.556129086190376</v>
      </c>
      <c r="CW20" s="22">
        <f t="shared" si="13"/>
        <v>78.650848767435647</v>
      </c>
      <c r="CX20" s="62">
        <f t="shared" si="14"/>
        <v>356.09529321188012</v>
      </c>
      <c r="CY20" s="62">
        <f ca="1">AVERAGE(OFFSET($CX$3,0,0,'Données projet'!$E$13+1,1))-AVERAGE(OFFSET($H$3,0,0,'Données projet'!$E$13+1,1))</f>
        <v>396.92963589781414</v>
      </c>
      <c r="CZ20" s="62">
        <f t="shared" si="42"/>
        <v>294.38852181137639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21.824483079099512</v>
      </c>
      <c r="P21" s="14">
        <f t="shared" si="33"/>
        <v>7.0249454027704825</v>
      </c>
      <c r="Q21" s="22">
        <f t="shared" si="2"/>
        <v>50.246087939256903</v>
      </c>
      <c r="R21" s="62">
        <f t="shared" si="0"/>
        <v>328.91275460592357</v>
      </c>
      <c r="S21" s="62">
        <f ca="1">AVERAGE(OFFSET($R$3,0,0,'Données projet'!$E$9+1,1))-AVERAGE(OFFSET($H$3,0,0,'Données projet'!$E$9+1,1))</f>
        <v>411.98877330238821</v>
      </c>
      <c r="T21" s="62">
        <f t="shared" si="34"/>
        <v>256.4377087753457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16.2</v>
      </c>
      <c r="AI21" s="14">
        <f>IF('Données projet'!$A$62&gt;35,AI20+AH21-AQ20,IF(A21&lt;'Données projet'!$A$62,$AF$205^A21,IF(A21='Données projet'!$A$62,'Données projet'!$B$62,AI20+AH21-AQ20)))</f>
        <v>121.60000000000001</v>
      </c>
      <c r="AJ21" s="14">
        <f>AI21*VLOOKUP('Données projet'!$B$10,Paramètres!$A$1:$I$89,3,0)*VLOOKUP('Données projet'!$B$10,Paramètres!$A$1:$I$89,5,0)</f>
        <v>127.09632000000002</v>
      </c>
      <c r="AK21" s="14">
        <f t="shared" si="35"/>
        <v>33.324524590112638</v>
      </c>
      <c r="AL21" s="22">
        <f t="shared" si="4"/>
        <v>279.39963766111288</v>
      </c>
      <c r="AM21" s="62">
        <f t="shared" si="5"/>
        <v>558.06630432777956</v>
      </c>
      <c r="AN21" s="62">
        <f ca="1">AVERAGE(OFFSET($AM$3,0,0,'Données projet'!$E$10+1,1))-AVERAGE(OFFSET($H$3,0,0,'Données projet'!$E$10+1,1))</f>
        <v>356.31271939877655</v>
      </c>
      <c r="AO21" s="62">
        <f t="shared" si="36"/>
        <v>499.70544707812991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0.9</v>
      </c>
      <c r="BD21" s="13">
        <f>IF('Données projet'!$A$88&gt;35,BD20+BC21-BL20,IF(A21&lt;'Données projet'!$A$88,$BA$205^A21,IF(A21='Données projet'!$A$88,'Données projet'!$B$88,BD20+BC21-BL20)))</f>
        <v>13.48171849440139</v>
      </c>
      <c r="BE21" s="14">
        <f>BD21*VLOOKUP('Données projet'!$B$11,Paramètres!$A$1:$I$89,3,0)*VLOOKUP('Données projet'!$B$11,Paramètres!$A$1:$I$89,5,0)</f>
        <v>11.777629276709055</v>
      </c>
      <c r="BF21" s="14">
        <f t="shared" si="37"/>
        <v>4.0732288167499631</v>
      </c>
      <c r="BG21" s="22">
        <f t="shared" si="7"/>
        <v>27.606911179441123</v>
      </c>
      <c r="BH21" s="62">
        <f t="shared" si="8"/>
        <v>306.2735778461078</v>
      </c>
      <c r="BI21" s="62">
        <f ca="1">AVERAGE(OFFSET($BH$3,0,0,'Données projet'!$E$11+1,1))-AVERAGE(OFFSET($H$3,0,0,'Données projet'!$E$11+1,1))</f>
        <v>195.30963433439501</v>
      </c>
      <c r="BJ21" s="62">
        <f t="shared" si="38"/>
        <v>185.00219255324504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16.2</v>
      </c>
      <c r="BY21" s="13">
        <f>IF('Données projet'!$A$114&gt;35,BY20+BX21-CG20,IF(A21&lt;'Données projet'!$A$114,$BV$205^A21,IF(A21='Données projet'!$A$114,'Données projet'!$B$114,BY20+BX21-CG20)))</f>
        <v>121.60000000000001</v>
      </c>
      <c r="BZ21" s="14">
        <f>BY21*VLOOKUP('Données projet'!$B$12,Paramètres!$A$1:$I$89,3,0)*VLOOKUP('Données projet'!$B$12,Paramètres!$A$1:$I$89,5,0)</f>
        <v>106.22976000000003</v>
      </c>
      <c r="CA21" s="14">
        <f t="shared" si="39"/>
        <v>28.440891625171492</v>
      </c>
      <c r="CB21" s="22">
        <f t="shared" si="10"/>
        <v>234.55138491384039</v>
      </c>
      <c r="CC21" s="62">
        <f t="shared" si="11"/>
        <v>513.21805158050711</v>
      </c>
      <c r="CD21" s="62">
        <f ca="1">AVERAGE(OFFSET($CC$3,0,0,'Données projet'!$E$12+1,1))-AVERAGE(OFFSET($H$3,0,0,'Données projet'!$E$12+1,1))</f>
        <v>303.33040062722074</v>
      </c>
      <c r="CE21" s="62">
        <f t="shared" si="40"/>
        <v>425.30058672361548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7.9</v>
      </c>
      <c r="CT21" s="13">
        <f>IF('Données projet'!$A$140&gt;35,CT20+CS21-DB20,IF(A21&lt;'Données projet'!$A$140,$CQ$205^A21,IF(A21='Données projet'!$A$140,'Données projet'!$B$140,CT20+CS21-DB20)))</f>
        <v>95.233857990035276</v>
      </c>
      <c r="CU21" s="18">
        <f>CT21*VLOOKUP('Données projet'!$B$13,Paramètres!$A$1:$I$89,3,0)*VLOOKUP('Données projet'!$B$13,Paramètres!$A$1:$I$89,5,0)</f>
        <v>44.569445539336513</v>
      </c>
      <c r="CV21" s="14">
        <f t="shared" si="41"/>
        <v>13.202049673437019</v>
      </c>
      <c r="CW21" s="22">
        <f t="shared" si="13"/>
        <v>100.61868749558056</v>
      </c>
      <c r="CX21" s="62">
        <f t="shared" si="14"/>
        <v>379.28535416224724</v>
      </c>
      <c r="CY21" s="62">
        <f ca="1">AVERAGE(OFFSET($CX$3,0,0,'Données projet'!$E$13+1,1))-AVERAGE(OFFSET($H$3,0,0,'Données projet'!$E$13+1,1))</f>
        <v>396.92963589781414</v>
      </c>
      <c r="CZ21" s="62">
        <f t="shared" si="42"/>
        <v>294.38852181137639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25.881789459092229</v>
      </c>
      <c r="P22" s="14">
        <f t="shared" si="33"/>
        <v>8.1672119898134259</v>
      </c>
      <c r="Q22" s="22">
        <f t="shared" si="2"/>
        <v>59.302010856844014</v>
      </c>
      <c r="R22" s="62">
        <f t="shared" si="0"/>
        <v>339.19089974573285</v>
      </c>
      <c r="S22" s="62">
        <f ca="1">AVERAGE(OFFSET($R$3,0,0,'Données projet'!$E$9+1,1))-AVERAGE(OFFSET($H$3,0,0,'Données projet'!$E$9+1,1))</f>
        <v>411.98877330238821</v>
      </c>
      <c r="T22" s="62">
        <f t="shared" si="34"/>
        <v>256.4377087753457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16.2</v>
      </c>
      <c r="AI22" s="14">
        <f>IF('Données projet'!$A$62&gt;35,AI21+AH22-AQ21,IF(A22&lt;'Données projet'!$A$62,$AF$205^A22,IF(A22='Données projet'!$A$62,'Données projet'!$B$62,AI21+AH22-AQ21)))</f>
        <v>137.80000000000001</v>
      </c>
      <c r="AJ22" s="14">
        <f>AI22*VLOOKUP('Données projet'!$B$10,Paramètres!$A$1:$I$89,3,0)*VLOOKUP('Données projet'!$B$10,Paramètres!$A$1:$I$89,5,0)</f>
        <v>144.02856000000003</v>
      </c>
      <c r="AK22" s="14">
        <f t="shared" si="35"/>
        <v>37.218362737449169</v>
      </c>
      <c r="AL22" s="22">
        <f t="shared" si="4"/>
        <v>315.67172376772402</v>
      </c>
      <c r="AM22" s="62">
        <f t="shared" si="5"/>
        <v>595.56061265661288</v>
      </c>
      <c r="AN22" s="62">
        <f ca="1">AVERAGE(OFFSET($AM$3,0,0,'Données projet'!$E$10+1,1))-AVERAGE(OFFSET($H$3,0,0,'Données projet'!$E$10+1,1))</f>
        <v>356.31271939877655</v>
      </c>
      <c r="AO22" s="62">
        <f t="shared" si="36"/>
        <v>499.70544707812991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0.9</v>
      </c>
      <c r="BD22" s="13">
        <f>IF('Données projet'!$A$88&gt;35,BD21+BC22-BL21,IF(A22&lt;'Données projet'!$A$88,$BA$205^A22,IF(A22='Données projet'!$A$88,'Données projet'!$B$88,BD21+BC22-BL21)))</f>
        <v>15.577898860219406</v>
      </c>
      <c r="BE22" s="14">
        <f>BD22*VLOOKUP('Données projet'!$B$11,Paramètres!$A$1:$I$89,3,0)*VLOOKUP('Données projet'!$B$11,Paramètres!$A$1:$I$89,5,0)</f>
        <v>13.608852444287676</v>
      </c>
      <c r="BF22" s="14">
        <f t="shared" si="37"/>
        <v>4.6280361954652021</v>
      </c>
      <c r="BG22" s="22">
        <f t="shared" si="7"/>
        <v>31.762581047569586</v>
      </c>
      <c r="BH22" s="62">
        <f t="shared" si="8"/>
        <v>311.65146993645845</v>
      </c>
      <c r="BI22" s="62">
        <f ca="1">AVERAGE(OFFSET($BH$3,0,0,'Données projet'!$E$11+1,1))-AVERAGE(OFFSET($H$3,0,0,'Données projet'!$E$11+1,1))</f>
        <v>195.30963433439501</v>
      </c>
      <c r="BJ22" s="62">
        <f t="shared" si="38"/>
        <v>185.00219255324504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16.2</v>
      </c>
      <c r="BY22" s="13">
        <f>IF('Données projet'!$A$114&gt;35,BY21+BX22-CG21,IF(A22&lt;'Données projet'!$A$114,$BV$205^A22,IF(A22='Données projet'!$A$114,'Données projet'!$B$114,BY21+BX22-CG21)))</f>
        <v>137.80000000000001</v>
      </c>
      <c r="BZ22" s="14">
        <f>BY22*VLOOKUP('Données projet'!$B$12,Paramètres!$A$1:$I$89,3,0)*VLOOKUP('Données projet'!$B$12,Paramètres!$A$1:$I$89,5,0)</f>
        <v>120.38208000000003</v>
      </c>
      <c r="CA22" s="14">
        <f t="shared" si="39"/>
        <v>31.76409668560358</v>
      </c>
      <c r="CB22" s="22">
        <f t="shared" si="10"/>
        <v>264.98792439409294</v>
      </c>
      <c r="CC22" s="62">
        <f t="shared" si="11"/>
        <v>544.87681328298186</v>
      </c>
      <c r="CD22" s="62">
        <f ca="1">AVERAGE(OFFSET($CC$3,0,0,'Données projet'!$E$12+1,1))-AVERAGE(OFFSET($H$3,0,0,'Données projet'!$E$12+1,1))</f>
        <v>303.33040062722074</v>
      </c>
      <c r="CE22" s="62">
        <f t="shared" si="40"/>
        <v>425.30058672361548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7.9</v>
      </c>
      <c r="CT22" s="13">
        <f>IF('Données projet'!$A$140&gt;35,CT21+CS22-DB21,IF(A22&lt;'Données projet'!$A$140,$CQ$205^A22,IF(A22='Données projet'!$A$140,'Données projet'!$B$140,CT21+CS22-DB21)))</f>
        <v>122.66600817840934</v>
      </c>
      <c r="CU22" s="18">
        <f>CT22*VLOOKUP('Données projet'!$B$13,Paramètres!$A$1:$I$89,3,0)*VLOOKUP('Données projet'!$B$13,Paramètres!$A$1:$I$89,5,0)</f>
        <v>57.407691827495569</v>
      </c>
      <c r="CV22" s="14">
        <f t="shared" si="41"/>
        <v>16.511176981334152</v>
      </c>
      <c r="CW22" s="22">
        <f t="shared" si="13"/>
        <v>128.7420298420451</v>
      </c>
      <c r="CX22" s="62">
        <f t="shared" si="14"/>
        <v>408.63091873093396</v>
      </c>
      <c r="CY22" s="62">
        <f ca="1">AVERAGE(OFFSET($CX$3,0,0,'Données projet'!$E$13+1,1))-AVERAGE(OFFSET($H$3,0,0,'Données projet'!$E$13+1,1))</f>
        <v>396.92963589781414</v>
      </c>
      <c r="CZ22" s="62">
        <f t="shared" si="42"/>
        <v>294.38852181137639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30.693374187922199</v>
      </c>
      <c r="P23" s="14">
        <f t="shared" si="33"/>
        <v>9.4952128254613779</v>
      </c>
      <c r="Q23" s="22">
        <f t="shared" si="2"/>
        <v>69.995122381643057</v>
      </c>
      <c r="R23" s="62">
        <f t="shared" si="0"/>
        <v>351.1062334927542</v>
      </c>
      <c r="S23" s="62">
        <f ca="1">AVERAGE(OFFSET($R$3,0,0,'Données projet'!$E$9+1,1))-AVERAGE(OFFSET($H$3,0,0,'Données projet'!$E$9+1,1))</f>
        <v>411.98877330238821</v>
      </c>
      <c r="T23" s="62">
        <f t="shared" si="34"/>
        <v>256.4377087753457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154</v>
      </c>
      <c r="AG23" s="13">
        <f>VLOOKUP(A23,'Données projet'!$A$61:$I$81,9,0)</f>
        <v>16.2</v>
      </c>
      <c r="AH23" s="13">
        <f t="array" ref="AH23">INDEX(AG:AG,MIN(IF(ISNUMBER(AG23:AG219),ROW(AG23:AG219),"")))</f>
        <v>16.2</v>
      </c>
      <c r="AI23" s="14">
        <f>IF('Données projet'!$A$62&gt;35,AI22+AH23-AQ22,IF(A23&lt;'Données projet'!$A$62,$AF$205^A23,IF(A23='Données projet'!$A$62,'Données projet'!$B$62,AI22+AH23-AQ22)))</f>
        <v>154</v>
      </c>
      <c r="AJ23" s="14">
        <f>AI23*VLOOKUP('Données projet'!$B$10,Paramètres!$A$1:$I$89,3,0)*VLOOKUP('Données projet'!$B$10,Paramètres!$A$1:$I$89,5,0)</f>
        <v>160.96080000000001</v>
      </c>
      <c r="AK23" s="14">
        <f t="shared" si="35"/>
        <v>41.059150958736609</v>
      </c>
      <c r="AL23" s="22">
        <f t="shared" si="4"/>
        <v>351.85141458646626</v>
      </c>
      <c r="AM23" s="62">
        <f t="shared" si="5"/>
        <v>632.96252569757735</v>
      </c>
      <c r="AN23" s="62">
        <f ca="1">AVERAGE(OFFSET($AM$3,0,0,'Données projet'!$E$10+1,1))-AVERAGE(OFFSET($H$3,0,0,'Données projet'!$E$10+1,1))</f>
        <v>356.31271939877655</v>
      </c>
      <c r="AO23" s="62">
        <f t="shared" si="36"/>
        <v>499.70544707812991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0.215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12.372048606232093</v>
      </c>
      <c r="AW23" s="23">
        <f>EXP(-LN(2)/2)*AW22+(1-EXP(-LN(2)/2))/(LN(2)/2)*AQ23*AT23*VLOOKUP('Données projet'!$B$10,Paramètres!$A$1:$I$89,3,0)*0.475*44/12</f>
        <v>24.654358278638792</v>
      </c>
      <c r="AX23" s="23">
        <f t="shared" si="6"/>
        <v>37.026406884870887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18</v>
      </c>
      <c r="BB23" s="13">
        <f>VLOOKUP(A23,'Données projet'!$A$87:$I$107,9,0)</f>
        <v>0.9</v>
      </c>
      <c r="BC23" s="13">
        <f t="array" ref="BC23">INDEX(BB:BB,MIN(IF(ISNUMBER(BB23:BB219),ROW(BB23:BB219),"")))</f>
        <v>0.9</v>
      </c>
      <c r="BD23" s="13">
        <f>IF('Données projet'!$A$88&gt;35,BD22+BC23-BL22,IF(A23&lt;'Données projet'!$A$88,$BA$205^A23,IF(A23='Données projet'!$A$88,'Données projet'!$B$88,BD22+BC23-BL22)))</f>
        <v>18</v>
      </c>
      <c r="BE23" s="14">
        <f>BD23*VLOOKUP('Données projet'!$B$11,Paramètres!$A$1:$I$89,3,0)*VLOOKUP('Données projet'!$B$11,Paramètres!$A$1:$I$89,5,0)</f>
        <v>15.724800000000004</v>
      </c>
      <c r="BF23" s="14">
        <f t="shared" si="37"/>
        <v>5.2584129176484753</v>
      </c>
      <c r="BG23" s="22">
        <f t="shared" si="7"/>
        <v>36.545762498237771</v>
      </c>
      <c r="BH23" s="62">
        <f t="shared" si="8"/>
        <v>317.65687360934891</v>
      </c>
      <c r="BI23" s="62">
        <f ca="1">AVERAGE(OFFSET($BH$3,0,0,'Données projet'!$E$11+1,1))-AVERAGE(OFFSET($H$3,0,0,'Données projet'!$E$11+1,1))</f>
        <v>195.30963433439501</v>
      </c>
      <c r="BJ23" s="62">
        <f t="shared" si="38"/>
        <v>185.00219255324504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154</v>
      </c>
      <c r="BW23" s="13">
        <f>VLOOKUP(A23,'Données projet'!$A$113:$I$133,9,0)</f>
        <v>16.2</v>
      </c>
      <c r="BX23" s="13">
        <f t="array" ref="BX23">INDEX(BW:BW,MIN(IF(ISNUMBER(BW23:BW219),ROW(BW23:BW219),"")))</f>
        <v>16.2</v>
      </c>
      <c r="BY23" s="13">
        <f>IF('Données projet'!$A$114&gt;35,BY22+BX23-CG22,IF(A23&lt;'Données projet'!$A$114,$BV$205^A23,IF(A23='Données projet'!$A$114,'Données projet'!$B$114,BY22+BX23-CG22)))</f>
        <v>154</v>
      </c>
      <c r="BZ23" s="14">
        <f>BY23*VLOOKUP('Données projet'!$B$12,Paramètres!$A$1:$I$89,3,0)*VLOOKUP('Données projet'!$B$12,Paramètres!$A$1:$I$89,5,0)</f>
        <v>134.53440000000001</v>
      </c>
      <c r="CA23" s="14">
        <f t="shared" si="39"/>
        <v>35.042026165482234</v>
      </c>
      <c r="CB23" s="22">
        <f t="shared" si="10"/>
        <v>295.34560890488154</v>
      </c>
      <c r="CC23" s="62">
        <f t="shared" si="11"/>
        <v>576.45672001599269</v>
      </c>
      <c r="CD23" s="62">
        <f ca="1">AVERAGE(OFFSET($CC$3,0,0,'Données projet'!$E$12+1,1))-AVERAGE(OFFSET($H$3,0,0,'Données projet'!$E$12+1,1))</f>
        <v>303.33040062722074</v>
      </c>
      <c r="CE23" s="62">
        <f t="shared" si="40"/>
        <v>425.30058672361548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50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0.215</v>
      </c>
      <c r="CJ23" s="17">
        <f>IF(ISNA(VLOOKUP(A23,'Données projet'!$A$113:$I$133,7,0)),0%,VLOOKUP(A23,'Données projet'!$A$113:$I$133,7,0))</f>
        <v>0.5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10.340816745507423</v>
      </c>
      <c r="CM23" s="23">
        <f>EXP(-LN(2)/2)*CM22+(1-EXP(-LN(2)/2))/(LN(2)/2)*CG23*CJ23*VLOOKUP('Données projet'!$B$12,Paramètres!$A$1:$I$89,3,0)*0.475*44/12</f>
        <v>20.606627814981682</v>
      </c>
      <c r="CN23" s="24">
        <f t="shared" si="12"/>
        <v>30.947444560489103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158</v>
      </c>
      <c r="CR23" s="13">
        <f>VLOOKUP(A23,'Données projet'!$A$139:$I$159,9,0)</f>
        <v>7.9</v>
      </c>
      <c r="CS23" s="13">
        <f t="array" ref="CS23">INDEX(CR:CR,MIN(IF(ISNUMBER(CR23:CR219),ROW(CR23:CR219),"")))</f>
        <v>7.9</v>
      </c>
      <c r="CT23" s="13">
        <f>IF('Données projet'!$A$140&gt;35,CT22+CS23-DB22,IF(A23&lt;'Données projet'!$A$140,$CQ$205^A23,IF(A23='Données projet'!$A$140,'Données projet'!$B$140,CT22+CS23-DB22)))</f>
        <v>158</v>
      </c>
      <c r="CU23" s="18">
        <f>CT23*VLOOKUP('Données projet'!$B$13,Paramètres!$A$1:$I$89,3,0)*VLOOKUP('Données projet'!$B$13,Paramètres!$A$1:$I$89,5,0)</f>
        <v>73.944000000000003</v>
      </c>
      <c r="CV23" s="14">
        <f t="shared" si="41"/>
        <v>20.649745460165708</v>
      </c>
      <c r="CW23" s="22">
        <f t="shared" si="13"/>
        <v>164.75077334312192</v>
      </c>
      <c r="CX23" s="62">
        <f t="shared" si="14"/>
        <v>445.86188445423306</v>
      </c>
      <c r="CY23" s="62">
        <f ca="1">AVERAGE(OFFSET($CX$3,0,0,'Données projet'!$E$13+1,1))-AVERAGE(OFFSET($H$3,0,0,'Données projet'!$E$13+1,1))</f>
        <v>396.92963589781414</v>
      </c>
      <c r="CZ23" s="62">
        <f t="shared" si="42"/>
        <v>294.38852181137639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36.399462275544337</v>
      </c>
      <c r="P24" s="14">
        <f t="shared" si="33"/>
        <v>11.039148575212362</v>
      </c>
      <c r="Q24" s="22">
        <f t="shared" si="2"/>
        <v>82.62224723173459</v>
      </c>
      <c r="R24" s="62">
        <f t="shared" si="0"/>
        <v>364.95558056506792</v>
      </c>
      <c r="S24" s="62">
        <f ca="1">AVERAGE(OFFSET($R$3,0,0,'Données projet'!$E$9+1,1))-AVERAGE(OFFSET($H$3,0,0,'Données projet'!$E$9+1,1))</f>
        <v>411.98877330238821</v>
      </c>
      <c r="T24" s="62">
        <f t="shared" si="34"/>
        <v>256.4377087753457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15.6</v>
      </c>
      <c r="AI24" s="14">
        <f>IF('Données projet'!$A$62&gt;35,AI23+AH24-AQ23,IF(A24&lt;'Données projet'!$A$62,$AF$205^A24,IF(A24='Données projet'!$A$62,'Données projet'!$B$62,AI23+AH24-AQ23)))</f>
        <v>119.6</v>
      </c>
      <c r="AJ24" s="14">
        <f>AI24*VLOOKUP('Données projet'!$B$10,Paramètres!$A$1:$I$89,3,0)*VLOOKUP('Données projet'!$B$10,Paramètres!$A$1:$I$89,5,0)</f>
        <v>125.00592000000002</v>
      </c>
      <c r="AK24" s="14">
        <f t="shared" si="35"/>
        <v>32.839756328142556</v>
      </c>
      <c r="AL24" s="22">
        <f t="shared" si="4"/>
        <v>274.91455293818166</v>
      </c>
      <c r="AM24" s="62">
        <f t="shared" si="5"/>
        <v>557.24788627151497</v>
      </c>
      <c r="AN24" s="62">
        <f ca="1">AVERAGE(OFFSET($AM$3,0,0,'Données projet'!$E$10+1,1))-AVERAGE(OFFSET($H$3,0,0,'Données projet'!$E$10+1,1))</f>
        <v>356.31271939877655</v>
      </c>
      <c r="AO24" s="62">
        <f t="shared" si="36"/>
        <v>499.70544707812991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12.033734286476918</v>
      </c>
      <c r="AW24" s="23">
        <f>EXP(-LN(2)/2)*AW23+(1-EXP(-LN(2)/2))/(LN(2)/2)*AQ24*AT24*VLOOKUP('Données projet'!$B$10,Paramètres!$A$1:$I$89,3,0)*0.475*44/12</f>
        <v>17.433263924628189</v>
      </c>
      <c r="AX24" s="23">
        <f t="shared" si="6"/>
        <v>29.466998211105107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7.8</v>
      </c>
      <c r="BD24" s="13">
        <f>IF('Données projet'!$A$88&gt;35,BD23+BC24-BL23,IF(A24&lt;'Données projet'!$A$88,$BA$205^A24,IF(A24='Données projet'!$A$88,'Données projet'!$B$88,BD23+BC24-BL23)))</f>
        <v>22.8</v>
      </c>
      <c r="BE24" s="14">
        <f>BD24*VLOOKUP('Données projet'!$B$11,Paramètres!$A$1:$I$89,3,0)*VLOOKUP('Données projet'!$B$11,Paramètres!$A$1:$I$89,5,0)</f>
        <v>19.918080000000003</v>
      </c>
      <c r="BF24" s="14">
        <f t="shared" si="37"/>
        <v>6.4798825087607046</v>
      </c>
      <c r="BG24" s="22">
        <f t="shared" si="7"/>
        <v>45.976451369424893</v>
      </c>
      <c r="BH24" s="62">
        <f t="shared" si="8"/>
        <v>328.30978470275818</v>
      </c>
      <c r="BI24" s="62">
        <f ca="1">AVERAGE(OFFSET($BH$3,0,0,'Données projet'!$E$11+1,1))-AVERAGE(OFFSET($H$3,0,0,'Données projet'!$E$11+1,1))</f>
        <v>195.30963433439501</v>
      </c>
      <c r="BJ24" s="62">
        <f t="shared" si="38"/>
        <v>185.00219255324504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15.6</v>
      </c>
      <c r="BY24" s="13">
        <f>IF('Données projet'!$A$114&gt;35,BY23+BX24-CG23,IF(A24&lt;'Données projet'!$A$114,$BV$205^A24,IF(A24='Données projet'!$A$114,'Données projet'!$B$114,BY23+BX24-CG23)))</f>
        <v>119.6</v>
      </c>
      <c r="BZ24" s="14">
        <f>BY24*VLOOKUP('Données projet'!$B$12,Paramètres!$A$1:$I$89,3,0)*VLOOKUP('Données projet'!$B$12,Paramètres!$A$1:$I$89,5,0)</f>
        <v>104.48256000000001</v>
      </c>
      <c r="CA24" s="14">
        <f t="shared" si="39"/>
        <v>28.02716504477474</v>
      </c>
      <c r="CB24" s="22">
        <f t="shared" si="10"/>
        <v>230.78777111964931</v>
      </c>
      <c r="CC24" s="62">
        <f t="shared" si="11"/>
        <v>513.12110445298265</v>
      </c>
      <c r="CD24" s="62">
        <f ca="1">AVERAGE(OFFSET($CC$3,0,0,'Données projet'!$E$12+1,1))-AVERAGE(OFFSET($H$3,0,0,'Données projet'!$E$12+1,1))</f>
        <v>303.33040062722074</v>
      </c>
      <c r="CE24" s="62">
        <f t="shared" si="40"/>
        <v>425.30058672361548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10.058046567801604</v>
      </c>
      <c r="CM24" s="23">
        <f>EXP(-LN(2)/2)*CM23+(1-EXP(-LN(2)/2))/(LN(2)/2)*CG24*CJ24*VLOOKUP('Données projet'!$B$12,Paramètres!$A$1:$I$89,3,0)*0.475*44/12</f>
        <v>14.571086265360877</v>
      </c>
      <c r="CN24" s="24">
        <f t="shared" si="12"/>
        <v>24.62913283316248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9.1999999999999993</v>
      </c>
      <c r="CT24" s="13">
        <f>IF('Données projet'!$A$140&gt;35,CT23+CS24-DB23,IF(A24&lt;'Données projet'!$A$140,$CQ$205^A24,IF(A24='Données projet'!$A$140,'Données projet'!$B$140,CT23+CS24-DB23)))</f>
        <v>167.2</v>
      </c>
      <c r="CU24" s="18">
        <f>CT24*VLOOKUP('Données projet'!$B$13,Paramètres!$A$1:$I$89,3,0)*VLOOKUP('Données projet'!$B$13,Paramètres!$A$1:$I$89,5,0)</f>
        <v>78.249599999999987</v>
      </c>
      <c r="CV24" s="14">
        <f t="shared" si="41"/>
        <v>21.708652740239781</v>
      </c>
      <c r="CW24" s="22">
        <f t="shared" si="13"/>
        <v>174.09395685591758</v>
      </c>
      <c r="CX24" s="62">
        <f t="shared" si="14"/>
        <v>456.42729018925093</v>
      </c>
      <c r="CY24" s="62">
        <f ca="1">AVERAGE(OFFSET($CX$3,0,0,'Données projet'!$E$13+1,1))-AVERAGE(OFFSET($H$3,0,0,'Données projet'!$E$13+1,1))</f>
        <v>396.92963589781414</v>
      </c>
      <c r="CZ24" s="62">
        <f t="shared" si="42"/>
        <v>294.38852181137639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43.166347428499073</v>
      </c>
      <c r="P25" s="14">
        <f t="shared" si="33"/>
        <v>12.83413057776214</v>
      </c>
      <c r="Q25" s="22">
        <f t="shared" si="2"/>
        <v>97.534165860904935</v>
      </c>
      <c r="R25" s="62">
        <f t="shared" si="0"/>
        <v>381.08972141646046</v>
      </c>
      <c r="S25" s="62">
        <f ca="1">AVERAGE(OFFSET($R$3,0,0,'Données projet'!$E$9+1,1))-AVERAGE(OFFSET($H$3,0,0,'Données projet'!$E$9+1,1))</f>
        <v>411.98877330238821</v>
      </c>
      <c r="T25" s="62">
        <f t="shared" si="34"/>
        <v>256.4377087753457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15.6</v>
      </c>
      <c r="AI25" s="14">
        <f>IF('Données projet'!$A$62&gt;35,AI24+AH25-AQ24,IF(A25&lt;'Données projet'!$A$62,$AF$205^A25,IF(A25='Données projet'!$A$62,'Données projet'!$B$62,AI24+AH25-AQ24)))</f>
        <v>135.19999999999999</v>
      </c>
      <c r="AJ25" s="14">
        <f>AI25*VLOOKUP('Données projet'!$B$10,Paramètres!$A$1:$I$89,3,0)*VLOOKUP('Données projet'!$B$10,Paramètres!$A$1:$I$89,5,0)</f>
        <v>141.31104000000002</v>
      </c>
      <c r="AK25" s="14">
        <f t="shared" si="35"/>
        <v>36.597183225222992</v>
      </c>
      <c r="AL25" s="22">
        <f t="shared" si="4"/>
        <v>309.85682211726339</v>
      </c>
      <c r="AM25" s="62">
        <f t="shared" si="5"/>
        <v>593.41237767281893</v>
      </c>
      <c r="AN25" s="62">
        <f ca="1">AVERAGE(OFFSET($AM$3,0,0,'Données projet'!$E$10+1,1))-AVERAGE(OFFSET($H$3,0,0,'Données projet'!$E$10+1,1))</f>
        <v>356.31271939877655</v>
      </c>
      <c r="AO25" s="62">
        <f t="shared" si="36"/>
        <v>499.70544707812991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11.704671189586623</v>
      </c>
      <c r="AW25" s="23">
        <f>EXP(-LN(2)/2)*AW24+(1-EXP(-LN(2)/2))/(LN(2)/2)*AQ25*AT25*VLOOKUP('Données projet'!$B$10,Paramètres!$A$1:$I$89,3,0)*0.475*44/12</f>
        <v>12.327179139319398</v>
      </c>
      <c r="AX25" s="23">
        <f t="shared" si="6"/>
        <v>24.031850328906021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7.8</v>
      </c>
      <c r="BD25" s="13">
        <f>IF('Données projet'!$A$88&gt;35,BD24+BC25-BL24,IF(A25&lt;'Données projet'!$A$88,$BA$205^A25,IF(A25='Données projet'!$A$88,'Données projet'!$B$88,BD24+BC25-BL24)))</f>
        <v>30.6</v>
      </c>
      <c r="BE25" s="14">
        <f>BD25*VLOOKUP('Données projet'!$B$11,Paramètres!$A$1:$I$89,3,0)*VLOOKUP('Données projet'!$B$11,Paramètres!$A$1:$I$89,5,0)</f>
        <v>26.732160000000004</v>
      </c>
      <c r="BF25" s="14">
        <f t="shared" si="37"/>
        <v>8.4038705306032053</v>
      </c>
      <c r="BG25" s="22">
        <f t="shared" si="7"/>
        <v>61.195253174133917</v>
      </c>
      <c r="BH25" s="62">
        <f t="shared" si="8"/>
        <v>344.75080872968948</v>
      </c>
      <c r="BI25" s="62">
        <f ca="1">AVERAGE(OFFSET($BH$3,0,0,'Données projet'!$E$11+1,1))-AVERAGE(OFFSET($H$3,0,0,'Données projet'!$E$11+1,1))</f>
        <v>195.30963433439501</v>
      </c>
      <c r="BJ25" s="62">
        <f t="shared" si="38"/>
        <v>185.00219255324504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15.6</v>
      </c>
      <c r="BY25" s="13">
        <f>IF('Données projet'!$A$114&gt;35,BY24+BX25-CG24,IF(A25&lt;'Données projet'!$A$114,$BV$205^A25,IF(A25='Données projet'!$A$114,'Données projet'!$B$114,BY24+BX25-CG24)))</f>
        <v>135.19999999999999</v>
      </c>
      <c r="BZ25" s="14">
        <f>BY25*VLOOKUP('Données projet'!$B$12,Paramètres!$A$1:$I$89,3,0)*VLOOKUP('Données projet'!$B$12,Paramètres!$A$1:$I$89,5,0)</f>
        <v>118.11072000000001</v>
      </c>
      <c r="CA25" s="14">
        <f t="shared" si="39"/>
        <v>31.233949612110369</v>
      </c>
      <c r="CB25" s="22">
        <f t="shared" si="10"/>
        <v>260.10863290775887</v>
      </c>
      <c r="CC25" s="62">
        <f t="shared" si="11"/>
        <v>543.66418846331442</v>
      </c>
      <c r="CD25" s="62">
        <f ca="1">AVERAGE(OFFSET($CC$3,0,0,'Données projet'!$E$12+1,1))-AVERAGE(OFFSET($H$3,0,0,'Données projet'!$E$12+1,1))</f>
        <v>303.33040062722074</v>
      </c>
      <c r="CE25" s="62">
        <f t="shared" si="40"/>
        <v>425.30058672361548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9.7830087554753877</v>
      </c>
      <c r="CM25" s="23">
        <f>EXP(-LN(2)/2)*CM24+(1-EXP(-LN(2)/2))/(LN(2)/2)*CG25*CJ25*VLOOKUP('Données projet'!$B$12,Paramètres!$A$1:$I$89,3,0)*0.475*44/12</f>
        <v>10.303313907490843</v>
      </c>
      <c r="CN25" s="24">
        <f t="shared" si="12"/>
        <v>20.086322662966232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9.1999999999999993</v>
      </c>
      <c r="CT25" s="13">
        <f>IF('Données projet'!$A$140&gt;35,CT24+CS25-DB24,IF(A25&lt;'Données projet'!$A$140,$CQ$205^A25,IF(A25='Données projet'!$A$140,'Données projet'!$B$140,CT24+CS25-DB24)))</f>
        <v>176.39999999999998</v>
      </c>
      <c r="CU25" s="18">
        <f>CT25*VLOOKUP('Données projet'!$B$13,Paramètres!$A$1:$I$89,3,0)*VLOOKUP('Données projet'!$B$13,Paramètres!$A$1:$I$89,5,0)</f>
        <v>82.555199999999985</v>
      </c>
      <c r="CV25" s="14">
        <f t="shared" si="41"/>
        <v>22.760796016854769</v>
      </c>
      <c r="CW25" s="22">
        <f t="shared" si="13"/>
        <v>183.42535972935536</v>
      </c>
      <c r="CX25" s="62">
        <f t="shared" si="14"/>
        <v>466.98091528491091</v>
      </c>
      <c r="CY25" s="62">
        <f ca="1">AVERAGE(OFFSET($CX$3,0,0,'Données projet'!$E$13+1,1))-AVERAGE(OFFSET($H$3,0,0,'Données projet'!$E$13+1,1))</f>
        <v>396.92963589781414</v>
      </c>
      <c r="CZ25" s="62">
        <f t="shared" si="42"/>
        <v>294.38852181137639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51.19123838183193</v>
      </c>
      <c r="P26" s="14">
        <f t="shared" si="33"/>
        <v>14.920979327781229</v>
      </c>
      <c r="Q26" s="22">
        <f t="shared" si="2"/>
        <v>115.14544584424293</v>
      </c>
      <c r="R26" s="62">
        <f t="shared" si="0"/>
        <v>399.92322362202071</v>
      </c>
      <c r="S26" s="62">
        <f ca="1">AVERAGE(OFFSET($R$3,0,0,'Données projet'!$E$9+1,1))-AVERAGE(OFFSET($H$3,0,0,'Données projet'!$E$9+1,1))</f>
        <v>411.98877330238821</v>
      </c>
      <c r="T26" s="62">
        <f t="shared" si="34"/>
        <v>256.4377087753457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15.6</v>
      </c>
      <c r="AI26" s="14">
        <f>IF('Données projet'!$A$62&gt;35,AI25+AH26-AQ25,IF(A26&lt;'Données projet'!$A$62,$AF$205^A26,IF(A26='Données projet'!$A$62,'Données projet'!$B$62,AI25+AH26-AQ25)))</f>
        <v>150.79999999999998</v>
      </c>
      <c r="AJ26" s="14">
        <f>AI26*VLOOKUP('Données projet'!$B$10,Paramètres!$A$1:$I$89,3,0)*VLOOKUP('Données projet'!$B$10,Paramètres!$A$1:$I$89,5,0)</f>
        <v>157.61616000000001</v>
      </c>
      <c r="AK26" s="14">
        <f t="shared" si="35"/>
        <v>40.304364799450333</v>
      </c>
      <c r="AL26" s="22">
        <f t="shared" si="4"/>
        <v>344.711580692376</v>
      </c>
      <c r="AM26" s="62">
        <f t="shared" si="5"/>
        <v>629.48935847015377</v>
      </c>
      <c r="AN26" s="62">
        <f ca="1">AVERAGE(OFFSET($AM$3,0,0,'Données projet'!$E$10+1,1))-AVERAGE(OFFSET($H$3,0,0,'Données projet'!$E$10+1,1))</f>
        <v>356.31271939877655</v>
      </c>
      <c r="AO26" s="62">
        <f t="shared" si="36"/>
        <v>499.70544707812991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11.384606340385471</v>
      </c>
      <c r="AW26" s="23">
        <f>EXP(-LN(2)/2)*AW25+(1-EXP(-LN(2)/2))/(LN(2)/2)*AQ26*AT26*VLOOKUP('Données projet'!$B$10,Paramètres!$A$1:$I$89,3,0)*0.475*44/12</f>
        <v>8.7166319623140947</v>
      </c>
      <c r="AX26" s="23">
        <f t="shared" si="6"/>
        <v>20.101238302699564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7.8</v>
      </c>
      <c r="BD26" s="13">
        <f>IF('Données projet'!$A$88&gt;35,BD25+BC26-BL25,IF(A26&lt;'Données projet'!$A$88,$BA$205^A26,IF(A26='Données projet'!$A$88,'Données projet'!$B$88,BD25+BC26-BL25)))</f>
        <v>38.4</v>
      </c>
      <c r="BE26" s="14">
        <f>BD26*VLOOKUP('Données projet'!$B$11,Paramètres!$A$1:$I$89,3,0)*VLOOKUP('Données projet'!$B$11,Paramètres!$A$1:$I$89,5,0)</f>
        <v>33.546240000000004</v>
      </c>
      <c r="BF26" s="14">
        <f t="shared" si="37"/>
        <v>10.270958406379922</v>
      </c>
      <c r="BG26" s="22">
        <f t="shared" si="7"/>
        <v>76.314953891111699</v>
      </c>
      <c r="BH26" s="62">
        <f t="shared" si="8"/>
        <v>361.09273166888948</v>
      </c>
      <c r="BI26" s="62">
        <f ca="1">AVERAGE(OFFSET($BH$3,0,0,'Données projet'!$E$11+1,1))-AVERAGE(OFFSET($H$3,0,0,'Données projet'!$E$11+1,1))</f>
        <v>195.30963433439501</v>
      </c>
      <c r="BJ26" s="62">
        <f t="shared" si="38"/>
        <v>185.00219255324504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15.6</v>
      </c>
      <c r="BY26" s="13">
        <f>IF('Données projet'!$A$114&gt;35,BY25+BX26-CG25,IF(A26&lt;'Données projet'!$A$114,$BV$205^A26,IF(A26='Données projet'!$A$114,'Données projet'!$B$114,BY25+BX26-CG25)))</f>
        <v>150.79999999999998</v>
      </c>
      <c r="BZ26" s="14">
        <f>BY26*VLOOKUP('Données projet'!$B$12,Paramètres!$A$1:$I$89,3,0)*VLOOKUP('Données projet'!$B$12,Paramètres!$A$1:$I$89,5,0)</f>
        <v>131.73887999999999</v>
      </c>
      <c r="CA26" s="14">
        <f t="shared" si="39"/>
        <v>34.397852193895829</v>
      </c>
      <c r="CB26" s="22">
        <f t="shared" si="10"/>
        <v>289.35480857103522</v>
      </c>
      <c r="CC26" s="62">
        <f t="shared" si="11"/>
        <v>574.13258634881299</v>
      </c>
      <c r="CD26" s="62">
        <f ca="1">AVERAGE(OFFSET($CC$3,0,0,'Données projet'!$E$12+1,1))-AVERAGE(OFFSET($H$3,0,0,'Données projet'!$E$12+1,1))</f>
        <v>303.33040062722074</v>
      </c>
      <c r="CE26" s="62">
        <f t="shared" si="40"/>
        <v>425.30058672361548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9.5154918665908426</v>
      </c>
      <c r="CM26" s="23">
        <f>EXP(-LN(2)/2)*CM25+(1-EXP(-LN(2)/2))/(LN(2)/2)*CG26*CJ26*VLOOKUP('Données projet'!$B$12,Paramètres!$A$1:$I$89,3,0)*0.475*44/12</f>
        <v>7.2855431326804396</v>
      </c>
      <c r="CN26" s="24">
        <f t="shared" si="12"/>
        <v>16.80103499927128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9.1999999999999993</v>
      </c>
      <c r="CT26" s="13">
        <f>IF('Données projet'!$A$140&gt;35,CT25+CS26-DB25,IF(A26&lt;'Données projet'!$A$140,$CQ$205^A26,IF(A26='Données projet'!$A$140,'Données projet'!$B$140,CT25+CS26-DB25)))</f>
        <v>185.59999999999997</v>
      </c>
      <c r="CU26" s="18">
        <f>CT26*VLOOKUP('Données projet'!$B$13,Paramètres!$A$1:$I$89,3,0)*VLOOKUP('Données projet'!$B$13,Paramètres!$A$1:$I$89,5,0)</f>
        <v>86.860799999999983</v>
      </c>
      <c r="CV26" s="14">
        <f t="shared" si="41"/>
        <v>23.806568296036275</v>
      </c>
      <c r="CW26" s="22">
        <f t="shared" si="13"/>
        <v>192.7456664489298</v>
      </c>
      <c r="CX26" s="62">
        <f t="shared" si="14"/>
        <v>477.52344422670757</v>
      </c>
      <c r="CY26" s="62">
        <f ca="1">AVERAGE(OFFSET($CX$3,0,0,'Données projet'!$E$13+1,1))-AVERAGE(OFFSET($H$3,0,0,'Données projet'!$E$13+1,1))</f>
        <v>396.92963589781414</v>
      </c>
      <c r="CZ26" s="62">
        <f t="shared" si="42"/>
        <v>294.38852181137639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60.708006194089528</v>
      </c>
      <c r="P27" s="14">
        <f t="shared" si="33"/>
        <v>17.347152793180882</v>
      </c>
      <c r="Q27" s="22">
        <f t="shared" si="2"/>
        <v>135.94606856949596</v>
      </c>
      <c r="R27" s="62">
        <f t="shared" si="0"/>
        <v>421.94606856949599</v>
      </c>
      <c r="S27" s="62">
        <f ca="1">AVERAGE(OFFSET($R$3,0,0,'Données projet'!$E$9+1,1))-AVERAGE(OFFSET($H$3,0,0,'Données projet'!$E$9+1,1))</f>
        <v>411.98877330238821</v>
      </c>
      <c r="T27" s="62">
        <f t="shared" si="34"/>
        <v>256.4377087753457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15.6</v>
      </c>
      <c r="AI27" s="14">
        <f>IF('Données projet'!$A$62&gt;35,AI26+AH27-AQ26,IF(A27&lt;'Données projet'!$A$62,$AF$205^A27,IF(A27='Données projet'!$A$62,'Données projet'!$B$62,AI26+AH27-AQ26)))</f>
        <v>166.39999999999998</v>
      </c>
      <c r="AJ27" s="14">
        <f>AI27*VLOOKUP('Données projet'!$B$10,Paramètres!$A$1:$I$89,3,0)*VLOOKUP('Données projet'!$B$10,Paramètres!$A$1:$I$89,5,0)</f>
        <v>173.92128</v>
      </c>
      <c r="AK27" s="14">
        <f t="shared" si="35"/>
        <v>43.967090861270989</v>
      </c>
      <c r="AL27" s="22">
        <f t="shared" si="4"/>
        <v>379.48891258338023</v>
      </c>
      <c r="AM27" s="62">
        <f t="shared" si="5"/>
        <v>665.48891258338017</v>
      </c>
      <c r="AN27" s="62">
        <f ca="1">AVERAGE(OFFSET($AM$3,0,0,'Données projet'!$E$10+1,1))-AVERAGE(OFFSET($H$3,0,0,'Données projet'!$E$10+1,1))</f>
        <v>356.31271939877655</v>
      </c>
      <c r="AO27" s="62">
        <f t="shared" si="36"/>
        <v>499.70544707812991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11.073293681317203</v>
      </c>
      <c r="AW27" s="23">
        <f>EXP(-LN(2)/2)*AW26+(1-EXP(-LN(2)/2))/(LN(2)/2)*AQ27*AT27*VLOOKUP('Données projet'!$B$10,Paramètres!$A$1:$I$89,3,0)*0.475*44/12</f>
        <v>6.163589569659699</v>
      </c>
      <c r="AX27" s="23">
        <f t="shared" si="6"/>
        <v>17.236883250976902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7.8</v>
      </c>
      <c r="BD27" s="13">
        <f>IF('Données projet'!$A$88&gt;35,BD26+BC27-BL26,IF(A27&lt;'Données projet'!$A$88,$BA$205^A27,IF(A27='Données projet'!$A$88,'Données projet'!$B$88,BD26+BC27-BL26)))</f>
        <v>46.199999999999996</v>
      </c>
      <c r="BE27" s="14">
        <f>BD27*VLOOKUP('Données projet'!$B$11,Paramètres!$A$1:$I$89,3,0)*VLOOKUP('Données projet'!$B$11,Paramètres!$A$1:$I$89,5,0)</f>
        <v>40.360320000000002</v>
      </c>
      <c r="BF27" s="14">
        <f t="shared" si="37"/>
        <v>12.09409986057485</v>
      </c>
      <c r="BG27" s="22">
        <f t="shared" si="7"/>
        <v>91.358114590501202</v>
      </c>
      <c r="BH27" s="62">
        <f t="shared" si="8"/>
        <v>377.3581145905012</v>
      </c>
      <c r="BI27" s="62">
        <f ca="1">AVERAGE(OFFSET($BH$3,0,0,'Données projet'!$E$11+1,1))-AVERAGE(OFFSET($H$3,0,0,'Données projet'!$E$11+1,1))</f>
        <v>195.30963433439501</v>
      </c>
      <c r="BJ27" s="62">
        <f t="shared" si="38"/>
        <v>185.00219255324504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15.6</v>
      </c>
      <c r="BY27" s="13">
        <f>IF('Données projet'!$A$114&gt;35,BY26+BX27-CG26,IF(A27&lt;'Données projet'!$A$114,$BV$205^A27,IF(A27='Données projet'!$A$114,'Données projet'!$B$114,BY26+BX27-CG26)))</f>
        <v>166.39999999999998</v>
      </c>
      <c r="BZ27" s="14">
        <f>BY27*VLOOKUP('Données projet'!$B$12,Paramètres!$A$1:$I$89,3,0)*VLOOKUP('Données projet'!$B$12,Paramètres!$A$1:$I$89,5,0)</f>
        <v>145.36704</v>
      </c>
      <c r="CA27" s="14">
        <f t="shared" si="39"/>
        <v>37.523814117080832</v>
      </c>
      <c r="CB27" s="22">
        <f t="shared" si="10"/>
        <v>318.53490425391578</v>
      </c>
      <c r="CC27" s="62">
        <f t="shared" si="11"/>
        <v>604.53490425391578</v>
      </c>
      <c r="CD27" s="62">
        <f ca="1">AVERAGE(OFFSET($CC$3,0,0,'Données projet'!$E$12+1,1))-AVERAGE(OFFSET($H$3,0,0,'Données projet'!$E$12+1,1))</f>
        <v>303.33040062722074</v>
      </c>
      <c r="CE27" s="62">
        <f t="shared" si="40"/>
        <v>425.30058672361548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9.2552902411009459</v>
      </c>
      <c r="CM27" s="23">
        <f>EXP(-LN(2)/2)*CM26+(1-EXP(-LN(2)/2))/(LN(2)/2)*CG27*CJ27*VLOOKUP('Données projet'!$B$12,Paramètres!$A$1:$I$89,3,0)*0.475*44/12</f>
        <v>5.1516569537454222</v>
      </c>
      <c r="CN27" s="24">
        <f t="shared" si="12"/>
        <v>14.406947194846367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9.1999999999999993</v>
      </c>
      <c r="CT27" s="13">
        <f>IF('Données projet'!$A$140&gt;35,CT26+CS27-DB26,IF(A27&lt;'Données projet'!$A$140,$CQ$205^A27,IF(A27='Données projet'!$A$140,'Données projet'!$B$140,CT26+CS27-DB26)))</f>
        <v>194.79999999999995</v>
      </c>
      <c r="CU27" s="18">
        <f>CT27*VLOOKUP('Données projet'!$B$13,Paramètres!$A$1:$I$89,3,0)*VLOOKUP('Données projet'!$B$13,Paramètres!$A$1:$I$89,5,0)</f>
        <v>91.166399999999982</v>
      </c>
      <c r="CV27" s="14">
        <f t="shared" si="41"/>
        <v>24.846321420979159</v>
      </c>
      <c r="CW27" s="22">
        <f t="shared" si="13"/>
        <v>202.05548980820535</v>
      </c>
      <c r="CX27" s="62">
        <f t="shared" si="14"/>
        <v>488.05548980820538</v>
      </c>
      <c r="CY27" s="62">
        <f ca="1">AVERAGE(OFFSET($CX$3,0,0,'Données projet'!$E$13+1,1))-AVERAGE(OFFSET($H$3,0,0,'Données projet'!$E$13+1,1))</f>
        <v>396.92963589781414</v>
      </c>
      <c r="CZ27" s="62">
        <f t="shared" si="42"/>
        <v>294.38852181137639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71.994</v>
      </c>
      <c r="P28" s="14">
        <f t="shared" si="33"/>
        <v>20.167825678149413</v>
      </c>
      <c r="Q28" s="22">
        <f t="shared" si="2"/>
        <v>160.51517972277688</v>
      </c>
      <c r="R28" s="62">
        <f t="shared" si="0"/>
        <v>447.73740194499908</v>
      </c>
      <c r="S28" s="62">
        <f ca="1">AVERAGE(OFFSET($R$3,0,0,'Données projet'!$E$9+1,1))-AVERAGE(OFFSET($H$3,0,0,'Données projet'!$E$9+1,1))</f>
        <v>411.98877330238821</v>
      </c>
      <c r="T28" s="62">
        <f t="shared" si="34"/>
        <v>256.4377087753457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182</v>
      </c>
      <c r="AG28" s="13">
        <f>VLOOKUP(A28,'Données projet'!$A$61:$I$81,9,0)</f>
        <v>15.6</v>
      </c>
      <c r="AH28" s="13">
        <f t="array" ref="AH28">INDEX(AG:AG,MIN(IF(ISNUMBER(AG28:AG224),ROW(AG28:AG224),"")))</f>
        <v>15.6</v>
      </c>
      <c r="AI28" s="14">
        <f>IF('Données projet'!$A$62&gt;35,AI27+AH28-AQ27,IF(A28&lt;'Données projet'!$A$62,$AF$205^A28,IF(A28='Données projet'!$A$62,'Données projet'!$B$62,AI27+AH28-AQ27)))</f>
        <v>181.99999999999997</v>
      </c>
      <c r="AJ28" s="14">
        <f>AI28*VLOOKUP('Données projet'!$B$10,Paramètres!$A$1:$I$89,3,0)*VLOOKUP('Données projet'!$B$10,Paramètres!$A$1:$I$89,5,0)</f>
        <v>190.22639999999998</v>
      </c>
      <c r="AK28" s="14">
        <f t="shared" si="35"/>
        <v>47.59000320706312</v>
      </c>
      <c r="AL28" s="22">
        <f t="shared" si="4"/>
        <v>414.19690225230153</v>
      </c>
      <c r="AM28" s="62">
        <f t="shared" si="5"/>
        <v>701.41912447452376</v>
      </c>
      <c r="AN28" s="62">
        <f ca="1">AVERAGE(OFFSET($AM$3,0,0,'Données projet'!$E$10+1,1))-AVERAGE(OFFSET($H$3,0,0,'Données projet'!$E$10+1,1))</f>
        <v>356.31271939877655</v>
      </c>
      <c r="AO28" s="62">
        <f t="shared" si="36"/>
        <v>499.70544707812991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0.25800000000000001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26.210810543860035</v>
      </c>
      <c r="AW28" s="23">
        <f>EXP(-LN(2)/2)*AW27+(1-EXP(-LN(2)/2))/(LN(2)/2)*AQ28*AT28*VLOOKUP('Données projet'!$B$10,Paramètres!$A$1:$I$89,3,0)*0.475*44/12</f>
        <v>24.870742068984526</v>
      </c>
      <c r="AX28" s="23">
        <f t="shared" si="6"/>
        <v>51.081552612844561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54</v>
      </c>
      <c r="BB28" s="13">
        <f>VLOOKUP(A28,'Données projet'!$A$87:$I$107,9,0)</f>
        <v>7.8</v>
      </c>
      <c r="BC28" s="13">
        <f t="array" ref="BC28">INDEX(BB:BB,MIN(IF(ISNUMBER(BB28:BB224),ROW(BB28:BB224),"")))</f>
        <v>7.8</v>
      </c>
      <c r="BD28" s="13">
        <f>IF('Données projet'!$A$88&gt;35,BD27+BC28-BL27,IF(A28&lt;'Données projet'!$A$88,$BA$205^A28,IF(A28='Données projet'!$A$88,'Données projet'!$B$88,BD27+BC28-BL27)))</f>
        <v>53.999999999999993</v>
      </c>
      <c r="BE28" s="14">
        <f>BD28*VLOOKUP('Données projet'!$B$11,Paramètres!$A$1:$I$89,3,0)*VLOOKUP('Données projet'!$B$11,Paramètres!$A$1:$I$89,5,0)</f>
        <v>47.174399999999999</v>
      </c>
      <c r="BF28" s="14">
        <f t="shared" si="37"/>
        <v>13.881584044427933</v>
      </c>
      <c r="BG28" s="22">
        <f t="shared" si="7"/>
        <v>106.33917221071198</v>
      </c>
      <c r="BH28" s="62">
        <f t="shared" si="8"/>
        <v>393.56139443293421</v>
      </c>
      <c r="BI28" s="62">
        <f ca="1">AVERAGE(OFFSET($BH$3,0,0,'Données projet'!$E$11+1,1))-AVERAGE(OFFSET($H$3,0,0,'Données projet'!$E$11+1,1))</f>
        <v>195.30963433439501</v>
      </c>
      <c r="BJ28" s="62">
        <f t="shared" si="38"/>
        <v>185.00219255324504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182</v>
      </c>
      <c r="BW28" s="13">
        <f>VLOOKUP(A28,'Données projet'!$A$113:$I$133,9,0)</f>
        <v>15.6</v>
      </c>
      <c r="BX28" s="13">
        <f t="array" ref="BX28">INDEX(BW:BW,MIN(IF(ISNUMBER(BW28:BW224),ROW(BW28:BW224),"")))</f>
        <v>15.6</v>
      </c>
      <c r="BY28" s="13">
        <f>IF('Données projet'!$A$114&gt;35,BY27+BX28-CG27,IF(A28&lt;'Données projet'!$A$114,$BV$205^A28,IF(A28='Données projet'!$A$114,'Données projet'!$B$114,BY27+BX28-CG27)))</f>
        <v>181.99999999999997</v>
      </c>
      <c r="BZ28" s="14">
        <f>BY28*VLOOKUP('Données projet'!$B$12,Paramètres!$A$1:$I$89,3,0)*VLOOKUP('Données projet'!$B$12,Paramètres!$A$1:$I$89,5,0)</f>
        <v>158.99519999999998</v>
      </c>
      <c r="CA28" s="14">
        <f t="shared" si="39"/>
        <v>40.615796933386044</v>
      </c>
      <c r="CB28" s="22">
        <f t="shared" si="10"/>
        <v>347.65581965898065</v>
      </c>
      <c r="CC28" s="62">
        <f t="shared" si="11"/>
        <v>634.87804188120288</v>
      </c>
      <c r="CD28" s="62">
        <f ca="1">AVERAGE(OFFSET($CC$3,0,0,'Données projet'!$E$12+1,1))-AVERAGE(OFFSET($H$3,0,0,'Données projet'!$E$12+1,1))</f>
        <v>303.33040062722074</v>
      </c>
      <c r="CE28" s="62">
        <f t="shared" si="40"/>
        <v>425.30058672361548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52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0.25800000000000001</v>
      </c>
      <c r="CJ28" s="17">
        <f>IF(ISNA(VLOOKUP(A28,'Données projet'!$A$113:$I$133,7,0)),0%,VLOOKUP(A28,'Données projet'!$A$113:$I$133,7,0))</f>
        <v>0.4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21.907543141136742</v>
      </c>
      <c r="CM28" s="23">
        <f>EXP(-LN(2)/2)*CM27+(1-EXP(-LN(2)/2))/(LN(2)/2)*CG28*CJ28*VLOOKUP('Données projet'!$B$12,Paramètres!$A$1:$I$89,3,0)*0.475*44/12</f>
        <v>20.787485908404975</v>
      </c>
      <c r="CN28" s="24">
        <f t="shared" si="12"/>
        <v>42.695029049541716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9.1999999999999993</v>
      </c>
      <c r="CT28" s="13">
        <f>IF('Données projet'!$A$140&gt;35,CT27+CS28-DB27,IF(A28&lt;'Données projet'!$A$140,$CQ$205^A28,IF(A28='Données projet'!$A$140,'Données projet'!$B$140,CT27+CS28-DB27)))</f>
        <v>203.99999999999994</v>
      </c>
      <c r="CU28" s="18">
        <f>CT28*VLOOKUP('Données projet'!$B$13,Paramètres!$A$1:$I$89,3,0)*VLOOKUP('Données projet'!$B$13,Paramètres!$A$1:$I$89,5,0)</f>
        <v>95.47199999999998</v>
      </c>
      <c r="CV28" s="14">
        <f t="shared" si="41"/>
        <v>25.880372123231144</v>
      </c>
      <c r="CW28" s="22">
        <f t="shared" si="13"/>
        <v>211.35538144796087</v>
      </c>
      <c r="CX28" s="62">
        <f t="shared" si="14"/>
        <v>498.57760367018307</v>
      </c>
      <c r="CY28" s="62">
        <f ca="1">AVERAGE(OFFSET($CX$3,0,0,'Données projet'!$E$13+1,1))-AVERAGE(OFFSET($H$3,0,0,'Données projet'!$E$13+1,1))</f>
        <v>396.92963589781414</v>
      </c>
      <c r="CZ28" s="62">
        <f t="shared" si="42"/>
        <v>294.38852181137639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70.98</v>
      </c>
      <c r="P29" s="14">
        <f t="shared" si="33"/>
        <v>19.916628839746853</v>
      </c>
      <c r="Q29" s="22">
        <f t="shared" si="2"/>
        <v>158.31162856255909</v>
      </c>
      <c r="R29" s="62">
        <f t="shared" si="0"/>
        <v>446.75607300700358</v>
      </c>
      <c r="S29" s="62">
        <f ca="1">AVERAGE(OFFSET($R$3,0,0,'Données projet'!$E$9+1,1))-AVERAGE(OFFSET($H$3,0,0,'Données projet'!$E$9+1,1))</f>
        <v>411.98877330238821</v>
      </c>
      <c r="T29" s="62">
        <f t="shared" si="34"/>
        <v>256.4377087753457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14.8</v>
      </c>
      <c r="AI29" s="14">
        <f>IF('Données projet'!$A$62&gt;35,AI28+AH29-AQ28,IF(A29&lt;'Données projet'!$A$62,$AF$205^A29,IF(A29='Données projet'!$A$62,'Données projet'!$B$62,AI28+AH29-AQ28)))</f>
        <v>144.79999999999998</v>
      </c>
      <c r="AJ29" s="14">
        <f>AI29*VLOOKUP('Données projet'!$B$10,Paramètres!$A$1:$I$89,3,0)*VLOOKUP('Données projet'!$B$10,Paramètres!$A$1:$I$89,5,0)</f>
        <v>151.34495999999999</v>
      </c>
      <c r="AK29" s="14">
        <f t="shared" si="35"/>
        <v>38.884073636559918</v>
      </c>
      <c r="AL29" s="22">
        <f t="shared" si="4"/>
        <v>331.31556691700854</v>
      </c>
      <c r="AM29" s="62">
        <f t="shared" si="5"/>
        <v>619.76001136145305</v>
      </c>
      <c r="AN29" s="62">
        <f ca="1">AVERAGE(OFFSET($AM$3,0,0,'Données projet'!$E$10+1,1))-AVERAGE(OFFSET($H$3,0,0,'Données projet'!$E$10+1,1))</f>
        <v>356.31271939877655</v>
      </c>
      <c r="AO29" s="62">
        <f t="shared" si="36"/>
        <v>499.70544707812991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25.494074551171561</v>
      </c>
      <c r="AW29" s="23">
        <f>EXP(-LN(2)/2)*AW28+(1-EXP(-LN(2)/2))/(LN(2)/2)*AQ29*AT29*VLOOKUP('Données projet'!$B$10,Paramètres!$A$1:$I$89,3,0)*0.475*44/12</f>
        <v>17.586270370120506</v>
      </c>
      <c r="AX29" s="23">
        <f t="shared" si="6"/>
        <v>43.080344921292067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7.2</v>
      </c>
      <c r="BD29" s="13">
        <f>IF('Données projet'!$A$88&gt;35,BD28+BC29-BL28,IF(A29&lt;'Données projet'!$A$88,$BA$205^A29,IF(A29='Données projet'!$A$88,'Données projet'!$B$88,BD28+BC29-BL28)))</f>
        <v>47.199999999999996</v>
      </c>
      <c r="BE29" s="14">
        <f>BD29*VLOOKUP('Données projet'!$B$11,Paramètres!$A$1:$I$89,3,0)*VLOOKUP('Données projet'!$B$11,Paramètres!$A$1:$I$89,5,0)</f>
        <v>41.233919999999998</v>
      </c>
      <c r="BF29" s="14">
        <f t="shared" si="37"/>
        <v>12.325116999638462</v>
      </c>
      <c r="BG29" s="22">
        <f t="shared" si="7"/>
        <v>93.28198944103697</v>
      </c>
      <c r="BH29" s="62">
        <f t="shared" si="8"/>
        <v>381.72643388548141</v>
      </c>
      <c r="BI29" s="62">
        <f ca="1">AVERAGE(OFFSET($BH$3,0,0,'Données projet'!$E$11+1,1))-AVERAGE(OFFSET($H$3,0,0,'Données projet'!$E$11+1,1))</f>
        <v>195.30963433439501</v>
      </c>
      <c r="BJ29" s="62">
        <f t="shared" si="38"/>
        <v>185.00219255324504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14.8</v>
      </c>
      <c r="BY29" s="13">
        <f>IF('Données projet'!$A$114&gt;35,BY28+BX29-CG28,IF(A29&lt;'Données projet'!$A$114,$BV$205^A29,IF(A29='Données projet'!$A$114,'Données projet'!$B$114,BY28+BX29-CG28)))</f>
        <v>144.79999999999998</v>
      </c>
      <c r="BZ29" s="14">
        <f>BY29*VLOOKUP('Données projet'!$B$12,Paramètres!$A$1:$I$89,3,0)*VLOOKUP('Données projet'!$B$12,Paramètres!$A$1:$I$89,5,0)</f>
        <v>126.49727999999999</v>
      </c>
      <c r="CA29" s="14">
        <f t="shared" si="39"/>
        <v>33.185701456959592</v>
      </c>
      <c r="CB29" s="22">
        <f t="shared" si="10"/>
        <v>278.11452603753787</v>
      </c>
      <c r="CC29" s="62">
        <f t="shared" si="11"/>
        <v>566.55897048198233</v>
      </c>
      <c r="CD29" s="62">
        <f ca="1">AVERAGE(OFFSET($CC$3,0,0,'Données projet'!$E$12+1,1))-AVERAGE(OFFSET($H$3,0,0,'Données projet'!$E$12+1,1))</f>
        <v>303.33040062722074</v>
      </c>
      <c r="CE29" s="62">
        <f t="shared" si="40"/>
        <v>425.30058672361548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21.308480221874735</v>
      </c>
      <c r="CM29" s="23">
        <f>EXP(-LN(2)/2)*CM28+(1-EXP(-LN(2)/2))/(LN(2)/2)*CG29*CJ29*VLOOKUP('Données projet'!$B$12,Paramètres!$A$1:$I$89,3,0)*0.475*44/12</f>
        <v>14.698972249652957</v>
      </c>
      <c r="CN29" s="24">
        <f t="shared" si="12"/>
        <v>36.007452471527692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213.19999999999993</v>
      </c>
      <c r="CU29" s="18">
        <f>CT29*VLOOKUP('Données projet'!$B$13,Paramètres!$A$1:$I$89,3,0)*VLOOKUP('Données projet'!$B$13,Paramètres!$A$1:$I$89,5,0)</f>
        <v>99.777599999999964</v>
      </c>
      <c r="CV29" s="14">
        <f t="shared" si="41"/>
        <v>26.909006951444532</v>
      </c>
      <c r="CW29" s="22">
        <f t="shared" si="13"/>
        <v>220.64584044043249</v>
      </c>
      <c r="CX29" s="62">
        <f t="shared" si="14"/>
        <v>509.09028488487695</v>
      </c>
      <c r="CY29" s="62">
        <f ca="1">AVERAGE(OFFSET($CX$3,0,0,'Données projet'!$E$13+1,1))-AVERAGE(OFFSET($H$3,0,0,'Données projet'!$E$13+1,1))</f>
        <v>396.92963589781414</v>
      </c>
      <c r="CZ29" s="62">
        <f t="shared" si="42"/>
        <v>294.38852181137639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78.078000000000003</v>
      </c>
      <c r="P30" s="14">
        <f t="shared" si="33"/>
        <v>21.666582091642084</v>
      </c>
      <c r="Q30" s="22">
        <f t="shared" si="2"/>
        <v>173.72181380960993</v>
      </c>
      <c r="R30" s="62">
        <f t="shared" si="0"/>
        <v>463.38848047627664</v>
      </c>
      <c r="S30" s="62">
        <f ca="1">AVERAGE(OFFSET($R$3,0,0,'Données projet'!$E$9+1,1))-AVERAGE(OFFSET($H$3,0,0,'Données projet'!$E$9+1,1))</f>
        <v>411.98877330238821</v>
      </c>
      <c r="T30" s="62">
        <f t="shared" si="34"/>
        <v>256.4377087753457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14.8</v>
      </c>
      <c r="AI30" s="14">
        <f>IF('Données projet'!$A$62&gt;35,AI29+AH30-AQ29,IF(A30&lt;'Données projet'!$A$62,$AF$205^A30,IF(A30='Données projet'!$A$62,'Données projet'!$B$62,AI29+AH30-AQ29)))</f>
        <v>159.6</v>
      </c>
      <c r="AJ30" s="14">
        <f>AI30*VLOOKUP('Données projet'!$B$10,Paramètres!$A$1:$I$89,3,0)*VLOOKUP('Données projet'!$B$10,Paramètres!$A$1:$I$89,5,0)</f>
        <v>166.81392</v>
      </c>
      <c r="AK30" s="14">
        <f t="shared" si="35"/>
        <v>42.375663826552454</v>
      </c>
      <c r="AL30" s="22">
        <f t="shared" si="4"/>
        <v>364.33852516457887</v>
      </c>
      <c r="AM30" s="62">
        <f t="shared" si="5"/>
        <v>654.00519183124561</v>
      </c>
      <c r="AN30" s="62">
        <f ca="1">AVERAGE(OFFSET($AM$3,0,0,'Données projet'!$E$10+1,1))-AVERAGE(OFFSET($H$3,0,0,'Données projet'!$E$10+1,1))</f>
        <v>356.31271939877655</v>
      </c>
      <c r="AO30" s="62">
        <f t="shared" si="36"/>
        <v>499.70544707812991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24.796937741894663</v>
      </c>
      <c r="AW30" s="23">
        <f>EXP(-LN(2)/2)*AW29+(1-EXP(-LN(2)/2))/(LN(2)/2)*AQ30*AT30*VLOOKUP('Données projet'!$B$10,Paramètres!$A$1:$I$89,3,0)*0.475*44/12</f>
        <v>12.435371034492265</v>
      </c>
      <c r="AX30" s="23">
        <f t="shared" si="6"/>
        <v>37.23230877638693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7.2</v>
      </c>
      <c r="BD30" s="13">
        <f>IF('Données projet'!$A$88&gt;35,BD29+BC30-BL29,IF(A30&lt;'Données projet'!$A$88,$BA$205^A30,IF(A30='Données projet'!$A$88,'Données projet'!$B$88,BD29+BC30-BL29)))</f>
        <v>54.4</v>
      </c>
      <c r="BE30" s="14">
        <f>BD30*VLOOKUP('Données projet'!$B$11,Paramètres!$A$1:$I$89,3,0)*VLOOKUP('Données projet'!$B$11,Paramètres!$A$1:$I$89,5,0)</f>
        <v>47.523840000000007</v>
      </c>
      <c r="BF30" s="14">
        <f t="shared" si="37"/>
        <v>13.972402520519896</v>
      </c>
      <c r="BG30" s="22">
        <f t="shared" si="7"/>
        <v>107.10595572323882</v>
      </c>
      <c r="BH30" s="62">
        <f t="shared" si="8"/>
        <v>396.77262238990551</v>
      </c>
      <c r="BI30" s="62">
        <f ca="1">AVERAGE(OFFSET($BH$3,0,0,'Données projet'!$E$11+1,1))-AVERAGE(OFFSET($H$3,0,0,'Données projet'!$E$11+1,1))</f>
        <v>195.30963433439501</v>
      </c>
      <c r="BJ30" s="62">
        <f t="shared" si="38"/>
        <v>185.00219255324504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14.8</v>
      </c>
      <c r="BY30" s="13">
        <f>IF('Données projet'!$A$114&gt;35,BY29+BX30-CG29,IF(A30&lt;'Données projet'!$A$114,$BV$205^A30,IF(A30='Données projet'!$A$114,'Données projet'!$B$114,BY29+BX30-CG29)))</f>
        <v>159.6</v>
      </c>
      <c r="BZ30" s="14">
        <f>BY30*VLOOKUP('Données projet'!$B$12,Paramètres!$A$1:$I$89,3,0)*VLOOKUP('Données projet'!$B$12,Paramètres!$A$1:$I$89,5,0)</f>
        <v>139.42656000000002</v>
      </c>
      <c r="CA30" s="14">
        <f t="shared" si="39"/>
        <v>36.165607079455818</v>
      </c>
      <c r="CB30" s="22">
        <f t="shared" si="10"/>
        <v>305.82302433005219</v>
      </c>
      <c r="CC30" s="62">
        <f t="shared" si="11"/>
        <v>595.48969099671888</v>
      </c>
      <c r="CD30" s="62">
        <f ca="1">AVERAGE(OFFSET($CC$3,0,0,'Données projet'!$E$12+1,1))-AVERAGE(OFFSET($H$3,0,0,'Données projet'!$E$12+1,1))</f>
        <v>303.33040062722074</v>
      </c>
      <c r="CE30" s="62">
        <f t="shared" si="40"/>
        <v>425.30058672361548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20.725798709643296</v>
      </c>
      <c r="CM30" s="23">
        <f>EXP(-LN(2)/2)*CM29+(1-EXP(-LN(2)/2))/(LN(2)/2)*CG30*CJ30*VLOOKUP('Données projet'!$B$12,Paramètres!$A$1:$I$89,3,0)*0.475*44/12</f>
        <v>10.393742954202489</v>
      </c>
      <c r="CN30" s="24">
        <f t="shared" si="12"/>
        <v>31.119541663845787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222.39999999999992</v>
      </c>
      <c r="CU30" s="18">
        <f>CT30*VLOOKUP('Données projet'!$B$13,Paramètres!$A$1:$I$89,3,0)*VLOOKUP('Données projet'!$B$13,Paramètres!$A$1:$I$89,5,0)</f>
        <v>104.08319999999996</v>
      </c>
      <c r="CV30" s="14">
        <f t="shared" si="41"/>
        <v>27.932486325387405</v>
      </c>
      <c r="CW30" s="22">
        <f t="shared" si="13"/>
        <v>229.92732035004965</v>
      </c>
      <c r="CX30" s="62">
        <f t="shared" si="14"/>
        <v>519.59398701671637</v>
      </c>
      <c r="CY30" s="62">
        <f ca="1">AVERAGE(OFFSET($CX$3,0,0,'Données projet'!$E$13+1,1))-AVERAGE(OFFSET($H$3,0,0,'Données projet'!$E$13+1,1))</f>
        <v>396.92963589781414</v>
      </c>
      <c r="CZ30" s="62">
        <f t="shared" si="42"/>
        <v>294.38852181137639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85.176000000000002</v>
      </c>
      <c r="P31" s="14">
        <f t="shared" si="33"/>
        <v>23.398088487656441</v>
      </c>
      <c r="Q31" s="22">
        <f t="shared" si="2"/>
        <v>189.09987078266829</v>
      </c>
      <c r="R31" s="62">
        <f t="shared" si="0"/>
        <v>479.98875967155715</v>
      </c>
      <c r="S31" s="62">
        <f ca="1">AVERAGE(OFFSET($R$3,0,0,'Données projet'!$E$9+1,1))-AVERAGE(OFFSET($H$3,0,0,'Données projet'!$E$9+1,1))</f>
        <v>411.98877330238821</v>
      </c>
      <c r="T31" s="62">
        <f t="shared" si="34"/>
        <v>256.4377087753457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14.8</v>
      </c>
      <c r="AI31" s="14">
        <f>IF('Données projet'!$A$62&gt;35,AI30+AH31-AQ30,IF(A31&lt;'Données projet'!$A$62,$AF$205^A31,IF(A31='Données projet'!$A$62,'Données projet'!$B$62,AI30+AH31-AQ30)))</f>
        <v>174.4</v>
      </c>
      <c r="AJ31" s="14">
        <f>AI31*VLOOKUP('Données projet'!$B$10,Paramètres!$A$1:$I$89,3,0)*VLOOKUP('Données projet'!$B$10,Paramètres!$A$1:$I$89,5,0)</f>
        <v>182.28288000000003</v>
      </c>
      <c r="AK31" s="14">
        <f t="shared" si="35"/>
        <v>45.829711768683602</v>
      </c>
      <c r="AL31" s="22">
        <f t="shared" si="4"/>
        <v>397.29609733045731</v>
      </c>
      <c r="AM31" s="62">
        <f t="shared" si="5"/>
        <v>688.18498621934623</v>
      </c>
      <c r="AN31" s="62">
        <f ca="1">AVERAGE(OFFSET($AM$3,0,0,'Données projet'!$E$10+1,1))-AVERAGE(OFFSET($H$3,0,0,'Données projet'!$E$10+1,1))</f>
        <v>356.31271939877655</v>
      </c>
      <c r="AO31" s="62">
        <f t="shared" si="36"/>
        <v>499.70544707812991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24.118864175328273</v>
      </c>
      <c r="AW31" s="23">
        <f>EXP(-LN(2)/2)*AW30+(1-EXP(-LN(2)/2))/(LN(2)/2)*AQ31*AT31*VLOOKUP('Données projet'!$B$10,Paramètres!$A$1:$I$89,3,0)*0.475*44/12</f>
        <v>8.7931351850602546</v>
      </c>
      <c r="AX31" s="23">
        <f t="shared" si="6"/>
        <v>32.911999360388528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7.2</v>
      </c>
      <c r="BD31" s="13">
        <f>IF('Données projet'!$A$88&gt;35,BD30+BC31-BL30,IF(A31&lt;'Données projet'!$A$88,$BA$205^A31,IF(A31='Données projet'!$A$88,'Données projet'!$B$88,BD30+BC31-BL30)))</f>
        <v>61.6</v>
      </c>
      <c r="BE31" s="14">
        <f>BD31*VLOOKUP('Données projet'!$B$11,Paramètres!$A$1:$I$89,3,0)*VLOOKUP('Données projet'!$B$11,Paramètres!$A$1:$I$89,5,0)</f>
        <v>53.813760000000002</v>
      </c>
      <c r="BF31" s="14">
        <f t="shared" si="37"/>
        <v>15.594426863248383</v>
      </c>
      <c r="BG31" s="22">
        <f t="shared" si="7"/>
        <v>120.88592545349094</v>
      </c>
      <c r="BH31" s="62">
        <f t="shared" si="8"/>
        <v>411.77481434237978</v>
      </c>
      <c r="BI31" s="62">
        <f ca="1">AVERAGE(OFFSET($BH$3,0,0,'Données projet'!$E$11+1,1))-AVERAGE(OFFSET($H$3,0,0,'Données projet'!$E$11+1,1))</f>
        <v>195.30963433439501</v>
      </c>
      <c r="BJ31" s="62">
        <f t="shared" si="38"/>
        <v>185.00219255324504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14.8</v>
      </c>
      <c r="BY31" s="13">
        <f>IF('Données projet'!$A$114&gt;35,BY30+BX31-CG30,IF(A31&lt;'Données projet'!$A$114,$BV$205^A31,IF(A31='Données projet'!$A$114,'Données projet'!$B$114,BY30+BX31-CG30)))</f>
        <v>174.4</v>
      </c>
      <c r="BZ31" s="14">
        <f>BY31*VLOOKUP('Données projet'!$B$12,Paramètres!$A$1:$I$89,3,0)*VLOOKUP('Données projet'!$B$12,Paramètres!$A$1:$I$89,5,0)</f>
        <v>152.35584000000003</v>
      </c>
      <c r="CA31" s="14">
        <f t="shared" si="39"/>
        <v>39.11347218476763</v>
      </c>
      <c r="CB31" s="22">
        <f t="shared" si="10"/>
        <v>333.47571872180367</v>
      </c>
      <c r="CC31" s="62">
        <f t="shared" si="11"/>
        <v>624.36460761069247</v>
      </c>
      <c r="CD31" s="62">
        <f ca="1">AVERAGE(OFFSET($CC$3,0,0,'Données projet'!$E$12+1,1))-AVERAGE(OFFSET($H$3,0,0,'Données projet'!$E$12+1,1))</f>
        <v>303.33040062722074</v>
      </c>
      <c r="CE31" s="62">
        <f t="shared" si="40"/>
        <v>425.30058672361548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20.159050654005714</v>
      </c>
      <c r="CM31" s="23">
        <f>EXP(-LN(2)/2)*CM30+(1-EXP(-LN(2)/2))/(LN(2)/2)*CG31*CJ31*VLOOKUP('Données projet'!$B$12,Paramètres!$A$1:$I$89,3,0)*0.475*44/12</f>
        <v>7.3494861248264796</v>
      </c>
      <c r="CN31" s="24">
        <f t="shared" si="12"/>
        <v>27.508536778832195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231.59999999999991</v>
      </c>
      <c r="CU31" s="18">
        <f>CT31*VLOOKUP('Données projet'!$B$13,Paramètres!$A$1:$I$89,3,0)*VLOOKUP('Données projet'!$B$13,Paramètres!$A$1:$I$89,5,0)</f>
        <v>108.38879999999996</v>
      </c>
      <c r="CV31" s="14">
        <f t="shared" si="41"/>
        <v>28.95104790024919</v>
      </c>
      <c r="CW31" s="22">
        <f t="shared" si="13"/>
        <v>239.20023509293392</v>
      </c>
      <c r="CX31" s="62">
        <f t="shared" si="14"/>
        <v>530.08912398182281</v>
      </c>
      <c r="CY31" s="62">
        <f ca="1">AVERAGE(OFFSET($CX$3,0,0,'Données projet'!$E$13+1,1))-AVERAGE(OFFSET($H$3,0,0,'Données projet'!$E$13+1,1))</f>
        <v>396.92963589781414</v>
      </c>
      <c r="CZ31" s="62">
        <f t="shared" si="42"/>
        <v>294.38852181137639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92.274000000000001</v>
      </c>
      <c r="P32" s="14">
        <f t="shared" si="33"/>
        <v>25.112860036087575</v>
      </c>
      <c r="Q32" s="22">
        <f t="shared" si="2"/>
        <v>204.4487812295192</v>
      </c>
      <c r="R32" s="62">
        <f t="shared" si="0"/>
        <v>496.55989234063031</v>
      </c>
      <c r="S32" s="62">
        <f ca="1">AVERAGE(OFFSET($R$3,0,0,'Données projet'!$E$9+1,1))-AVERAGE(OFFSET($H$3,0,0,'Données projet'!$E$9+1,1))</f>
        <v>411.98877330238821</v>
      </c>
      <c r="T32" s="62">
        <f t="shared" si="34"/>
        <v>256.4377087753457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14.8</v>
      </c>
      <c r="AI32" s="14">
        <f>IF('Données projet'!$A$62&gt;35,AI31+AH32-AQ31,IF(A32&lt;'Données projet'!$A$62,$AF$205^A32,IF(A32='Données projet'!$A$62,'Données projet'!$B$62,AI31+AH32-AQ31)))</f>
        <v>189.20000000000002</v>
      </c>
      <c r="AJ32" s="14">
        <f>AI32*VLOOKUP('Données projet'!$B$10,Paramètres!$A$1:$I$89,3,0)*VLOOKUP('Données projet'!$B$10,Paramètres!$A$1:$I$89,5,0)</f>
        <v>197.75184000000004</v>
      </c>
      <c r="AK32" s="14">
        <f t="shared" si="35"/>
        <v>49.249765609502894</v>
      </c>
      <c r="AL32" s="22">
        <f t="shared" si="4"/>
        <v>430.19446310321763</v>
      </c>
      <c r="AM32" s="62">
        <f t="shared" si="5"/>
        <v>722.30557421432877</v>
      </c>
      <c r="AN32" s="62">
        <f ca="1">AVERAGE(OFFSET($AM$3,0,0,'Données projet'!$E$10+1,1))-AVERAGE(OFFSET($H$3,0,0,'Données projet'!$E$10+1,1))</f>
        <v>356.31271939877655</v>
      </c>
      <c r="AO32" s="62">
        <f t="shared" si="36"/>
        <v>499.70544707812991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23.459332566097977</v>
      </c>
      <c r="AW32" s="23">
        <f>EXP(-LN(2)/2)*AW31+(1-EXP(-LN(2)/2))/(LN(2)/2)*AQ32*AT32*VLOOKUP('Données projet'!$B$10,Paramètres!$A$1:$I$89,3,0)*0.475*44/12</f>
        <v>6.2176855172461343</v>
      </c>
      <c r="AX32" s="23">
        <f t="shared" si="6"/>
        <v>29.677018083344112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7.2</v>
      </c>
      <c r="BD32" s="13">
        <f>IF('Données projet'!$A$88&gt;35,BD31+BC32-BL31,IF(A32&lt;'Données projet'!$A$88,$BA$205^A32,IF(A32='Données projet'!$A$88,'Données projet'!$B$88,BD31+BC32-BL31)))</f>
        <v>68.8</v>
      </c>
      <c r="BE32" s="14">
        <f>BD32*VLOOKUP('Données projet'!$B$11,Paramètres!$A$1:$I$89,3,0)*VLOOKUP('Données projet'!$B$11,Paramètres!$A$1:$I$89,5,0)</f>
        <v>60.103679999999997</v>
      </c>
      <c r="BF32" s="14">
        <f t="shared" si="37"/>
        <v>17.194479934863121</v>
      </c>
      <c r="BG32" s="22">
        <f t="shared" si="7"/>
        <v>134.62762855321992</v>
      </c>
      <c r="BH32" s="62">
        <f t="shared" si="8"/>
        <v>426.73873966433109</v>
      </c>
      <c r="BI32" s="62">
        <f ca="1">AVERAGE(OFFSET($BH$3,0,0,'Données projet'!$E$11+1,1))-AVERAGE(OFFSET($H$3,0,0,'Données projet'!$E$11+1,1))</f>
        <v>195.30963433439501</v>
      </c>
      <c r="BJ32" s="62">
        <f t="shared" si="38"/>
        <v>185.00219255324504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14.8</v>
      </c>
      <c r="BY32" s="13">
        <f>IF('Données projet'!$A$114&gt;35,BY31+BX32-CG31,IF(A32&lt;'Données projet'!$A$114,$BV$205^A32,IF(A32='Données projet'!$A$114,'Données projet'!$B$114,BY31+BX32-CG31)))</f>
        <v>189.20000000000002</v>
      </c>
      <c r="BZ32" s="14">
        <f>BY32*VLOOKUP('Données projet'!$B$12,Paramètres!$A$1:$I$89,3,0)*VLOOKUP('Données projet'!$B$12,Paramètres!$A$1:$I$89,5,0)</f>
        <v>165.28512000000003</v>
      </c>
      <c r="CA32" s="14">
        <f t="shared" si="39"/>
        <v>42.032324946671778</v>
      </c>
      <c r="CB32" s="22">
        <f t="shared" si="10"/>
        <v>361.07788328212001</v>
      </c>
      <c r="CC32" s="62">
        <f t="shared" si="11"/>
        <v>653.18899439323116</v>
      </c>
      <c r="CD32" s="62">
        <f ca="1">AVERAGE(OFFSET($CC$3,0,0,'Données projet'!$E$12+1,1))-AVERAGE(OFFSET($H$3,0,0,'Données projet'!$E$12+1,1))</f>
        <v>303.33040062722074</v>
      </c>
      <c r="CE32" s="62">
        <f t="shared" si="40"/>
        <v>425.30058672361548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19.607800353753529</v>
      </c>
      <c r="CM32" s="23">
        <f>EXP(-LN(2)/2)*CM31+(1-EXP(-LN(2)/2))/(LN(2)/2)*CG32*CJ32*VLOOKUP('Données projet'!$B$12,Paramètres!$A$1:$I$89,3,0)*0.475*44/12</f>
        <v>5.1968714771012445</v>
      </c>
      <c r="CN32" s="24">
        <f t="shared" si="12"/>
        <v>24.804671830854772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240.7999999999999</v>
      </c>
      <c r="CU32" s="18">
        <f>CT32*VLOOKUP('Données projet'!$B$13,Paramètres!$A$1:$I$89,3,0)*VLOOKUP('Données projet'!$B$13,Paramètres!$A$1:$I$89,5,0)</f>
        <v>112.69439999999994</v>
      </c>
      <c r="CV32" s="14">
        <f t="shared" si="41"/>
        <v>29.964909381330607</v>
      </c>
      <c r="CW32" s="22">
        <f t="shared" si="13"/>
        <v>248.46496383915073</v>
      </c>
      <c r="CX32" s="62">
        <f t="shared" si="14"/>
        <v>540.57607495026184</v>
      </c>
      <c r="CY32" s="62">
        <f ca="1">AVERAGE(OFFSET($CX$3,0,0,'Données projet'!$E$13+1,1))-AVERAGE(OFFSET($H$3,0,0,'Données projet'!$E$13+1,1))</f>
        <v>396.92963589781414</v>
      </c>
      <c r="CZ32" s="62">
        <f t="shared" si="42"/>
        <v>294.38852181137639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99.372000000000014</v>
      </c>
      <c r="P33" s="14">
        <f t="shared" si="33"/>
        <v>26.812330397327713</v>
      </c>
      <c r="Q33" s="22">
        <f t="shared" si="2"/>
        <v>219.7710421086791</v>
      </c>
      <c r="R33" s="62">
        <f t="shared" si="0"/>
        <v>513.10437544201238</v>
      </c>
      <c r="S33" s="62">
        <f ca="1">AVERAGE(OFFSET($R$3,0,0,'Données projet'!$E$9+1,1))-AVERAGE(OFFSET($H$3,0,0,'Données projet'!$E$9+1,1))</f>
        <v>411.98877330238821</v>
      </c>
      <c r="T33" s="62">
        <f t="shared" si="34"/>
        <v>256.4377087753457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3.024688898060921</v>
      </c>
      <c r="AB33" s="23">
        <f>EXP(-LN(2)/2)*AB32+(1-EXP(-LN(2)/2))/(LN(2)/2)*V33*Y33*VLOOKUP('Données projet'!$B$9,Paramètres!$A$1:$I$89,3,0)*0.475*44/12</f>
        <v>14.064023483724995</v>
      </c>
      <c r="AC33" s="24">
        <f t="shared" si="3"/>
        <v>17.088712381785918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204</v>
      </c>
      <c r="AG33" s="13">
        <f>VLOOKUP(A33,'Données projet'!$A$61:$I$81,9,0)</f>
        <v>14.8</v>
      </c>
      <c r="AH33" s="13">
        <f t="array" ref="AH33">INDEX(AG:AG,MIN(IF(ISNUMBER(AG33:AG229),ROW(AG33:AG229),"")))</f>
        <v>14.8</v>
      </c>
      <c r="AI33" s="14">
        <f>IF('Données projet'!$A$62&gt;35,AI32+AH33-AQ32,IF(A33&lt;'Données projet'!$A$62,$AF$205^A33,IF(A33='Données projet'!$A$62,'Données projet'!$B$62,AI32+AH33-AQ32)))</f>
        <v>204.00000000000003</v>
      </c>
      <c r="AJ33" s="14">
        <f>AI33*VLOOKUP('Données projet'!$B$10,Paramètres!$A$1:$I$89,3,0)*VLOOKUP('Données projet'!$B$10,Paramètres!$A$1:$I$89,5,0)</f>
        <v>213.22080000000005</v>
      </c>
      <c r="AK33" s="14">
        <f t="shared" si="35"/>
        <v>52.638786839117614</v>
      </c>
      <c r="AL33" s="22">
        <f t="shared" si="4"/>
        <v>463.03878041146328</v>
      </c>
      <c r="AM33" s="62">
        <f t="shared" si="5"/>
        <v>756.37211374479659</v>
      </c>
      <c r="AN33" s="62">
        <f ca="1">AVERAGE(OFFSET($AM$3,0,0,'Données projet'!$E$10+1,1))-AVERAGE(OFFSET($H$3,0,0,'Données projet'!$E$10+1,1))</f>
        <v>356.31271939877655</v>
      </c>
      <c r="AO33" s="62">
        <f t="shared" si="36"/>
        <v>499.70544707812991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51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0.30099999999999999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40.485121293104783</v>
      </c>
      <c r="AW33" s="23">
        <f>EXP(-LN(2)/2)*AW32+(1-EXP(-LN(2)/2))/(LN(2)/2)*AQ33*AT33*VLOOKUP('Données projet'!$B$10,Paramètres!$A$1:$I$89,3,0)*0.475*44/12</f>
        <v>19.48503485905707</v>
      </c>
      <c r="AX33" s="23">
        <f t="shared" si="6"/>
        <v>59.970156152161849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76</v>
      </c>
      <c r="BB33" s="13">
        <f>VLOOKUP(A33,'Données projet'!$A$87:$I$107,9,0)</f>
        <v>7.2</v>
      </c>
      <c r="BC33" s="13">
        <f t="array" ref="BC33">INDEX(BB:BB,MIN(IF(ISNUMBER(BB33:BB229),ROW(BB33:BB229),"")))</f>
        <v>7.2</v>
      </c>
      <c r="BD33" s="13">
        <f>IF('Données projet'!$A$88&gt;35,BD32+BC33-BL32,IF(A33&lt;'Données projet'!$A$88,$BA$205^A33,IF(A33='Données projet'!$A$88,'Données projet'!$B$88,BD32+BC33-BL32)))</f>
        <v>76</v>
      </c>
      <c r="BE33" s="14">
        <f>BD33*VLOOKUP('Données projet'!$B$11,Paramètres!$A$1:$I$89,3,0)*VLOOKUP('Données projet'!$B$11,Paramètres!$A$1:$I$89,5,0)</f>
        <v>66.393600000000006</v>
      </c>
      <c r="BF33" s="14">
        <f t="shared" si="37"/>
        <v>18.775122997078544</v>
      </c>
      <c r="BG33" s="22">
        <f t="shared" si="7"/>
        <v>148.33552588657844</v>
      </c>
      <c r="BH33" s="62">
        <f t="shared" si="8"/>
        <v>441.66885921991172</v>
      </c>
      <c r="BI33" s="62">
        <f ca="1">AVERAGE(OFFSET($BH$3,0,0,'Données projet'!$E$11+1,1))-AVERAGE(OFFSET($H$3,0,0,'Données projet'!$E$11+1,1))</f>
        <v>195.30963433439501</v>
      </c>
      <c r="BJ33" s="62">
        <f t="shared" si="38"/>
        <v>185.00219255324504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14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204</v>
      </c>
      <c r="BW33" s="13">
        <f>VLOOKUP(A33,'Données projet'!$A$113:$I$133,9,0)</f>
        <v>14.8</v>
      </c>
      <c r="BX33" s="13">
        <f t="array" ref="BX33">INDEX(BW:BW,MIN(IF(ISNUMBER(BW33:BW229),ROW(BW33:BW229),"")))</f>
        <v>14.8</v>
      </c>
      <c r="BY33" s="13">
        <f>IF('Données projet'!$A$114&gt;35,BY32+BX33-CG32,IF(A33&lt;'Données projet'!$A$114,$BV$205^A33,IF(A33='Données projet'!$A$114,'Données projet'!$B$114,BY32+BX33-CG32)))</f>
        <v>204.00000000000003</v>
      </c>
      <c r="BZ33" s="14">
        <f>BY33*VLOOKUP('Données projet'!$B$12,Paramètres!$A$1:$I$89,3,0)*VLOOKUP('Données projet'!$B$12,Paramètres!$A$1:$I$89,5,0)</f>
        <v>178.21440000000004</v>
      </c>
      <c r="CA33" s="14">
        <f t="shared" si="39"/>
        <v>44.924692855664368</v>
      </c>
      <c r="CB33" s="22">
        <f t="shared" si="10"/>
        <v>388.63392005694885</v>
      </c>
      <c r="CC33" s="62">
        <f t="shared" si="11"/>
        <v>681.96725339028217</v>
      </c>
      <c r="CD33" s="62">
        <f ca="1">AVERAGE(OFFSET($CC$3,0,0,'Données projet'!$E$12+1,1))-AVERAGE(OFFSET($H$3,0,0,'Données projet'!$E$12+1,1))</f>
        <v>303.33040062722074</v>
      </c>
      <c r="CE33" s="62">
        <f t="shared" si="40"/>
        <v>425.30058672361548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51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0.30099999999999999</v>
      </c>
      <c r="CJ33" s="17">
        <f>IF(ISNA(VLOOKUP(A33,'Données projet'!$A$113:$I$133,7,0)),0%,VLOOKUP(A33,'Données projet'!$A$113:$I$133,7,0))</f>
        <v>0.3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33.838310334535329</v>
      </c>
      <c r="CM33" s="23">
        <f>EXP(-LN(2)/2)*CM32+(1-EXP(-LN(2)/2))/(LN(2)/2)*CG33*CJ33*VLOOKUP('Données projet'!$B$12,Paramètres!$A$1:$I$89,3,0)*0.475*44/12</f>
        <v>16.285999285182026</v>
      </c>
      <c r="CN33" s="24">
        <f t="shared" si="12"/>
        <v>50.124309619717351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250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249.99999999999989</v>
      </c>
      <c r="CU33" s="18">
        <f>CT33*VLOOKUP('Données projet'!$B$13,Paramètres!$A$1:$I$89,3,0)*VLOOKUP('Données projet'!$B$13,Paramètres!$A$1:$I$89,5,0)</f>
        <v>116.99999999999994</v>
      </c>
      <c r="CV33" s="14">
        <f t="shared" si="41"/>
        <v>30.974270896484118</v>
      </c>
      <c r="CW33" s="22">
        <f t="shared" si="13"/>
        <v>257.72185514470976</v>
      </c>
      <c r="CX33" s="62">
        <f t="shared" si="14"/>
        <v>551.05518847804308</v>
      </c>
      <c r="CY33" s="62">
        <f ca="1">AVERAGE(OFFSET($CX$3,0,0,'Données projet'!$E$13+1,1))-AVERAGE(OFFSET($H$3,0,0,'Données projet'!$E$13+1,1))</f>
        <v>396.92963589781414</v>
      </c>
      <c r="CZ33" s="62">
        <f t="shared" si="42"/>
        <v>294.38852181137639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85.987200000000001</v>
      </c>
      <c r="P34" s="14">
        <f t="shared" si="33"/>
        <v>23.594880218992504</v>
      </c>
      <c r="Q34" s="22">
        <f t="shared" si="2"/>
        <v>190.85545638141195</v>
      </c>
      <c r="R34" s="62">
        <f t="shared" si="0"/>
        <v>484.18878971474527</v>
      </c>
      <c r="S34" s="62">
        <f ca="1">AVERAGE(OFFSET($R$3,0,0,'Données projet'!$E$9+1,1))-AVERAGE(OFFSET($H$3,0,0,'Données projet'!$E$9+1,1))</f>
        <v>411.98877330238821</v>
      </c>
      <c r="T34" s="62">
        <f t="shared" si="34"/>
        <v>256.4377087753457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2.9419786210819692</v>
      </c>
      <c r="AB34" s="23">
        <f>EXP(-LN(2)/2)*AB33+(1-EXP(-LN(2)/2))/(LN(2)/2)*V34*Y34*VLOOKUP('Données projet'!$B$9,Paramètres!$A$1:$I$89,3,0)*0.475*44/12</f>
        <v>9.944766376108797</v>
      </c>
      <c r="AC34" s="24">
        <f t="shared" si="3"/>
        <v>12.886744997190766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13.6</v>
      </c>
      <c r="AI34" s="14">
        <f>IF('Données projet'!$A$62&gt;35,AI33+AH34-AQ33,IF(A34&lt;'Données projet'!$A$62,$AF$205^A34,IF(A34='Données projet'!$A$62,'Données projet'!$B$62,AI33+AH34-AQ33)))</f>
        <v>166.60000000000002</v>
      </c>
      <c r="AJ34" s="14">
        <f>AI34*VLOOKUP('Données projet'!$B$10,Paramètres!$A$1:$I$89,3,0)*VLOOKUP('Données projet'!$B$10,Paramètres!$A$1:$I$89,5,0)</f>
        <v>174.13032000000004</v>
      </c>
      <c r="AK34" s="14">
        <f t="shared" si="35"/>
        <v>44.013781492418865</v>
      </c>
      <c r="AL34" s="22">
        <f t="shared" si="4"/>
        <v>379.93431009929628</v>
      </c>
      <c r="AM34" s="62">
        <f t="shared" si="5"/>
        <v>673.2676434326296</v>
      </c>
      <c r="AN34" s="62">
        <f ca="1">AVERAGE(OFFSET($AM$3,0,0,'Données projet'!$E$10+1,1))-AVERAGE(OFFSET($H$3,0,0,'Données projet'!$E$10+1,1))</f>
        <v>356.31271939877655</v>
      </c>
      <c r="AO34" s="62">
        <f t="shared" si="36"/>
        <v>499.70544707812991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39.378053522324834</v>
      </c>
      <c r="AW34" s="23">
        <f>EXP(-LN(2)/2)*AW33+(1-EXP(-LN(2)/2))/(LN(2)/2)*AQ34*AT34*VLOOKUP('Données projet'!$B$10,Paramètres!$A$1:$I$89,3,0)*0.475*44/12</f>
        <v>13.778000280495519</v>
      </c>
      <c r="AX34" s="23">
        <f t="shared" si="6"/>
        <v>53.156053802820352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6.6</v>
      </c>
      <c r="BD34" s="13">
        <f>IF('Données projet'!$A$88&gt;35,BD33+BC34-BL33,IF(A34&lt;'Données projet'!$A$88,$BA$205^A34,IF(A34='Données projet'!$A$88,'Données projet'!$B$88,BD33+BC34-BL33)))</f>
        <v>68.599999999999994</v>
      </c>
      <c r="BE34" s="14">
        <f>BD34*VLOOKUP('Données projet'!$B$11,Paramètres!$A$1:$I$89,3,0)*VLOOKUP('Données projet'!$B$11,Paramètres!$A$1:$I$89,5,0)</f>
        <v>59.928960000000011</v>
      </c>
      <c r="BF34" s="14">
        <f t="shared" si="37"/>
        <v>17.150306633391633</v>
      </c>
      <c r="BG34" s="22">
        <f t="shared" si="7"/>
        <v>134.24638938649042</v>
      </c>
      <c r="BH34" s="62">
        <f t="shared" si="8"/>
        <v>427.57972271982374</v>
      </c>
      <c r="BI34" s="62">
        <f ca="1">AVERAGE(OFFSET($BH$3,0,0,'Données projet'!$E$11+1,1))-AVERAGE(OFFSET($H$3,0,0,'Données projet'!$E$11+1,1))</f>
        <v>195.30963433439501</v>
      </c>
      <c r="BJ34" s="62">
        <f t="shared" si="38"/>
        <v>185.00219255324504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13.6</v>
      </c>
      <c r="BY34" s="13">
        <f>IF('Données projet'!$A$114&gt;35,BY33+BX34-CG33,IF(A34&lt;'Données projet'!$A$114,$BV$205^A34,IF(A34='Données projet'!$A$114,'Données projet'!$B$114,BY33+BX34-CG33)))</f>
        <v>166.60000000000002</v>
      </c>
      <c r="BZ34" s="14">
        <f>BY34*VLOOKUP('Données projet'!$B$12,Paramètres!$A$1:$I$89,3,0)*VLOOKUP('Données projet'!$B$12,Paramètres!$A$1:$I$89,5,0)</f>
        <v>145.54176000000004</v>
      </c>
      <c r="CA34" s="14">
        <f t="shared" si="39"/>
        <v>37.563662342876064</v>
      </c>
      <c r="CB34" s="22">
        <f t="shared" si="10"/>
        <v>318.90861058050916</v>
      </c>
      <c r="CC34" s="62">
        <f t="shared" si="11"/>
        <v>612.24194391384253</v>
      </c>
      <c r="CD34" s="62">
        <f ca="1">AVERAGE(OFFSET($CC$3,0,0,'Données projet'!$E$12+1,1))-AVERAGE(OFFSET($H$3,0,0,'Données projet'!$E$12+1,1))</f>
        <v>303.33040062722074</v>
      </c>
      <c r="CE34" s="62">
        <f t="shared" si="40"/>
        <v>425.30058672361548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32.912999958958061</v>
      </c>
      <c r="CM34" s="23">
        <f>EXP(-LN(2)/2)*CM33+(1-EXP(-LN(2)/2))/(LN(2)/2)*CG34*CJ34*VLOOKUP('Données projet'!$B$12,Paramètres!$A$1:$I$89,3,0)*0.475*44/12</f>
        <v>11.515940532951477</v>
      </c>
      <c r="CN34" s="24">
        <f t="shared" si="12"/>
        <v>44.428940491909536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</v>
      </c>
      <c r="CT34" s="13">
        <f>IF('Données projet'!$A$140&gt;35,CT33+CS34-DB33,IF(A34&lt;'Données projet'!$A$140,$CQ$205^A34,IF(A34='Données projet'!$A$140,'Données projet'!$B$140,CT33+CS34-DB33)))</f>
        <v>259.99999999999989</v>
      </c>
      <c r="CU34" s="18">
        <f>CT34*VLOOKUP('Données projet'!$B$13,Paramètres!$A$1:$I$89,3,0)*VLOOKUP('Données projet'!$B$13,Paramètres!$A$1:$I$89,5,0)</f>
        <v>121.67999999999994</v>
      </c>
      <c r="CV34" s="14">
        <f t="shared" si="41"/>
        <v>32.066514091456256</v>
      </c>
      <c r="CW34" s="22">
        <f t="shared" si="13"/>
        <v>267.77517870928619</v>
      </c>
      <c r="CX34" s="62">
        <f t="shared" si="14"/>
        <v>561.10851204261951</v>
      </c>
      <c r="CY34" s="62">
        <f ca="1">AVERAGE(OFFSET($CX$3,0,0,'Données projet'!$E$13+1,1))-AVERAGE(OFFSET($H$3,0,0,'Données projet'!$E$13+1,1))</f>
        <v>396.92963589781414</v>
      </c>
      <c r="CZ34" s="62">
        <f t="shared" si="42"/>
        <v>294.38852181137639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93.8964</v>
      </c>
      <c r="P35" s="14">
        <f t="shared" si="33"/>
        <v>25.502612364176063</v>
      </c>
      <c r="Q35" s="22">
        <f t="shared" ref="Q35:Q66" si="53">(O35+P35)*0.475*44/12</f>
        <v>207.95327986760662</v>
      </c>
      <c r="R35" s="62">
        <f t="shared" si="0"/>
        <v>501.28661320093994</v>
      </c>
      <c r="S35" s="62">
        <f ca="1">AVERAGE(OFFSET($R$3,0,0,'Données projet'!$E$9+1,1))-AVERAGE(OFFSET($H$3,0,0,'Données projet'!$E$9+1,1))</f>
        <v>411.98877330238821</v>
      </c>
      <c r="T35" s="62">
        <f t="shared" si="34"/>
        <v>256.4377087753457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2.861530060976551</v>
      </c>
      <c r="AB35" s="23">
        <f>EXP(-LN(2)/2)*AB34+(1-EXP(-LN(2)/2))/(LN(2)/2)*V35*Y35*VLOOKUP('Données projet'!$B$9,Paramètres!$A$1:$I$89,3,0)*0.475*44/12</f>
        <v>7.0320117418624983</v>
      </c>
      <c r="AC35" s="24">
        <f t="shared" si="3"/>
        <v>9.8935418028390494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13.6</v>
      </c>
      <c r="AI35" s="14">
        <f>IF('Données projet'!$A$62&gt;35,AI34+AH35-AQ34,IF(A35&lt;'Données projet'!$A$62,$AF$205^A35,IF(A35='Données projet'!$A$62,'Données projet'!$B$62,AI34+AH35-AQ34)))</f>
        <v>180.20000000000002</v>
      </c>
      <c r="AJ35" s="14">
        <f>AI35*VLOOKUP('Données projet'!$B$10,Paramètres!$A$1:$I$89,3,0)*VLOOKUP('Données projet'!$B$10,Paramètres!$A$1:$I$89,5,0)</f>
        <v>188.34504000000004</v>
      </c>
      <c r="AK35" s="14">
        <f t="shared" si="35"/>
        <v>47.173878605210611</v>
      </c>
      <c r="AL35" s="22">
        <f t="shared" si="4"/>
        <v>410.19544990407513</v>
      </c>
      <c r="AM35" s="62">
        <f t="shared" si="5"/>
        <v>703.52878323740845</v>
      </c>
      <c r="AN35" s="62">
        <f ca="1">AVERAGE(OFFSET($AM$3,0,0,'Données projet'!$E$10+1,1))-AVERAGE(OFFSET($H$3,0,0,'Données projet'!$E$10+1,1))</f>
        <v>356.31271939877655</v>
      </c>
      <c r="AO35" s="62">
        <f t="shared" si="36"/>
        <v>499.70544707812991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38.301258577955025</v>
      </c>
      <c r="AW35" s="23">
        <f>EXP(-LN(2)/2)*AW34+(1-EXP(-LN(2)/2))/(LN(2)/2)*AQ35*AT35*VLOOKUP('Données projet'!$B$10,Paramètres!$A$1:$I$89,3,0)*0.475*44/12</f>
        <v>9.7425174295285366</v>
      </c>
      <c r="AX35" s="23">
        <f t="shared" si="6"/>
        <v>48.043776007483558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6.6</v>
      </c>
      <c r="BD35" s="13">
        <f>IF('Données projet'!$A$88&gt;35,BD34+BC35-BL34,IF(A35&lt;'Données projet'!$A$88,$BA$205^A35,IF(A35='Données projet'!$A$88,'Données projet'!$B$88,BD34+BC35-BL34)))</f>
        <v>75.199999999999989</v>
      </c>
      <c r="BE35" s="14">
        <f>BD35*VLOOKUP('Données projet'!$B$11,Paramètres!$A$1:$I$89,3,0)*VLOOKUP('Données projet'!$B$11,Paramètres!$A$1:$I$89,5,0)</f>
        <v>65.69471999999999</v>
      </c>
      <c r="BF35" s="14">
        <f t="shared" si="37"/>
        <v>18.60038718561951</v>
      </c>
      <c r="BG35" s="22">
        <f t="shared" si="7"/>
        <v>146.81397834828729</v>
      </c>
      <c r="BH35" s="62">
        <f t="shared" si="8"/>
        <v>440.14731168162064</v>
      </c>
      <c r="BI35" s="62">
        <f ca="1">AVERAGE(OFFSET($BH$3,0,0,'Données projet'!$E$11+1,1))-AVERAGE(OFFSET($H$3,0,0,'Données projet'!$E$11+1,1))</f>
        <v>195.30963433439501</v>
      </c>
      <c r="BJ35" s="62">
        <f t="shared" si="38"/>
        <v>185.00219255324504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13.6</v>
      </c>
      <c r="BY35" s="13">
        <f>IF('Données projet'!$A$114&gt;35,BY34+BX35-CG34,IF(A35&lt;'Données projet'!$A$114,$BV$205^A35,IF(A35='Données projet'!$A$114,'Données projet'!$B$114,BY34+BX35-CG34)))</f>
        <v>180.20000000000002</v>
      </c>
      <c r="BZ35" s="14">
        <f>BY35*VLOOKUP('Données projet'!$B$12,Paramètres!$A$1:$I$89,3,0)*VLOOKUP('Données projet'!$B$12,Paramètres!$A$1:$I$89,5,0)</f>
        <v>157.42272000000003</v>
      </c>
      <c r="CA35" s="14">
        <f t="shared" si="39"/>
        <v>40.260654441499831</v>
      </c>
      <c r="CB35" s="22">
        <f t="shared" si="10"/>
        <v>344.29854381894557</v>
      </c>
      <c r="CC35" s="62">
        <f t="shared" si="11"/>
        <v>637.63187715227889</v>
      </c>
      <c r="CD35" s="62">
        <f ca="1">AVERAGE(OFFSET($CC$3,0,0,'Données projet'!$E$12+1,1))-AVERAGE(OFFSET($H$3,0,0,'Données projet'!$E$12+1,1))</f>
        <v>303.33040062722074</v>
      </c>
      <c r="CE35" s="62">
        <f t="shared" si="40"/>
        <v>425.30058672361548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32.012992244260907</v>
      </c>
      <c r="CM35" s="23">
        <f>EXP(-LN(2)/2)*CM34+(1-EXP(-LN(2)/2))/(LN(2)/2)*CG35*CJ35*VLOOKUP('Données projet'!$B$12,Paramètres!$A$1:$I$89,3,0)*0.475*44/12</f>
        <v>8.1429996425910147</v>
      </c>
      <c r="CN35" s="24">
        <f t="shared" si="12"/>
        <v>40.155991886851922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</v>
      </c>
      <c r="CT35" s="13">
        <f>IF('Données projet'!$A$140&gt;35,CT34+CS35-DB34,IF(A35&lt;'Données projet'!$A$140,$CQ$205^A35,IF(A35='Données projet'!$A$140,'Données projet'!$B$140,CT34+CS35-DB34)))</f>
        <v>269.99999999999989</v>
      </c>
      <c r="CU35" s="18">
        <f>CT35*VLOOKUP('Données projet'!$B$13,Paramètres!$A$1:$I$89,3,0)*VLOOKUP('Données projet'!$B$13,Paramètres!$A$1:$I$89,5,0)</f>
        <v>126.35999999999996</v>
      </c>
      <c r="CV35" s="14">
        <f t="shared" si="41"/>
        <v>33.153877056327453</v>
      </c>
      <c r="CW35" s="22">
        <f t="shared" si="13"/>
        <v>277.82000253977026</v>
      </c>
      <c r="CX35" s="62">
        <f t="shared" si="14"/>
        <v>571.15333587310352</v>
      </c>
      <c r="CY35" s="62">
        <f ca="1">AVERAGE(OFFSET($CX$3,0,0,'Données projet'!$E$13+1,1))-AVERAGE(OFFSET($H$3,0,0,'Données projet'!$E$13+1,1))</f>
        <v>396.92963589781414</v>
      </c>
      <c r="CZ35" s="62">
        <f t="shared" si="42"/>
        <v>294.38852181137639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101.80559999999998</v>
      </c>
      <c r="P36" s="14">
        <f t="shared" si="33"/>
        <v>27.391707821525987</v>
      </c>
      <c r="Q36" s="22">
        <f t="shared" si="53"/>
        <v>225.01864445582441</v>
      </c>
      <c r="R36" s="62">
        <f t="shared" si="0"/>
        <v>518.35197778915767</v>
      </c>
      <c r="S36" s="62">
        <f ca="1">AVERAGE(OFFSET($R$3,0,0,'Données projet'!$E$9+1,1))-AVERAGE(OFFSET($H$3,0,0,'Données projet'!$E$9+1,1))</f>
        <v>411.98877330238821</v>
      </c>
      <c r="T36" s="62">
        <f t="shared" si="34"/>
        <v>256.4377087753457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2.7832813709778215</v>
      </c>
      <c r="AB36" s="23">
        <f>EXP(-LN(2)/2)*AB35+(1-EXP(-LN(2)/2))/(LN(2)/2)*V36*Y36*VLOOKUP('Données projet'!$B$9,Paramètres!$A$1:$I$89,3,0)*0.475*44/12</f>
        <v>4.9723831880543985</v>
      </c>
      <c r="AC36" s="24">
        <f t="shared" si="3"/>
        <v>7.75566455903222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13.6</v>
      </c>
      <c r="AI36" s="14">
        <f>IF('Données projet'!$A$62&gt;35,AI35+AH36-AQ35,IF(A36&lt;'Données projet'!$A$62,$AF$205^A36,IF(A36='Données projet'!$A$62,'Données projet'!$B$62,AI35+AH36-AQ35)))</f>
        <v>193.8</v>
      </c>
      <c r="AJ36" s="14">
        <f>AI36*VLOOKUP('Données projet'!$B$10,Paramètres!$A$1:$I$89,3,0)*VLOOKUP('Données projet'!$B$10,Paramètres!$A$1:$I$89,5,0)</f>
        <v>202.55976000000001</v>
      </c>
      <c r="AK36" s="14">
        <f t="shared" si="35"/>
        <v>50.306308435844208</v>
      </c>
      <c r="AL36" s="22">
        <f t="shared" si="4"/>
        <v>440.40840252576203</v>
      </c>
      <c r="AM36" s="62">
        <f t="shared" si="5"/>
        <v>733.74173585909534</v>
      </c>
      <c r="AN36" s="62">
        <f ca="1">AVERAGE(OFFSET($AM$3,0,0,'Données projet'!$E$10+1,1))-AVERAGE(OFFSET($H$3,0,0,'Données projet'!$E$10+1,1))</f>
        <v>356.31271939877655</v>
      </c>
      <c r="AO36" s="62">
        <f t="shared" si="36"/>
        <v>499.70544707812991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37.253908647965197</v>
      </c>
      <c r="AW36" s="23">
        <f>EXP(-LN(2)/2)*AW35+(1-EXP(-LN(2)/2))/(LN(2)/2)*AQ36*AT36*VLOOKUP('Données projet'!$B$10,Paramètres!$A$1:$I$89,3,0)*0.475*44/12</f>
        <v>6.8890001402477612</v>
      </c>
      <c r="AX36" s="23">
        <f t="shared" si="6"/>
        <v>44.142908788212956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6.6</v>
      </c>
      <c r="BD36" s="13">
        <f>IF('Données projet'!$A$88&gt;35,BD35+BC36-BL35,IF(A36&lt;'Données projet'!$A$88,$BA$205^A36,IF(A36='Données projet'!$A$88,'Données projet'!$B$88,BD35+BC36-BL35)))</f>
        <v>81.799999999999983</v>
      </c>
      <c r="BE36" s="14">
        <f>BD36*VLOOKUP('Données projet'!$B$11,Paramètres!$A$1:$I$89,3,0)*VLOOKUP('Données projet'!$B$11,Paramètres!$A$1:$I$89,5,0)</f>
        <v>71.46047999999999</v>
      </c>
      <c r="BF36" s="14">
        <f t="shared" si="37"/>
        <v>20.035709203981977</v>
      </c>
      <c r="BG36" s="22">
        <f t="shared" si="7"/>
        <v>159.35586286360191</v>
      </c>
      <c r="BH36" s="62">
        <f t="shared" si="8"/>
        <v>452.6891961969352</v>
      </c>
      <c r="BI36" s="62">
        <f ca="1">AVERAGE(OFFSET($BH$3,0,0,'Données projet'!$E$11+1,1))-AVERAGE(OFFSET($H$3,0,0,'Données projet'!$E$11+1,1))</f>
        <v>195.30963433439501</v>
      </c>
      <c r="BJ36" s="62">
        <f t="shared" si="38"/>
        <v>185.00219255324504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13.6</v>
      </c>
      <c r="BY36" s="13">
        <f>IF('Données projet'!$A$114&gt;35,BY35+BX36-CG35,IF(A36&lt;'Données projet'!$A$114,$BV$205^A36,IF(A36='Données projet'!$A$114,'Données projet'!$B$114,BY35+BX36-CG35)))</f>
        <v>193.8</v>
      </c>
      <c r="BZ36" s="14">
        <f>BY36*VLOOKUP('Données projet'!$B$12,Paramètres!$A$1:$I$89,3,0)*VLOOKUP('Données projet'!$B$12,Paramètres!$A$1:$I$89,5,0)</f>
        <v>169.30368000000004</v>
      </c>
      <c r="CA36" s="14">
        <f t="shared" si="39"/>
        <v>42.934033834973256</v>
      </c>
      <c r="CB36" s="22">
        <f t="shared" si="10"/>
        <v>369.64735159591186</v>
      </c>
      <c r="CC36" s="62">
        <f t="shared" si="11"/>
        <v>662.98068492924517</v>
      </c>
      <c r="CD36" s="62">
        <f ca="1">AVERAGE(OFFSET($CC$3,0,0,'Données projet'!$E$12+1,1))-AVERAGE(OFFSET($H$3,0,0,'Données projet'!$E$12+1,1))</f>
        <v>303.33040062722074</v>
      </c>
      <c r="CE36" s="62">
        <f t="shared" si="40"/>
        <v>425.30058672361548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31.137595287851497</v>
      </c>
      <c r="CM36" s="23">
        <f>EXP(-LN(2)/2)*CM35+(1-EXP(-LN(2)/2))/(LN(2)/2)*CG36*CJ36*VLOOKUP('Données projet'!$B$12,Paramètres!$A$1:$I$89,3,0)*0.475*44/12</f>
        <v>5.7579702664757395</v>
      </c>
      <c r="CN36" s="24">
        <f t="shared" si="12"/>
        <v>36.895565554327234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</v>
      </c>
      <c r="CT36" s="13">
        <f>IF('Données projet'!$A$140&gt;35,CT35+CS36-DB35,IF(A36&lt;'Données projet'!$A$140,$CQ$205^A36,IF(A36='Données projet'!$A$140,'Données projet'!$B$140,CT35+CS36-DB35)))</f>
        <v>279.99999999999989</v>
      </c>
      <c r="CU36" s="18">
        <f>CT36*VLOOKUP('Données projet'!$B$13,Paramètres!$A$1:$I$89,3,0)*VLOOKUP('Données projet'!$B$13,Paramètres!$A$1:$I$89,5,0)</f>
        <v>131.03999999999994</v>
      </c>
      <c r="CV36" s="14">
        <f t="shared" si="41"/>
        <v>34.236561238949889</v>
      </c>
      <c r="CW36" s="22">
        <f t="shared" si="13"/>
        <v>287.85667749117096</v>
      </c>
      <c r="CX36" s="62">
        <f t="shared" si="14"/>
        <v>581.19001082450427</v>
      </c>
      <c r="CY36" s="62">
        <f ca="1">AVERAGE(OFFSET($CX$3,0,0,'Données projet'!$E$13+1,1))-AVERAGE(OFFSET($H$3,0,0,'Données projet'!$E$13+1,1))</f>
        <v>396.92963589781414</v>
      </c>
      <c r="CZ36" s="62">
        <f t="shared" si="42"/>
        <v>294.38852181137639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109.7148</v>
      </c>
      <c r="P37" s="14">
        <f t="shared" si="33"/>
        <v>29.263779078727129</v>
      </c>
      <c r="Q37" s="22">
        <f t="shared" si="53"/>
        <v>242.05435856211645</v>
      </c>
      <c r="R37" s="62">
        <f t="shared" si="0"/>
        <v>535.38769189544973</v>
      </c>
      <c r="S37" s="62">
        <f ca="1">AVERAGE(OFFSET($R$3,0,0,'Données projet'!$E$9+1,1))-AVERAGE(OFFSET($H$3,0,0,'Données projet'!$E$9+1,1))</f>
        <v>411.98877330238821</v>
      </c>
      <c r="T37" s="62">
        <f t="shared" si="34"/>
        <v>256.4377087753457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2.707172395522027</v>
      </c>
      <c r="AB37" s="23">
        <f>EXP(-LN(2)/2)*AB36+(1-EXP(-LN(2)/2))/(LN(2)/2)*V37*Y37*VLOOKUP('Données projet'!$B$9,Paramètres!$A$1:$I$89,3,0)*0.475*44/12</f>
        <v>3.5160058709312492</v>
      </c>
      <c r="AC37" s="24">
        <f t="shared" si="3"/>
        <v>6.2231782664532762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13.6</v>
      </c>
      <c r="AI37" s="14">
        <f>IF('Données projet'!$A$62&gt;35,AI36+AH37-AQ36,IF(A37&lt;'Données projet'!$A$62,$AF$205^A37,IF(A37='Données projet'!$A$62,'Données projet'!$B$62,AI36+AH37-AQ36)))</f>
        <v>207.4</v>
      </c>
      <c r="AJ37" s="14">
        <f>AI37*VLOOKUP('Données projet'!$B$10,Paramètres!$A$1:$I$89,3,0)*VLOOKUP('Données projet'!$B$10,Paramètres!$A$1:$I$89,5,0)</f>
        <v>216.77448000000001</v>
      </c>
      <c r="AK37" s="14">
        <f t="shared" si="35"/>
        <v>53.41323339156682</v>
      </c>
      <c r="AL37" s="22">
        <f t="shared" si="4"/>
        <v>470.57693415697889</v>
      </c>
      <c r="AM37" s="62">
        <f t="shared" si="5"/>
        <v>763.91026749031221</v>
      </c>
      <c r="AN37" s="62">
        <f ca="1">AVERAGE(OFFSET($AM$3,0,0,'Données projet'!$E$10+1,1))-AVERAGE(OFFSET($H$3,0,0,'Données projet'!$E$10+1,1))</f>
        <v>356.31271939877655</v>
      </c>
      <c r="AO37" s="62">
        <f t="shared" si="36"/>
        <v>499.70544707812991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36.235198556888676</v>
      </c>
      <c r="AW37" s="23">
        <f>EXP(-LN(2)/2)*AW36+(1-EXP(-LN(2)/2))/(LN(2)/2)*AQ37*AT37*VLOOKUP('Données projet'!$B$10,Paramètres!$A$1:$I$89,3,0)*0.475*44/12</f>
        <v>4.8712587147642692</v>
      </c>
      <c r="AX37" s="23">
        <f t="shared" si="6"/>
        <v>41.106457271652943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6.6</v>
      </c>
      <c r="BD37" s="13">
        <f>IF('Données projet'!$A$88&gt;35,BD36+BC37-BL36,IF(A37&lt;'Données projet'!$A$88,$BA$205^A37,IF(A37='Données projet'!$A$88,'Données projet'!$B$88,BD36+BC37-BL36)))</f>
        <v>88.399999999999977</v>
      </c>
      <c r="BE37" s="14">
        <f>BD37*VLOOKUP('Données projet'!$B$11,Paramètres!$A$1:$I$89,3,0)*VLOOKUP('Données projet'!$B$11,Paramètres!$A$1:$I$89,5,0)</f>
        <v>77.22623999999999</v>
      </c>
      <c r="BF37" s="14">
        <f t="shared" si="37"/>
        <v>21.457598855530147</v>
      </c>
      <c r="BG37" s="22">
        <f t="shared" si="7"/>
        <v>171.87435267338165</v>
      </c>
      <c r="BH37" s="62">
        <f t="shared" si="8"/>
        <v>465.20768600671499</v>
      </c>
      <c r="BI37" s="62">
        <f ca="1">AVERAGE(OFFSET($BH$3,0,0,'Données projet'!$E$11+1,1))-AVERAGE(OFFSET($H$3,0,0,'Données projet'!$E$11+1,1))</f>
        <v>195.30963433439501</v>
      </c>
      <c r="BJ37" s="62">
        <f t="shared" si="38"/>
        <v>185.00219255324504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13.6</v>
      </c>
      <c r="BY37" s="13">
        <f>IF('Données projet'!$A$114&gt;35,BY36+BX37-CG36,IF(A37&lt;'Données projet'!$A$114,$BV$205^A37,IF(A37='Données projet'!$A$114,'Données projet'!$B$114,BY36+BX37-CG36)))</f>
        <v>207.4</v>
      </c>
      <c r="BZ37" s="14">
        <f>BY37*VLOOKUP('Données projet'!$B$12,Paramètres!$A$1:$I$89,3,0)*VLOOKUP('Données projet'!$B$12,Paramètres!$A$1:$I$89,5,0)</f>
        <v>181.18464000000003</v>
      </c>
      <c r="CA37" s="14">
        <f t="shared" si="39"/>
        <v>45.585646034700325</v>
      </c>
      <c r="CB37" s="22">
        <f t="shared" si="10"/>
        <v>394.95824817710309</v>
      </c>
      <c r="CC37" s="62">
        <f t="shared" si="11"/>
        <v>688.29158151043634</v>
      </c>
      <c r="CD37" s="62">
        <f ca="1">AVERAGE(OFFSET($CC$3,0,0,'Données projet'!$E$12+1,1))-AVERAGE(OFFSET($H$3,0,0,'Données projet'!$E$12+1,1))</f>
        <v>303.33040062722074</v>
      </c>
      <c r="CE37" s="62">
        <f t="shared" si="40"/>
        <v>425.30058672361548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30.286136107250226</v>
      </c>
      <c r="CM37" s="23">
        <f>EXP(-LN(2)/2)*CM36+(1-EXP(-LN(2)/2))/(LN(2)/2)*CG37*CJ37*VLOOKUP('Données projet'!$B$12,Paramètres!$A$1:$I$89,3,0)*0.475*44/12</f>
        <v>4.0714998212955074</v>
      </c>
      <c r="CN37" s="24">
        <f t="shared" si="12"/>
        <v>34.357635928545733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</v>
      </c>
      <c r="CT37" s="13">
        <f>IF('Données projet'!$A$140&gt;35,CT36+CS37-DB36,IF(A37&lt;'Données projet'!$A$140,$CQ$205^A37,IF(A37='Données projet'!$A$140,'Données projet'!$B$140,CT36+CS37-DB36)))</f>
        <v>289.99999999999989</v>
      </c>
      <c r="CU37" s="18">
        <f>CT37*VLOOKUP('Données projet'!$B$13,Paramètres!$A$1:$I$89,3,0)*VLOOKUP('Données projet'!$B$13,Paramètres!$A$1:$I$89,5,0)</f>
        <v>135.71999999999994</v>
      </c>
      <c r="CV37" s="14">
        <f t="shared" si="41"/>
        <v>35.314752882348131</v>
      </c>
      <c r="CW37" s="22">
        <f t="shared" si="13"/>
        <v>297.8855279367562</v>
      </c>
      <c r="CX37" s="62">
        <f t="shared" si="14"/>
        <v>591.21886127008952</v>
      </c>
      <c r="CY37" s="62">
        <f ca="1">AVERAGE(OFFSET($CX$3,0,0,'Données projet'!$E$13+1,1))-AVERAGE(OFFSET($H$3,0,0,'Données projet'!$E$13+1,1))</f>
        <v>396.92963589781414</v>
      </c>
      <c r="CZ37" s="62">
        <f t="shared" si="42"/>
        <v>294.38852181137639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117.624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552.39613607545789</v>
      </c>
      <c r="S38" s="62">
        <f ca="1">AVERAGE(OFFSET($R$3,0,0,'Données projet'!$E$9+1,1))-AVERAGE(OFFSET($H$3,0,0,'Données projet'!$E$9+1,1))</f>
        <v>411.98877330238821</v>
      </c>
      <c r="T38" s="62">
        <f t="shared" si="34"/>
        <v>256.4377087753457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2.6331446240024681</v>
      </c>
      <c r="AB38" s="23">
        <f>EXP(-LN(2)/2)*AB37+(1-EXP(-LN(2)/2))/(LN(2)/2)*V38*Y38*VLOOKUP('Données projet'!$B$9,Paramètres!$A$1:$I$89,3,0)*0.475*44/12</f>
        <v>2.4861915940271992</v>
      </c>
      <c r="AC38" s="24">
        <f t="shared" si="3"/>
        <v>5.1193362180296678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221</v>
      </c>
      <c r="AG38" s="13">
        <f>VLOOKUP(A38,'Données projet'!$A$61:$I$81,9,0)</f>
        <v>13.6</v>
      </c>
      <c r="AH38" s="13">
        <f t="array" ref="AH38">INDEX(AG:AG,MIN(IF(ISNUMBER(AG38:AG234),ROW(AG38:AG234),"")))</f>
        <v>13.6</v>
      </c>
      <c r="AI38" s="14">
        <f>IF('Données projet'!$A$62&gt;35,AI37+AH38-AQ37,IF(A38&lt;'Données projet'!$A$62,$AF$205^A38,IF(A38='Données projet'!$A$62,'Données projet'!$B$62,AI37+AH38-AQ37)))</f>
        <v>221</v>
      </c>
      <c r="AJ38" s="14">
        <f>AI38*VLOOKUP('Données projet'!$B$10,Paramètres!$A$1:$I$89,3,0)*VLOOKUP('Données projet'!$B$10,Paramètres!$A$1:$I$89,5,0)</f>
        <v>230.98920000000004</v>
      </c>
      <c r="AK38" s="14">
        <f t="shared" si="35"/>
        <v>56.496516245657276</v>
      </c>
      <c r="AL38" s="22">
        <f t="shared" si="4"/>
        <v>500.70428912785314</v>
      </c>
      <c r="AM38" s="62">
        <f t="shared" si="5"/>
        <v>794.0376224611864</v>
      </c>
      <c r="AN38" s="62">
        <f ca="1">AVERAGE(OFFSET($AM$3,0,0,'Données projet'!$E$10+1,1))-AVERAGE(OFFSET($H$3,0,0,'Données projet'!$E$10+1,1))</f>
        <v>356.31271939877655</v>
      </c>
      <c r="AO38" s="62">
        <f t="shared" si="36"/>
        <v>499.70544707812991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35.24434514682428</v>
      </c>
      <c r="AW38" s="23">
        <f>EXP(-LN(2)/2)*AW37+(1-EXP(-LN(2)/2))/(LN(2)/2)*AQ38*AT38*VLOOKUP('Données projet'!$B$10,Paramètres!$A$1:$I$89,3,0)*0.475*44/12</f>
        <v>3.444500070123881</v>
      </c>
      <c r="AX38" s="23">
        <f t="shared" si="6"/>
        <v>38.68884521694816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95</v>
      </c>
      <c r="BB38" s="13">
        <f>VLOOKUP(A38,'Données projet'!$A$87:$I$107,9,0)</f>
        <v>6.6</v>
      </c>
      <c r="BC38" s="13">
        <f t="array" ref="BC38">INDEX(BB:BB,MIN(IF(ISNUMBER(BB38:BB234),ROW(BB38:BB234),"")))</f>
        <v>6.6</v>
      </c>
      <c r="BD38" s="13">
        <f>IF('Données projet'!$A$88&gt;35,BD37+BC38-BL37,IF(A38&lt;'Données projet'!$A$88,$BA$205^A38,IF(A38='Données projet'!$A$88,'Données projet'!$B$88,BD37+BC38-BL37)))</f>
        <v>94.999999999999972</v>
      </c>
      <c r="BE38" s="14">
        <f>BD38*VLOOKUP('Données projet'!$B$11,Paramètres!$A$1:$I$89,3,0)*VLOOKUP('Données projet'!$B$11,Paramètres!$A$1:$I$89,5,0)</f>
        <v>82.99199999999999</v>
      </c>
      <c r="BF38" s="14">
        <f t="shared" si="37"/>
        <v>22.867173045817303</v>
      </c>
      <c r="BG38" s="22">
        <f t="shared" si="7"/>
        <v>184.37139305479846</v>
      </c>
      <c r="BH38" s="62">
        <f t="shared" si="8"/>
        <v>477.7047263881318</v>
      </c>
      <c r="BI38" s="62">
        <f ca="1">AVERAGE(OFFSET($BH$3,0,0,'Données projet'!$E$11+1,1))-AVERAGE(OFFSET($H$3,0,0,'Données projet'!$E$11+1,1))</f>
        <v>195.30963433439501</v>
      </c>
      <c r="BJ38" s="62">
        <f t="shared" si="38"/>
        <v>185.00219255324504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14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221</v>
      </c>
      <c r="BW38" s="13">
        <f>VLOOKUP(A38,'Données projet'!$A$113:$I$133,9,0)</f>
        <v>13.6</v>
      </c>
      <c r="BX38" s="13">
        <f t="array" ref="BX38">INDEX(BW:BW,MIN(IF(ISNUMBER(BW38:BW234),ROW(BW38:BW234),"")))</f>
        <v>13.6</v>
      </c>
      <c r="BY38" s="13">
        <f>IF('Données projet'!$A$114&gt;35,BY37+BX38-CG37,IF(A38&lt;'Données projet'!$A$114,$BV$205^A38,IF(A38='Données projet'!$A$114,'Données projet'!$B$114,BY37+BX38-CG37)))</f>
        <v>221</v>
      </c>
      <c r="BZ38" s="14">
        <f>BY38*VLOOKUP('Données projet'!$B$12,Paramètres!$A$1:$I$89,3,0)*VLOOKUP('Données projet'!$B$12,Paramètres!$A$1:$I$89,5,0)</f>
        <v>193.06560000000002</v>
      </c>
      <c r="CA38" s="14">
        <f t="shared" si="39"/>
        <v>48.217080828790458</v>
      </c>
      <c r="CB38" s="22">
        <f t="shared" si="10"/>
        <v>420.23400244347675</v>
      </c>
      <c r="CC38" s="62">
        <f t="shared" si="11"/>
        <v>713.56733577681007</v>
      </c>
      <c r="CD38" s="62">
        <f ca="1">AVERAGE(OFFSET($CC$3,0,0,'Données projet'!$E$12+1,1))-AVERAGE(OFFSET($H$3,0,0,'Données projet'!$E$12+1,1))</f>
        <v>303.33040062722074</v>
      </c>
      <c r="CE38" s="62">
        <f t="shared" si="40"/>
        <v>425.30058672361548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49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29.457960122718791</v>
      </c>
      <c r="CM38" s="23">
        <f>EXP(-LN(2)/2)*CM37+(1-EXP(-LN(2)/2))/(LN(2)/2)*CG38*CJ38*VLOOKUP('Données projet'!$B$12,Paramètres!$A$1:$I$89,3,0)*0.475*44/12</f>
        <v>2.8789851332378698</v>
      </c>
      <c r="CN38" s="24">
        <f t="shared" si="12"/>
        <v>32.336945255956664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</v>
      </c>
      <c r="CT38" s="13">
        <f>IF('Données projet'!$A$140&gt;35,CT37+CS38-DB37,IF(A38&lt;'Données projet'!$A$140,$CQ$205^A38,IF(A38='Données projet'!$A$140,'Données projet'!$B$140,CT37+CS38-DB37)))</f>
        <v>299.99999999999989</v>
      </c>
      <c r="CU38" s="18">
        <f>CT38*VLOOKUP('Données projet'!$B$13,Paramètres!$A$1:$I$89,3,0)*VLOOKUP('Données projet'!$B$13,Paramètres!$A$1:$I$89,5,0)</f>
        <v>140.39999999999995</v>
      </c>
      <c r="CV38" s="14">
        <f t="shared" si="41"/>
        <v>36.388624656711166</v>
      </c>
      <c r="CW38" s="22">
        <f t="shared" si="13"/>
        <v>307.90685461043853</v>
      </c>
      <c r="CX38" s="62">
        <f t="shared" si="14"/>
        <v>601.24018794377184</v>
      </c>
      <c r="CY38" s="62">
        <f ca="1">AVERAGE(OFFSET($CX$3,0,0,'Données projet'!$E$13+1,1))-AVERAGE(OFFSET($H$3,0,0,'Données projet'!$E$13+1,1))</f>
        <v>396.92963589781414</v>
      </c>
      <c r="CZ38" s="62">
        <f t="shared" si="42"/>
        <v>294.38852181137639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104.8476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524.90754606181804</v>
      </c>
      <c r="S39" s="62">
        <f ca="1">AVERAGE(OFFSET($R$3,0,0,'Données projet'!$E$9+1,1))-AVERAGE(OFFSET($H$3,0,0,'Données projet'!$E$9+1,1))</f>
        <v>411.98877330238821</v>
      </c>
      <c r="T39" s="62">
        <f t="shared" si="34"/>
        <v>256.4377087753457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2.5611411457880631</v>
      </c>
      <c r="AB39" s="23">
        <f>EXP(-LN(2)/2)*AB38+(1-EXP(-LN(2)/2))/(LN(2)/2)*V39*Y39*VLOOKUP('Données projet'!$B$9,Paramètres!$A$1:$I$89,3,0)*0.475*44/12</f>
        <v>1.7580029354656246</v>
      </c>
      <c r="AC39" s="24">
        <f t="shared" si="3"/>
        <v>4.3191440812536879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12.2</v>
      </c>
      <c r="AI39" s="14">
        <f>IF('Données projet'!$A$62&gt;35,AI38+AH39-AQ38,IF(A39&lt;'Données projet'!$A$62,$AF$205^A39,IF(A39='Données projet'!$A$62,'Données projet'!$B$62,AI38+AH39-AQ38)))</f>
        <v>184.2</v>
      </c>
      <c r="AJ39" s="14">
        <f>AI39*VLOOKUP('Données projet'!$B$10,Paramètres!$A$1:$I$89,3,0)*VLOOKUP('Données projet'!$B$10,Paramètres!$A$1:$I$89,5,0)</f>
        <v>192.52584000000002</v>
      </c>
      <c r="AK39" s="14">
        <f t="shared" si="35"/>
        <v>48.097950277474887</v>
      </c>
      <c r="AL39" s="22">
        <f t="shared" si="4"/>
        <v>419.08643473326879</v>
      </c>
      <c r="AM39" s="62">
        <f t="shared" si="5"/>
        <v>712.41976806660205</v>
      </c>
      <c r="AN39" s="62">
        <f ca="1">AVERAGE(OFFSET($AM$3,0,0,'Données projet'!$E$10+1,1))-AVERAGE(OFFSET($H$3,0,0,'Données projet'!$E$10+1,1))</f>
        <v>356.31271939877655</v>
      </c>
      <c r="AO39" s="62">
        <f t="shared" si="36"/>
        <v>499.70544707812991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34.280586675364809</v>
      </c>
      <c r="AW39" s="23">
        <f>EXP(-LN(2)/2)*AW38+(1-EXP(-LN(2)/2))/(LN(2)/2)*AQ39*AT39*VLOOKUP('Données projet'!$B$10,Paramètres!$A$1:$I$89,3,0)*0.475*44/12</f>
        <v>2.435629357382135</v>
      </c>
      <c r="AX39" s="23">
        <f t="shared" si="6"/>
        <v>36.716216032746942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5.8</v>
      </c>
      <c r="BD39" s="13">
        <f>IF('Données projet'!$A$88&gt;35,BD38+BC39-BL38,IF(A39&lt;'Données projet'!$A$88,$BA$205^A39,IF(A39='Données projet'!$A$88,'Données projet'!$B$88,BD38+BC39-BL38)))</f>
        <v>86.799999999999969</v>
      </c>
      <c r="BE39" s="14">
        <f>BD39*VLOOKUP('Données projet'!$B$11,Paramètres!$A$1:$I$89,3,0)*VLOOKUP('Données projet'!$B$11,Paramètres!$A$1:$I$89,5,0)</f>
        <v>75.828479999999985</v>
      </c>
      <c r="BF39" s="14">
        <f t="shared" si="37"/>
        <v>21.114068675464956</v>
      </c>
      <c r="BG39" s="22">
        <f t="shared" si="7"/>
        <v>168.8416056097681</v>
      </c>
      <c r="BH39" s="62">
        <f t="shared" si="8"/>
        <v>462.17493894310144</v>
      </c>
      <c r="BI39" s="62">
        <f ca="1">AVERAGE(OFFSET($BH$3,0,0,'Données projet'!$E$11+1,1))-AVERAGE(OFFSET($H$3,0,0,'Données projet'!$E$11+1,1))</f>
        <v>195.30963433439501</v>
      </c>
      <c r="BJ39" s="62">
        <f t="shared" si="38"/>
        <v>185.00219255324504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12.2</v>
      </c>
      <c r="BY39" s="13">
        <f>IF('Données projet'!$A$114&gt;35,BY38+BX39-CG38,IF(A39&lt;'Données projet'!$A$114,$BV$205^A39,IF(A39='Données projet'!$A$114,'Données projet'!$B$114,BY38+BX39-CG38)))</f>
        <v>184.2</v>
      </c>
      <c r="BZ39" s="14">
        <f>BY39*VLOOKUP('Données projet'!$B$12,Paramètres!$A$1:$I$89,3,0)*VLOOKUP('Données projet'!$B$12,Paramètres!$A$1:$I$89,5,0)</f>
        <v>160.91712000000001</v>
      </c>
      <c r="CA39" s="14">
        <f t="shared" si="39"/>
        <v>41.049305520788089</v>
      </c>
      <c r="CB39" s="22">
        <f t="shared" si="10"/>
        <v>351.75819111537254</v>
      </c>
      <c r="CC39" s="62">
        <f t="shared" si="11"/>
        <v>645.09152444870585</v>
      </c>
      <c r="CD39" s="62">
        <f ca="1">AVERAGE(OFFSET($CC$3,0,0,'Données projet'!$E$12+1,1))-AVERAGE(OFFSET($H$3,0,0,'Données projet'!$E$12+1,1))</f>
        <v>303.33040062722074</v>
      </c>
      <c r="CE39" s="62">
        <f t="shared" si="40"/>
        <v>425.30058672361548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28.652430654036252</v>
      </c>
      <c r="CM39" s="23">
        <f>EXP(-LN(2)/2)*CM38+(1-EXP(-LN(2)/2))/(LN(2)/2)*CG39*CJ39*VLOOKUP('Données projet'!$B$12,Paramètres!$A$1:$I$89,3,0)*0.475*44/12</f>
        <v>2.0357499106477537</v>
      </c>
      <c r="CN39" s="24">
        <f t="shared" si="12"/>
        <v>30.688180564684004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</v>
      </c>
      <c r="CT39" s="13">
        <f>IF('Données projet'!$A$140&gt;35,CT38+CS39-DB38,IF(A39&lt;'Données projet'!$A$140,$CQ$205^A39,IF(A39='Données projet'!$A$140,'Données projet'!$B$140,CT38+CS39-DB38)))</f>
        <v>309.99999999999989</v>
      </c>
      <c r="CU39" s="18">
        <f>CT39*VLOOKUP('Données projet'!$B$13,Paramètres!$A$1:$I$89,3,0)*VLOOKUP('Données projet'!$B$13,Paramètres!$A$1:$I$89,5,0)</f>
        <v>145.07999999999996</v>
      </c>
      <c r="CV39" s="14">
        <f t="shared" si="41"/>
        <v>37.458337067672986</v>
      </c>
      <c r="CW39" s="22">
        <f t="shared" si="13"/>
        <v>317.92093705953039</v>
      </c>
      <c r="CX39" s="62">
        <f t="shared" si="14"/>
        <v>611.25427039286365</v>
      </c>
      <c r="CY39" s="62">
        <f ca="1">AVERAGE(OFFSET($CX$3,0,0,'Données projet'!$E$13+1,1))-AVERAGE(OFFSET($H$3,0,0,'Données projet'!$E$13+1,1))</f>
        <v>396.92963589781414</v>
      </c>
      <c r="CZ39" s="62">
        <f t="shared" si="42"/>
        <v>294.38852181137639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113.3652</v>
      </c>
      <c r="P40" s="14">
        <f t="shared" si="33"/>
        <v>30.122456058687586</v>
      </c>
      <c r="Q40" s="22">
        <f t="shared" si="53"/>
        <v>249.90766763554748</v>
      </c>
      <c r="R40" s="62">
        <f t="shared" si="0"/>
        <v>543.24100096888083</v>
      </c>
      <c r="S40" s="62">
        <f ca="1">AVERAGE(OFFSET($R$3,0,0,'Données projet'!$E$9+1,1))-AVERAGE(OFFSET($H$3,0,0,'Données projet'!$E$9+1,1))</f>
        <v>411.98877330238821</v>
      </c>
      <c r="T40" s="62">
        <f t="shared" si="34"/>
        <v>256.4377087753457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2.4911066064719294</v>
      </c>
      <c r="AB40" s="23">
        <f>EXP(-LN(2)/2)*AB39+(1-EXP(-LN(2)/2))/(LN(2)/2)*V40*Y40*VLOOKUP('Données projet'!$B$9,Paramètres!$A$1:$I$89,3,0)*0.475*44/12</f>
        <v>1.2430957970135996</v>
      </c>
      <c r="AC40" s="24">
        <f t="shared" si="3"/>
        <v>3.7342024034855292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12.2</v>
      </c>
      <c r="AI40" s="14">
        <f>IF('Données projet'!$A$62&gt;35,AI39+AH40-AQ39,IF(A40&lt;'Données projet'!$A$62,$AF$205^A40,IF(A40='Données projet'!$A$62,'Données projet'!$B$62,AI39+AH40-AQ39)))</f>
        <v>196.39999999999998</v>
      </c>
      <c r="AJ40" s="14">
        <f>AI40*VLOOKUP('Données projet'!$B$10,Paramètres!$A$1:$I$89,3,0)*VLOOKUP('Données projet'!$B$10,Paramètres!$A$1:$I$89,5,0)</f>
        <v>205.27727999999999</v>
      </c>
      <c r="AK40" s="14">
        <f t="shared" si="35"/>
        <v>50.902190319943116</v>
      </c>
      <c r="AL40" s="22">
        <f t="shared" si="4"/>
        <v>446.17924414056756</v>
      </c>
      <c r="AM40" s="62">
        <f t="shared" si="5"/>
        <v>739.51257747390082</v>
      </c>
      <c r="AN40" s="62">
        <f ca="1">AVERAGE(OFFSET($AM$3,0,0,'Données projet'!$E$10+1,1))-AVERAGE(OFFSET($H$3,0,0,'Données projet'!$E$10+1,1))</f>
        <v>356.31271939877655</v>
      </c>
      <c r="AO40" s="62">
        <f t="shared" si="36"/>
        <v>499.70544707812991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33.343182229989253</v>
      </c>
      <c r="AW40" s="23">
        <f>EXP(-LN(2)/2)*AW39+(1-EXP(-LN(2)/2))/(LN(2)/2)*AQ40*AT40*VLOOKUP('Données projet'!$B$10,Paramètres!$A$1:$I$89,3,0)*0.475*44/12</f>
        <v>1.7222500350619407</v>
      </c>
      <c r="AX40" s="23">
        <f t="shared" si="6"/>
        <v>35.065432265051193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5.8</v>
      </c>
      <c r="BD40" s="13">
        <f>IF('Données projet'!$A$88&gt;35,BD39+BC40-BL39,IF(A40&lt;'Données projet'!$A$88,$BA$205^A40,IF(A40='Données projet'!$A$88,'Données projet'!$B$88,BD39+BC40-BL39)))</f>
        <v>92.599999999999966</v>
      </c>
      <c r="BE40" s="14">
        <f>BD40*VLOOKUP('Données projet'!$B$11,Paramètres!$A$1:$I$89,3,0)*VLOOKUP('Données projet'!$B$11,Paramètres!$A$1:$I$89,5,0)</f>
        <v>80.895359999999982</v>
      </c>
      <c r="BF40" s="14">
        <f t="shared" si="37"/>
        <v>22.355962294793134</v>
      </c>
      <c r="BG40" s="22">
        <f t="shared" si="7"/>
        <v>179.829386330098</v>
      </c>
      <c r="BH40" s="62">
        <f t="shared" si="8"/>
        <v>473.16271966343129</v>
      </c>
      <c r="BI40" s="62">
        <f ca="1">AVERAGE(OFFSET($BH$3,0,0,'Données projet'!$E$11+1,1))-AVERAGE(OFFSET($H$3,0,0,'Données projet'!$E$11+1,1))</f>
        <v>195.30963433439501</v>
      </c>
      <c r="BJ40" s="62">
        <f t="shared" si="38"/>
        <v>185.00219255324504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12.2</v>
      </c>
      <c r="BY40" s="13">
        <f>IF('Données projet'!$A$114&gt;35,BY39+BX40-CG39,IF(A40&lt;'Données projet'!$A$114,$BV$205^A40,IF(A40='Données projet'!$A$114,'Données projet'!$B$114,BY39+BX40-CG39)))</f>
        <v>196.39999999999998</v>
      </c>
      <c r="BZ40" s="14">
        <f>BY40*VLOOKUP('Données projet'!$B$12,Paramètres!$A$1:$I$89,3,0)*VLOOKUP('Données projet'!$B$12,Paramètres!$A$1:$I$89,5,0)</f>
        <v>171.57504</v>
      </c>
      <c r="CA40" s="14">
        <f t="shared" si="39"/>
        <v>43.44259058996105</v>
      </c>
      <c r="CB40" s="22">
        <f t="shared" si="10"/>
        <v>374.48903994418214</v>
      </c>
      <c r="CC40" s="62">
        <f t="shared" si="11"/>
        <v>667.82237327751545</v>
      </c>
      <c r="CD40" s="62">
        <f ca="1">AVERAGE(OFFSET($CC$3,0,0,'Données projet'!$E$12+1,1))-AVERAGE(OFFSET($H$3,0,0,'Données projet'!$E$12+1,1))</f>
        <v>303.33040062722074</v>
      </c>
      <c r="CE40" s="62">
        <f t="shared" si="40"/>
        <v>425.30058672361548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27.868928431035787</v>
      </c>
      <c r="CM40" s="23">
        <f>EXP(-LN(2)/2)*CM39+(1-EXP(-LN(2)/2))/(LN(2)/2)*CG40*CJ40*VLOOKUP('Données projet'!$B$12,Paramètres!$A$1:$I$89,3,0)*0.475*44/12</f>
        <v>1.4394925666189349</v>
      </c>
      <c r="CN40" s="24">
        <f t="shared" si="12"/>
        <v>29.308420997654721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</v>
      </c>
      <c r="CT40" s="13">
        <f>IF('Données projet'!$A$140&gt;35,CT39+CS40-DB39,IF(A40&lt;'Données projet'!$A$140,$CQ$205^A40,IF(A40='Données projet'!$A$140,'Données projet'!$B$140,CT39+CS40-DB39)))</f>
        <v>319.99999999999989</v>
      </c>
      <c r="CU40" s="18">
        <f>CT40*VLOOKUP('Données projet'!$B$13,Paramètres!$A$1:$I$89,3,0)*VLOOKUP('Données projet'!$B$13,Paramètres!$A$1:$I$89,5,0)</f>
        <v>149.75999999999996</v>
      </c>
      <c r="CV40" s="14">
        <f t="shared" si="41"/>
        <v>38.524039677774766</v>
      </c>
      <c r="CW40" s="22">
        <f t="shared" si="13"/>
        <v>327.9280357721243</v>
      </c>
      <c r="CX40" s="62">
        <f t="shared" si="14"/>
        <v>621.26136910545756</v>
      </c>
      <c r="CY40" s="62">
        <f ca="1">AVERAGE(OFFSET($CX$3,0,0,'Données projet'!$E$13+1,1))-AVERAGE(OFFSET($H$3,0,0,'Données projet'!$E$13+1,1))</f>
        <v>396.92963589781414</v>
      </c>
      <c r="CZ40" s="62">
        <f t="shared" si="42"/>
        <v>294.38852181137639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561.54396129342854</v>
      </c>
      <c r="S41" s="62">
        <f ca="1">AVERAGE(OFFSET($R$3,0,0,'Données projet'!$E$9+1,1))-AVERAGE(OFFSET($H$3,0,0,'Données projet'!$E$9+1,1))</f>
        <v>411.98877330238821</v>
      </c>
      <c r="T41" s="62">
        <f t="shared" si="34"/>
        <v>256.4377087753457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2.4229871653163517</v>
      </c>
      <c r="AB41" s="23">
        <f>EXP(-LN(2)/2)*AB40+(1-EXP(-LN(2)/2))/(LN(2)/2)*V41*Y41*VLOOKUP('Données projet'!$B$9,Paramètres!$A$1:$I$89,3,0)*0.475*44/12</f>
        <v>0.87900146773281229</v>
      </c>
      <c r="AC41" s="24">
        <f t="shared" si="3"/>
        <v>3.3019886330491639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12.2</v>
      </c>
      <c r="AI41" s="14">
        <f>IF('Données projet'!$A$62&gt;35,AI40+AH41-AQ40,IF(A41&lt;'Données projet'!$A$62,$AF$205^A41,IF(A41='Données projet'!$A$62,'Données projet'!$B$62,AI40+AH41-AQ40)))</f>
        <v>208.59999999999997</v>
      </c>
      <c r="AJ41" s="14">
        <f>AI41*VLOOKUP('Données projet'!$B$10,Paramètres!$A$1:$I$89,3,0)*VLOOKUP('Données projet'!$B$10,Paramètres!$A$1:$I$89,5,0)</f>
        <v>218.02871999999996</v>
      </c>
      <c r="AK41" s="14">
        <f t="shared" si="35"/>
        <v>53.686213571044199</v>
      </c>
      <c r="AL41" s="22">
        <f t="shared" si="4"/>
        <v>473.23684263623528</v>
      </c>
      <c r="AM41" s="62">
        <f t="shared" si="5"/>
        <v>766.5701759695686</v>
      </c>
      <c r="AN41" s="62">
        <f ca="1">AVERAGE(OFFSET($AM$3,0,0,'Données projet'!$E$10+1,1))-AVERAGE(OFFSET($H$3,0,0,'Données projet'!$E$10+1,1))</f>
        <v>356.31271939877655</v>
      </c>
      <c r="AO41" s="62">
        <f t="shared" si="36"/>
        <v>499.70544707812991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32.43141115846845</v>
      </c>
      <c r="AW41" s="23">
        <f>EXP(-LN(2)/2)*AW40+(1-EXP(-LN(2)/2))/(LN(2)/2)*AQ41*AT41*VLOOKUP('Données projet'!$B$10,Paramètres!$A$1:$I$89,3,0)*0.475*44/12</f>
        <v>1.2178146786910675</v>
      </c>
      <c r="AX41" s="23">
        <f t="shared" si="6"/>
        <v>33.64922583715952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5.8</v>
      </c>
      <c r="BD41" s="13">
        <f>IF('Données projet'!$A$88&gt;35,BD40+BC41-BL40,IF(A41&lt;'Données projet'!$A$88,$BA$205^A41,IF(A41='Données projet'!$A$88,'Données projet'!$B$88,BD40+BC41-BL40)))</f>
        <v>98.399999999999963</v>
      </c>
      <c r="BE41" s="14">
        <f>BD41*VLOOKUP('Données projet'!$B$11,Paramètres!$A$1:$I$89,3,0)*VLOOKUP('Données projet'!$B$11,Paramètres!$A$1:$I$89,5,0)</f>
        <v>85.96223999999998</v>
      </c>
      <c r="BF41" s="14">
        <f t="shared" si="37"/>
        <v>23.588828321049387</v>
      </c>
      <c r="BG41" s="22">
        <f t="shared" si="7"/>
        <v>190.80144399249431</v>
      </c>
      <c r="BH41" s="62">
        <f t="shared" si="8"/>
        <v>484.1347773258276</v>
      </c>
      <c r="BI41" s="62">
        <f ca="1">AVERAGE(OFFSET($BH$3,0,0,'Données projet'!$E$11+1,1))-AVERAGE(OFFSET($H$3,0,0,'Données projet'!$E$11+1,1))</f>
        <v>195.30963433439501</v>
      </c>
      <c r="BJ41" s="62">
        <f t="shared" si="38"/>
        <v>185.00219255324504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12.2</v>
      </c>
      <c r="BY41" s="13">
        <f>IF('Données projet'!$A$114&gt;35,BY40+BX41-CG40,IF(A41&lt;'Données projet'!$A$114,$BV$205^A41,IF(A41='Données projet'!$A$114,'Données projet'!$B$114,BY40+BX41-CG40)))</f>
        <v>208.59999999999997</v>
      </c>
      <c r="BZ41" s="14">
        <f>BY41*VLOOKUP('Données projet'!$B$12,Paramètres!$A$1:$I$89,3,0)*VLOOKUP('Données projet'!$B$12,Paramètres!$A$1:$I$89,5,0)</f>
        <v>182.23295999999999</v>
      </c>
      <c r="CA41" s="14">
        <f t="shared" si="39"/>
        <v>45.818621592366291</v>
      </c>
      <c r="CB41" s="22">
        <f t="shared" si="10"/>
        <v>397.18983794003793</v>
      </c>
      <c r="CC41" s="62">
        <f t="shared" si="11"/>
        <v>690.52317127337119</v>
      </c>
      <c r="CD41" s="62">
        <f ca="1">AVERAGE(OFFSET($CC$3,0,0,'Données projet'!$E$12+1,1))-AVERAGE(OFFSET($H$3,0,0,'Données projet'!$E$12+1,1))</f>
        <v>303.33040062722074</v>
      </c>
      <c r="CE41" s="62">
        <f t="shared" si="40"/>
        <v>425.30058672361548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27.106851117525864</v>
      </c>
      <c r="CM41" s="23">
        <f>EXP(-LN(2)/2)*CM40+(1-EXP(-LN(2)/2))/(LN(2)/2)*CG41*CJ41*VLOOKUP('Données projet'!$B$12,Paramètres!$A$1:$I$89,3,0)*0.475*44/12</f>
        <v>1.0178749553238768</v>
      </c>
      <c r="CN41" s="24">
        <f t="shared" si="12"/>
        <v>28.124726072849739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</v>
      </c>
      <c r="CT41" s="13">
        <f>IF('Données projet'!$A$140&gt;35,CT40+CS41-DB40,IF(A41&lt;'Données projet'!$A$140,$CQ$205^A41,IF(A41='Données projet'!$A$140,'Données projet'!$B$140,CT40+CS41-DB40)))</f>
        <v>329.99999999999989</v>
      </c>
      <c r="CU41" s="18">
        <f>CT41*VLOOKUP('Données projet'!$B$13,Paramètres!$A$1:$I$89,3,0)*VLOOKUP('Données projet'!$B$13,Paramètres!$A$1:$I$89,5,0)</f>
        <v>154.43999999999994</v>
      </c>
      <c r="CV41" s="14">
        <f t="shared" si="41"/>
        <v>39.585872170955454</v>
      </c>
      <c r="CW41" s="22">
        <f t="shared" si="13"/>
        <v>337.92839403108059</v>
      </c>
      <c r="CX41" s="62">
        <f t="shared" si="14"/>
        <v>631.2617273644139</v>
      </c>
      <c r="CY41" s="62">
        <f ca="1">AVERAGE(OFFSET($CX$3,0,0,'Données projet'!$E$13+1,1))-AVERAGE(OFFSET($H$3,0,0,'Données projet'!$E$13+1,1))</f>
        <v>396.92963589781414</v>
      </c>
      <c r="CZ41" s="62">
        <f t="shared" si="42"/>
        <v>294.38852181137639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579.8188005094587</v>
      </c>
      <c r="S42" s="62">
        <f ca="1">AVERAGE(OFFSET($R$3,0,0,'Données projet'!$E$9+1,1))-AVERAGE(OFFSET($H$3,0,0,'Données projet'!$E$9+1,1))</f>
        <v>411.98877330238821</v>
      </c>
      <c r="T42" s="62">
        <f t="shared" si="34"/>
        <v>256.4377087753457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2.3567304538614189</v>
      </c>
      <c r="AB42" s="23">
        <f>EXP(-LN(2)/2)*AB41+(1-EXP(-LN(2)/2))/(LN(2)/2)*V42*Y42*VLOOKUP('Données projet'!$B$9,Paramètres!$A$1:$I$89,3,0)*0.475*44/12</f>
        <v>0.62154789850679981</v>
      </c>
      <c r="AC42" s="24">
        <f t="shared" si="3"/>
        <v>2.9782783523682186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12.2</v>
      </c>
      <c r="AI42" s="14">
        <f>IF('Données projet'!$A$62&gt;35,AI41+AH42-AQ41,IF(A42&lt;'Données projet'!$A$62,$AF$205^A42,IF(A42='Données projet'!$A$62,'Données projet'!$B$62,AI41+AH42-AQ41)))</f>
        <v>220.79999999999995</v>
      </c>
      <c r="AJ42" s="14">
        <f>AI42*VLOOKUP('Données projet'!$B$10,Paramètres!$A$1:$I$89,3,0)*VLOOKUP('Données projet'!$B$10,Paramètres!$A$1:$I$89,5,0)</f>
        <v>230.78015999999997</v>
      </c>
      <c r="AK42" s="14">
        <f t="shared" si="35"/>
        <v>56.451337103640888</v>
      </c>
      <c r="AL42" s="22">
        <f t="shared" si="4"/>
        <v>500.26152412217448</v>
      </c>
      <c r="AM42" s="62">
        <f t="shared" si="5"/>
        <v>793.59485745550774</v>
      </c>
      <c r="AN42" s="62">
        <f ca="1">AVERAGE(OFFSET($AM$3,0,0,'Données projet'!$E$10+1,1))-AVERAGE(OFFSET($H$3,0,0,'Données projet'!$E$10+1,1))</f>
        <v>356.31271939877655</v>
      </c>
      <c r="AO42" s="62">
        <f t="shared" si="36"/>
        <v>499.70544707812991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31.54457251484634</v>
      </c>
      <c r="AW42" s="23">
        <f>EXP(-LN(2)/2)*AW41+(1-EXP(-LN(2)/2))/(LN(2)/2)*AQ42*AT42*VLOOKUP('Données projet'!$B$10,Paramètres!$A$1:$I$89,3,0)*0.475*44/12</f>
        <v>0.86112501753097037</v>
      </c>
      <c r="AX42" s="23">
        <f t="shared" si="6"/>
        <v>32.40569753237731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5.8</v>
      </c>
      <c r="BD42" s="13">
        <f>IF('Données projet'!$A$88&gt;35,BD41+BC42-BL41,IF(A42&lt;'Données projet'!$A$88,$BA$205^A42,IF(A42='Données projet'!$A$88,'Données projet'!$B$88,BD41+BC42-BL41)))</f>
        <v>104.19999999999996</v>
      </c>
      <c r="BE42" s="14">
        <f>BD42*VLOOKUP('Données projet'!$B$11,Paramètres!$A$1:$I$89,3,0)*VLOOKUP('Données projet'!$B$11,Paramètres!$A$1:$I$89,5,0)</f>
        <v>91.029119999999978</v>
      </c>
      <c r="BF42" s="14">
        <f t="shared" si="37"/>
        <v>24.813259479575787</v>
      </c>
      <c r="BG42" s="22">
        <f t="shared" si="7"/>
        <v>201.75881092692779</v>
      </c>
      <c r="BH42" s="62">
        <f t="shared" si="8"/>
        <v>495.09214426026108</v>
      </c>
      <c r="BI42" s="62">
        <f ca="1">AVERAGE(OFFSET($BH$3,0,0,'Données projet'!$E$11+1,1))-AVERAGE(OFFSET($H$3,0,0,'Données projet'!$E$11+1,1))</f>
        <v>195.30963433439501</v>
      </c>
      <c r="BJ42" s="62">
        <f t="shared" si="38"/>
        <v>185.00219255324504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12.2</v>
      </c>
      <c r="BY42" s="13">
        <f>IF('Données projet'!$A$114&gt;35,BY41+BX42-CG41,IF(A42&lt;'Données projet'!$A$114,$BV$205^A42,IF(A42='Données projet'!$A$114,'Données projet'!$B$114,BY41+BX42-CG41)))</f>
        <v>220.79999999999995</v>
      </c>
      <c r="BZ42" s="14">
        <f>BY42*VLOOKUP('Données projet'!$B$12,Paramètres!$A$1:$I$89,3,0)*VLOOKUP('Données projet'!$B$12,Paramètres!$A$1:$I$89,5,0)</f>
        <v>192.89087999999998</v>
      </c>
      <c r="CA42" s="14">
        <f t="shared" si="39"/>
        <v>48.178522586846704</v>
      </c>
      <c r="CB42" s="22">
        <f t="shared" si="10"/>
        <v>419.86254283875792</v>
      </c>
      <c r="CC42" s="62">
        <f t="shared" si="11"/>
        <v>713.19587617209118</v>
      </c>
      <c r="CD42" s="62">
        <f ca="1">AVERAGE(OFFSET($CC$3,0,0,'Données projet'!$E$12+1,1))-AVERAGE(OFFSET($H$3,0,0,'Données projet'!$E$12+1,1))</f>
        <v>303.33040062722074</v>
      </c>
      <c r="CE42" s="62">
        <f t="shared" si="40"/>
        <v>425.30058672361548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26.365612848229773</v>
      </c>
      <c r="CM42" s="23">
        <f>EXP(-LN(2)/2)*CM41+(1-EXP(-LN(2)/2))/(LN(2)/2)*CG42*CJ42*VLOOKUP('Données projet'!$B$12,Paramètres!$A$1:$I$89,3,0)*0.475*44/12</f>
        <v>0.71974628330946744</v>
      </c>
      <c r="CN42" s="24">
        <f t="shared" si="12"/>
        <v>27.085359131539242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</v>
      </c>
      <c r="CT42" s="13">
        <f>IF('Données projet'!$A$140&gt;35,CT41+CS42-DB41,IF(A42&lt;'Données projet'!$A$140,$CQ$205^A42,IF(A42='Données projet'!$A$140,'Données projet'!$B$140,CT41+CS42-DB41)))</f>
        <v>339.99999999999989</v>
      </c>
      <c r="CU42" s="18">
        <f>CT42*VLOOKUP('Données projet'!$B$13,Paramètres!$A$1:$I$89,3,0)*VLOOKUP('Données projet'!$B$13,Paramètres!$A$1:$I$89,5,0)</f>
        <v>159.11999999999995</v>
      </c>
      <c r="CV42" s="14">
        <f t="shared" si="41"/>
        <v>40.643965284387697</v>
      </c>
      <c r="CW42" s="22">
        <f t="shared" si="13"/>
        <v>347.92223953697516</v>
      </c>
      <c r="CX42" s="62">
        <f t="shared" si="14"/>
        <v>641.25557287030847</v>
      </c>
      <c r="CY42" s="62">
        <f ca="1">AVERAGE(OFFSET($CX$3,0,0,'Données projet'!$E$13+1,1))-AVERAGE(OFFSET($H$3,0,0,'Données projet'!$E$13+1,1))</f>
        <v>396.92963589781414</v>
      </c>
      <c r="CZ42" s="62">
        <f t="shared" si="42"/>
        <v>294.38852181137639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598.06756449035197</v>
      </c>
      <c r="S43" s="62">
        <f ca="1">AVERAGE(OFFSET($R$3,0,0,'Données projet'!$E$9+1,1))-AVERAGE(OFFSET($H$3,0,0,'Données projet'!$E$9+1,1))</f>
        <v>411.98877330238821</v>
      </c>
      <c r="T43" s="62">
        <f t="shared" si="34"/>
        <v>256.4377087753457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2.2922855356655103</v>
      </c>
      <c r="AB43" s="23">
        <f>EXP(-LN(2)/2)*AB42+(1-EXP(-LN(2)/2))/(LN(2)/2)*V43*Y43*VLOOKUP('Données projet'!$B$9,Paramètres!$A$1:$I$89,3,0)*0.475*44/12</f>
        <v>0.43950073386640615</v>
      </c>
      <c r="AC43" s="24">
        <f t="shared" si="3"/>
        <v>2.7317862695319164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12.2</v>
      </c>
      <c r="AH43" s="13">
        <f t="array" ref="AH43">INDEX(AG:AG,MIN(IF(ISNUMBER(AG43:AG239),ROW(AG43:AG239),"")))</f>
        <v>12.2</v>
      </c>
      <c r="AI43" s="14">
        <f>IF('Données projet'!$A$62&gt;35,AI42+AH43-AQ42,IF(A43&lt;'Données projet'!$A$62,$AF$205^A43,IF(A43='Données projet'!$A$62,'Données projet'!$B$62,AI42+AH43-AQ42)))</f>
        <v>232.99999999999994</v>
      </c>
      <c r="AJ43" s="14">
        <f>AI43*VLOOKUP('Données projet'!$B$10,Paramètres!$A$1:$I$89,3,0)*VLOOKUP('Données projet'!$B$10,Paramètres!$A$1:$I$89,5,0)</f>
        <v>243.5316</v>
      </c>
      <c r="AK43" s="14">
        <f t="shared" si="35"/>
        <v>59.198724224270414</v>
      </c>
      <c r="AL43" s="22">
        <f t="shared" si="4"/>
        <v>527.25531469060434</v>
      </c>
      <c r="AM43" s="62">
        <f t="shared" si="5"/>
        <v>820.58864802393759</v>
      </c>
      <c r="AN43" s="62">
        <f ca="1">AVERAGE(OFFSET($AM$3,0,0,'Données projet'!$E$10+1,1))-AVERAGE(OFFSET($H$3,0,0,'Données projet'!$E$10+1,1))</f>
        <v>356.31271939877655</v>
      </c>
      <c r="AO43" s="62">
        <f t="shared" si="36"/>
        <v>499.70544707812991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45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30.681984520570893</v>
      </c>
      <c r="AW43" s="23">
        <f>EXP(-LN(2)/2)*AW42+(1-EXP(-LN(2)/2))/(LN(2)/2)*AQ43*AT43*VLOOKUP('Données projet'!$B$10,Paramètres!$A$1:$I$89,3,0)*0.475*44/12</f>
        <v>0.60890733934553376</v>
      </c>
      <c r="AX43" s="23">
        <f t="shared" si="6"/>
        <v>31.290891859916428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110</v>
      </c>
      <c r="BB43" s="13">
        <f>VLOOKUP(A43,'Données projet'!$A$87:$I$107,9,0)</f>
        <v>5.8</v>
      </c>
      <c r="BC43" s="13">
        <f t="array" ref="BC43">INDEX(BB:BB,MIN(IF(ISNUMBER(BB43:BB239),ROW(BB43:BB239),"")))</f>
        <v>5.8</v>
      </c>
      <c r="BD43" s="13">
        <f>IF('Données projet'!$A$88&gt;35,BD42+BC43-BL42,IF(A43&lt;'Données projet'!$A$88,$BA$205^A43,IF(A43='Données projet'!$A$88,'Données projet'!$B$88,BD42+BC43-BL42)))</f>
        <v>109.99999999999996</v>
      </c>
      <c r="BE43" s="14">
        <f>BD43*VLOOKUP('Données projet'!$B$11,Paramètres!$A$1:$I$89,3,0)*VLOOKUP('Données projet'!$B$11,Paramètres!$A$1:$I$89,5,0)</f>
        <v>96.095999999999975</v>
      </c>
      <c r="BF43" s="14">
        <f t="shared" si="37"/>
        <v>26.029778784173352</v>
      </c>
      <c r="BG43" s="22">
        <f t="shared" si="7"/>
        <v>212.70239804910184</v>
      </c>
      <c r="BH43" s="62">
        <f t="shared" si="8"/>
        <v>506.03573138243519</v>
      </c>
      <c r="BI43" s="62">
        <f ca="1">AVERAGE(OFFSET($BH$3,0,0,'Données projet'!$E$11+1,1))-AVERAGE(OFFSET($H$3,0,0,'Données projet'!$E$11+1,1))</f>
        <v>195.30963433439501</v>
      </c>
      <c r="BJ43" s="62">
        <f t="shared" si="38"/>
        <v>185.00219255324504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233</v>
      </c>
      <c r="BW43" s="13">
        <f>VLOOKUP(A43,'Données projet'!$A$113:$I$133,9,0)</f>
        <v>12.2</v>
      </c>
      <c r="BX43" s="13">
        <f t="array" ref="BX43">INDEX(BW:BW,MIN(IF(ISNUMBER(BW43:BW239),ROW(BW43:BW239),"")))</f>
        <v>12.2</v>
      </c>
      <c r="BY43" s="13">
        <f>IF('Données projet'!$A$114&gt;35,BY42+BX43-CG42,IF(A43&lt;'Données projet'!$A$114,$BV$205^A43,IF(A43='Données projet'!$A$114,'Données projet'!$B$114,BY42+BX43-CG42)))</f>
        <v>232.99999999999994</v>
      </c>
      <c r="BZ43" s="14">
        <f>BY43*VLOOKUP('Données projet'!$B$12,Paramètres!$A$1:$I$89,3,0)*VLOOKUP('Données projet'!$B$12,Paramètres!$A$1:$I$89,5,0)</f>
        <v>203.5488</v>
      </c>
      <c r="CA43" s="14">
        <f t="shared" si="39"/>
        <v>50.523286400023487</v>
      </c>
      <c r="CB43" s="22">
        <f t="shared" si="10"/>
        <v>442.50888381337427</v>
      </c>
      <c r="CC43" s="62">
        <f t="shared" si="11"/>
        <v>735.84221714670753</v>
      </c>
      <c r="CD43" s="62">
        <f ca="1">AVERAGE(OFFSET($CC$3,0,0,'Données projet'!$E$12+1,1))-AVERAGE(OFFSET($H$3,0,0,'Données projet'!$E$12+1,1))</f>
        <v>303.33040062722074</v>
      </c>
      <c r="CE43" s="62">
        <f t="shared" si="40"/>
        <v>425.30058672361548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25.644643778387611</v>
      </c>
      <c r="CM43" s="23">
        <f>EXP(-LN(2)/2)*CM42+(1-EXP(-LN(2)/2))/(LN(2)/2)*CG43*CJ43*VLOOKUP('Données projet'!$B$12,Paramètres!$A$1:$I$89,3,0)*0.475*44/12</f>
        <v>0.50893747766193842</v>
      </c>
      <c r="CN43" s="24">
        <f t="shared" si="12"/>
        <v>26.153581256049549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350</v>
      </c>
      <c r="CR43" s="13">
        <f>VLOOKUP(A43,'Données projet'!$A$139:$I$159,9,0)</f>
        <v>10</v>
      </c>
      <c r="CS43" s="13">
        <f t="array" ref="CS43">INDEX(CR:CR,MIN(IF(ISNUMBER(CR43:CR239),ROW(CR43:CR239),"")))</f>
        <v>10</v>
      </c>
      <c r="CT43" s="13">
        <f>IF('Données projet'!$A$140&gt;35,CT42+CS43-DB42,IF(A43&lt;'Données projet'!$A$140,$CQ$205^A43,IF(A43='Données projet'!$A$140,'Données projet'!$B$140,CT42+CS43-DB42)))</f>
        <v>349.99999999999989</v>
      </c>
      <c r="CU43" s="18">
        <f>CT43*VLOOKUP('Données projet'!$B$13,Paramètres!$A$1:$I$89,3,0)*VLOOKUP('Données projet'!$B$13,Paramètres!$A$1:$I$89,5,0)</f>
        <v>163.79999999999995</v>
      </c>
      <c r="CV43" s="14">
        <f t="shared" si="41"/>
        <v>41.698441627605291</v>
      </c>
      <c r="CW43" s="22">
        <f t="shared" si="13"/>
        <v>357.90978583474572</v>
      </c>
      <c r="CX43" s="62">
        <f t="shared" si="14"/>
        <v>651.24311916807903</v>
      </c>
      <c r="CY43" s="62">
        <f ca="1">AVERAGE(OFFSET($CX$3,0,0,'Données projet'!$E$13+1,1))-AVERAGE(OFFSET($H$3,0,0,'Données projet'!$E$13+1,1))</f>
        <v>396.92963589781414</v>
      </c>
      <c r="CZ43" s="62">
        <f t="shared" si="42"/>
        <v>294.38852181137639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88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126.1416</v>
      </c>
      <c r="P44" s="14">
        <f t="shared" si="33"/>
        <v>33.10323903126482</v>
      </c>
      <c r="Q44" s="22">
        <f t="shared" si="53"/>
        <v>277.35142797945286</v>
      </c>
      <c r="R44" s="62">
        <f t="shared" si="0"/>
        <v>570.68476131278612</v>
      </c>
      <c r="S44" s="62">
        <f ca="1">AVERAGE(OFFSET($R$3,0,0,'Données projet'!$E$9+1,1))-AVERAGE(OFFSET($H$3,0,0,'Données projet'!$E$9+1,1))</f>
        <v>411.98877330238821</v>
      </c>
      <c r="T44" s="62">
        <f t="shared" si="34"/>
        <v>256.4377087753457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2.2296028671466797</v>
      </c>
      <c r="AB44" s="23">
        <f>EXP(-LN(2)/2)*AB43+(1-EXP(-LN(2)/2))/(LN(2)/2)*V44*Y44*VLOOKUP('Données projet'!$B$9,Paramètres!$A$1:$I$89,3,0)*0.475*44/12</f>
        <v>0.31077394925339991</v>
      </c>
      <c r="AC44" s="24">
        <f t="shared" si="3"/>
        <v>2.5403768164000797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11.2</v>
      </c>
      <c r="AI44" s="14">
        <f>IF('Données projet'!$A$62&gt;35,AI43+AH44-AQ43,IF(A44&lt;'Données projet'!$A$62,$AF$205^A44,IF(A44='Données projet'!$A$62,'Données projet'!$B$62,AI43+AH44-AQ43)))</f>
        <v>199.19999999999993</v>
      </c>
      <c r="AJ44" s="14">
        <f>AI44*VLOOKUP('Données projet'!$B$10,Paramètres!$A$1:$I$89,3,0)*VLOOKUP('Données projet'!$B$10,Paramètres!$A$1:$I$89,5,0)</f>
        <v>208.20383999999996</v>
      </c>
      <c r="AK44" s="14">
        <f t="shared" si="35"/>
        <v>51.542883536065183</v>
      </c>
      <c r="AL44" s="22">
        <f t="shared" si="4"/>
        <v>452.39221015864678</v>
      </c>
      <c r="AM44" s="62">
        <f t="shared" si="5"/>
        <v>745.72554349198003</v>
      </c>
      <c r="AN44" s="62">
        <f ca="1">AVERAGE(OFFSET($AM$3,0,0,'Données projet'!$E$10+1,1))-AVERAGE(OFFSET($H$3,0,0,'Données projet'!$E$10+1,1))</f>
        <v>356.31271939877655</v>
      </c>
      <c r="AO44" s="62">
        <f t="shared" si="36"/>
        <v>499.70544707812991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29.842984040360442</v>
      </c>
      <c r="AW44" s="23">
        <f>EXP(-LN(2)/2)*AW43+(1-EXP(-LN(2)/2))/(LN(2)/2)*AQ44*AT44*VLOOKUP('Données projet'!$B$10,Paramètres!$A$1:$I$89,3,0)*0.475*44/12</f>
        <v>0.43056250876548519</v>
      </c>
      <c r="AX44" s="23">
        <f t="shared" si="6"/>
        <v>30.273546549125928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4.8</v>
      </c>
      <c r="BD44" s="13">
        <f>IF('Données projet'!$A$88&gt;35,BD43+BC44-BL43,IF(A44&lt;'Données projet'!$A$88,$BA$205^A44,IF(A44='Données projet'!$A$88,'Données projet'!$B$88,BD43+BC44-BL43)))</f>
        <v>100.79999999999995</v>
      </c>
      <c r="BE44" s="14">
        <f>BD44*VLOOKUP('Données projet'!$B$11,Paramètres!$A$1:$I$89,3,0)*VLOOKUP('Données projet'!$B$11,Paramètres!$A$1:$I$89,5,0)</f>
        <v>88.058879999999974</v>
      </c>
      <c r="BF44" s="14">
        <f t="shared" si="37"/>
        <v>24.096481170231179</v>
      </c>
      <c r="BG44" s="22">
        <f t="shared" si="7"/>
        <v>195.33725403815257</v>
      </c>
      <c r="BH44" s="62">
        <f t="shared" si="8"/>
        <v>488.67058737148591</v>
      </c>
      <c r="BI44" s="62">
        <f ca="1">AVERAGE(OFFSET($BH$3,0,0,'Données projet'!$E$11+1,1))-AVERAGE(OFFSET($H$3,0,0,'Données projet'!$E$11+1,1))</f>
        <v>195.30963433439501</v>
      </c>
      <c r="BJ44" s="62">
        <f t="shared" si="38"/>
        <v>185.00219255324504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11.2</v>
      </c>
      <c r="BY44" s="13">
        <f>IF('Données projet'!$A$114&gt;35,BY43+BX44-CG43,IF(A44&lt;'Données projet'!$A$114,$BV$205^A44,IF(A44='Données projet'!$A$114,'Données projet'!$B$114,BY43+BX44-CG43)))</f>
        <v>199.19999999999993</v>
      </c>
      <c r="BZ44" s="14">
        <f>BY44*VLOOKUP('Données projet'!$B$12,Paramètres!$A$1:$I$89,3,0)*VLOOKUP('Données projet'!$B$12,Paramètres!$A$1:$I$89,5,0)</f>
        <v>174.02111999999997</v>
      </c>
      <c r="CA44" s="14">
        <f t="shared" si="39"/>
        <v>43.989391678613877</v>
      </c>
      <c r="CB44" s="22">
        <f t="shared" si="10"/>
        <v>379.70164117358576</v>
      </c>
      <c r="CC44" s="62">
        <f t="shared" si="11"/>
        <v>673.03497450691907</v>
      </c>
      <c r="CD44" s="62">
        <f ca="1">AVERAGE(OFFSET($CC$3,0,0,'Données projet'!$E$12+1,1))-AVERAGE(OFFSET($H$3,0,0,'Données projet'!$E$12+1,1))</f>
        <v>303.33040062722074</v>
      </c>
      <c r="CE44" s="62">
        <f t="shared" si="40"/>
        <v>425.30058672361548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24.943389645674397</v>
      </c>
      <c r="CM44" s="23">
        <f>EXP(-LN(2)/2)*CM43+(1-EXP(-LN(2)/2))/(LN(2)/2)*CG44*CJ44*VLOOKUP('Données projet'!$B$12,Paramètres!$A$1:$I$89,3,0)*0.475*44/12</f>
        <v>0.35987314165473372</v>
      </c>
      <c r="CN44" s="24">
        <f t="shared" si="12"/>
        <v>25.303262787329132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11.5</v>
      </c>
      <c r="CT44" s="13">
        <f>IF('Données projet'!$A$140&gt;35,CT43+CS44-DB43,IF(A44&lt;'Données projet'!$A$140,$CQ$205^A44,IF(A44='Données projet'!$A$140,'Données projet'!$B$140,CT43+CS44-DB43)))</f>
        <v>273.49999999999989</v>
      </c>
      <c r="CU44" s="18">
        <f>CT44*VLOOKUP('Données projet'!$B$13,Paramètres!$A$1:$I$89,3,0)*VLOOKUP('Données projet'!$B$13,Paramètres!$A$1:$I$89,5,0)</f>
        <v>127.99799999999995</v>
      </c>
      <c r="CV44" s="14">
        <f t="shared" si="41"/>
        <v>33.533338894635314</v>
      </c>
      <c r="CW44" s="22">
        <f t="shared" si="13"/>
        <v>281.33374857482306</v>
      </c>
      <c r="CX44" s="62">
        <f t="shared" si="14"/>
        <v>574.66708190815643</v>
      </c>
      <c r="CY44" s="62">
        <f ca="1">AVERAGE(OFFSET($CX$3,0,0,'Données projet'!$E$13+1,1))-AVERAGE(OFFSET($H$3,0,0,'Données projet'!$E$13+1,1))</f>
        <v>396.92963589781414</v>
      </c>
      <c r="CZ44" s="62">
        <f t="shared" si="42"/>
        <v>294.38852181137639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134.65920000000003</v>
      </c>
      <c r="P45" s="14">
        <f t="shared" si="33"/>
        <v>35.07074737441733</v>
      </c>
      <c r="Q45" s="22">
        <f t="shared" si="53"/>
        <v>295.61299167711019</v>
      </c>
      <c r="R45" s="62">
        <f t="shared" si="0"/>
        <v>588.9463250104435</v>
      </c>
      <c r="S45" s="62">
        <f ca="1">AVERAGE(OFFSET($R$3,0,0,'Données projet'!$E$9+1,1))-AVERAGE(OFFSET($H$3,0,0,'Données projet'!$E$9+1,1))</f>
        <v>411.98877330238821</v>
      </c>
      <c r="T45" s="62">
        <f t="shared" si="34"/>
        <v>256.4377087753457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2.1686342594948349</v>
      </c>
      <c r="AB45" s="23">
        <f>EXP(-LN(2)/2)*AB44+(1-EXP(-LN(2)/2))/(LN(2)/2)*V45*Y45*VLOOKUP('Données projet'!$B$9,Paramètres!$A$1:$I$89,3,0)*0.475*44/12</f>
        <v>0.21975036693320307</v>
      </c>
      <c r="AC45" s="24">
        <f t="shared" si="3"/>
        <v>2.3883846264280382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11.2</v>
      </c>
      <c r="AI45" s="14">
        <f>IF('Données projet'!$A$62&gt;35,AI44+AH45-AQ44,IF(A45&lt;'Données projet'!$A$62,$AF$205^A45,IF(A45='Données projet'!$A$62,'Données projet'!$B$62,AI44+AH45-AQ44)))</f>
        <v>210.39999999999992</v>
      </c>
      <c r="AJ45" s="14">
        <f>AI45*VLOOKUP('Données projet'!$B$10,Paramètres!$A$1:$I$89,3,0)*VLOOKUP('Données projet'!$B$10,Paramètres!$A$1:$I$89,5,0)</f>
        <v>219.91007999999994</v>
      </c>
      <c r="AK45" s="14">
        <f t="shared" si="35"/>
        <v>54.095341587899199</v>
      </c>
      <c r="AL45" s="22">
        <f t="shared" si="4"/>
        <v>477.22610926559105</v>
      </c>
      <c r="AM45" s="62">
        <f t="shared" si="5"/>
        <v>770.55944259892431</v>
      </c>
      <c r="AN45" s="62">
        <f ca="1">AVERAGE(OFFSET($AM$3,0,0,'Données projet'!$E$10+1,1))-AVERAGE(OFFSET($H$3,0,0,'Données projet'!$E$10+1,1))</f>
        <v>356.31271939877655</v>
      </c>
      <c r="AO45" s="62">
        <f t="shared" si="36"/>
        <v>499.70544707812991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29.02692607240246</v>
      </c>
      <c r="AW45" s="23">
        <f>EXP(-LN(2)/2)*AW44+(1-EXP(-LN(2)/2))/(LN(2)/2)*AQ45*AT45*VLOOKUP('Données projet'!$B$10,Paramètres!$A$1:$I$89,3,0)*0.475*44/12</f>
        <v>0.30445366967276688</v>
      </c>
      <c r="AX45" s="23">
        <f t="shared" si="6"/>
        <v>29.331379742075228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4.8</v>
      </c>
      <c r="BD45" s="13">
        <f>IF('Données projet'!$A$88&gt;35,BD44+BC45-BL44,IF(A45&lt;'Données projet'!$A$88,$BA$205^A45,IF(A45='Données projet'!$A$88,'Données projet'!$B$88,BD44+BC45-BL44)))</f>
        <v>105.59999999999995</v>
      </c>
      <c r="BE45" s="14">
        <f>BD45*VLOOKUP('Données projet'!$B$11,Paramètres!$A$1:$I$89,3,0)*VLOOKUP('Données projet'!$B$11,Paramètres!$A$1:$I$89,5,0)</f>
        <v>92.252159999999975</v>
      </c>
      <c r="BF45" s="14">
        <f t="shared" si="37"/>
        <v>25.107607958259965</v>
      </c>
      <c r="BG45" s="22">
        <f t="shared" si="7"/>
        <v>204.40159586063604</v>
      </c>
      <c r="BH45" s="62">
        <f t="shared" si="8"/>
        <v>497.73492919396938</v>
      </c>
      <c r="BI45" s="62">
        <f ca="1">AVERAGE(OFFSET($BH$3,0,0,'Données projet'!$E$11+1,1))-AVERAGE(OFFSET($H$3,0,0,'Données projet'!$E$11+1,1))</f>
        <v>195.30963433439501</v>
      </c>
      <c r="BJ45" s="62">
        <f t="shared" si="38"/>
        <v>185.00219255324504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11.2</v>
      </c>
      <c r="BY45" s="13">
        <f>IF('Données projet'!$A$114&gt;35,BY44+BX45-CG44,IF(A45&lt;'Données projet'!$A$114,$BV$205^A45,IF(A45='Données projet'!$A$114,'Données projet'!$B$114,BY44+BX45-CG44)))</f>
        <v>210.39999999999992</v>
      </c>
      <c r="BZ45" s="14">
        <f>BY45*VLOOKUP('Données projet'!$B$12,Paramètres!$A$1:$I$89,3,0)*VLOOKUP('Données projet'!$B$12,Paramètres!$A$1:$I$89,5,0)</f>
        <v>183.80543999999995</v>
      </c>
      <c r="CA45" s="14">
        <f t="shared" si="39"/>
        <v>46.167792832806036</v>
      </c>
      <c r="CB45" s="22">
        <f t="shared" si="10"/>
        <v>400.53671385047045</v>
      </c>
      <c r="CC45" s="62">
        <f t="shared" si="11"/>
        <v>693.87004718380376</v>
      </c>
      <c r="CD45" s="62">
        <f ca="1">AVERAGE(OFFSET($CC$3,0,0,'Données projet'!$E$12+1,1))-AVERAGE(OFFSET($H$3,0,0,'Données projet'!$E$12+1,1))</f>
        <v>303.33040062722074</v>
      </c>
      <c r="CE45" s="62">
        <f t="shared" si="40"/>
        <v>425.30058672361548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24.261311344097578</v>
      </c>
      <c r="CM45" s="23">
        <f>EXP(-LN(2)/2)*CM44+(1-EXP(-LN(2)/2))/(LN(2)/2)*CG45*CJ45*VLOOKUP('Données projet'!$B$12,Paramètres!$A$1:$I$89,3,0)*0.475*44/12</f>
        <v>0.25446873883096921</v>
      </c>
      <c r="CN45" s="24">
        <f t="shared" si="12"/>
        <v>24.515780082928547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11.5</v>
      </c>
      <c r="CT45" s="13">
        <f>IF('Données projet'!$A$140&gt;35,CT44+CS45-DB44,IF(A45&lt;'Données projet'!$A$140,$CQ$205^A45,IF(A45='Données projet'!$A$140,'Données projet'!$B$140,CT44+CS45-DB44)))</f>
        <v>284.99999999999989</v>
      </c>
      <c r="CU45" s="18">
        <f>CT45*VLOOKUP('Données projet'!$B$13,Paramètres!$A$1:$I$89,3,0)*VLOOKUP('Données projet'!$B$13,Paramètres!$A$1:$I$89,5,0)</f>
        <v>133.37999999999994</v>
      </c>
      <c r="CV45" s="14">
        <f t="shared" si="41"/>
        <v>34.776207535548991</v>
      </c>
      <c r="CW45" s="22">
        <f t="shared" si="13"/>
        <v>292.87206145774769</v>
      </c>
      <c r="CX45" s="62">
        <f t="shared" si="14"/>
        <v>586.20539479108106</v>
      </c>
      <c r="CY45" s="62">
        <f ca="1">AVERAGE(OFFSET($CX$3,0,0,'Données projet'!$E$13+1,1))-AVERAGE(OFFSET($H$3,0,0,'Données projet'!$E$13+1,1))</f>
        <v>396.92963589781414</v>
      </c>
      <c r="CZ45" s="62">
        <f t="shared" si="42"/>
        <v>294.38852181137639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607.18273374145838</v>
      </c>
      <c r="S46" s="62">
        <f ca="1">AVERAGE(OFFSET($R$3,0,0,'Données projet'!$E$9+1,1))-AVERAGE(OFFSET($H$3,0,0,'Données projet'!$E$9+1,1))</f>
        <v>411.98877330238821</v>
      </c>
      <c r="T46" s="62">
        <f t="shared" si="34"/>
        <v>256.4377087753457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2.1093328416254296</v>
      </c>
      <c r="AB46" s="23">
        <f>EXP(-LN(2)/2)*AB45+(1-EXP(-LN(2)/2))/(LN(2)/2)*V46*Y46*VLOOKUP('Données projet'!$B$9,Paramètres!$A$1:$I$89,3,0)*0.475*44/12</f>
        <v>0.15538697462669995</v>
      </c>
      <c r="AC46" s="24">
        <f t="shared" si="3"/>
        <v>2.2647198162521294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11.2</v>
      </c>
      <c r="AI46" s="14">
        <f>IF('Données projet'!$A$62&gt;35,AI45+AH46-AQ45,IF(A46&lt;'Données projet'!$A$62,$AF$205^A46,IF(A46='Données projet'!$A$62,'Données projet'!$B$62,AI45+AH46-AQ45)))</f>
        <v>221.59999999999991</v>
      </c>
      <c r="AJ46" s="14">
        <f>AI46*VLOOKUP('Données projet'!$B$10,Paramètres!$A$1:$I$89,3,0)*VLOOKUP('Données projet'!$B$10,Paramètres!$A$1:$I$89,5,0)</f>
        <v>231.61631999999994</v>
      </c>
      <c r="AK46" s="14">
        <f t="shared" si="35"/>
        <v>56.632025137557321</v>
      </c>
      <c r="AL46" s="22">
        <f t="shared" si="4"/>
        <v>502.03253444791227</v>
      </c>
      <c r="AM46" s="62">
        <f t="shared" si="5"/>
        <v>795.36586778124558</v>
      </c>
      <c r="AN46" s="62">
        <f ca="1">AVERAGE(OFFSET($AM$3,0,0,'Données projet'!$E$10+1,1))-AVERAGE(OFFSET($H$3,0,0,'Données projet'!$E$10+1,1))</f>
        <v>356.31271939877655</v>
      </c>
      <c r="AO46" s="62">
        <f t="shared" si="36"/>
        <v>499.70544707812991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28.233183252492914</v>
      </c>
      <c r="AW46" s="23">
        <f>EXP(-LN(2)/2)*AW45+(1-EXP(-LN(2)/2))/(LN(2)/2)*AQ46*AT46*VLOOKUP('Données projet'!$B$10,Paramètres!$A$1:$I$89,3,0)*0.475*44/12</f>
        <v>0.21528125438274259</v>
      </c>
      <c r="AX46" s="23">
        <f t="shared" si="6"/>
        <v>28.448464506875656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4.8</v>
      </c>
      <c r="BD46" s="13">
        <f>IF('Données projet'!$A$88&gt;35,BD45+BC46-BL45,IF(A46&lt;'Données projet'!$A$88,$BA$205^A46,IF(A46='Données projet'!$A$88,'Données projet'!$B$88,BD45+BC46-BL45)))</f>
        <v>110.39999999999995</v>
      </c>
      <c r="BE46" s="14">
        <f>BD46*VLOOKUP('Données projet'!$B$11,Paramètres!$A$1:$I$89,3,0)*VLOOKUP('Données projet'!$B$11,Paramètres!$A$1:$I$89,5,0)</f>
        <v>96.445439999999962</v>
      </c>
      <c r="BF46" s="14">
        <f t="shared" si="37"/>
        <v>26.113397153228323</v>
      </c>
      <c r="BG46" s="22">
        <f t="shared" si="7"/>
        <v>213.45664137520589</v>
      </c>
      <c r="BH46" s="62">
        <f t="shared" si="8"/>
        <v>506.78997470853921</v>
      </c>
      <c r="BI46" s="62">
        <f ca="1">AVERAGE(OFFSET($BH$3,0,0,'Données projet'!$E$11+1,1))-AVERAGE(OFFSET($H$3,0,0,'Données projet'!$E$11+1,1))</f>
        <v>195.30963433439501</v>
      </c>
      <c r="BJ46" s="62">
        <f t="shared" si="38"/>
        <v>185.00219255324504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11.2</v>
      </c>
      <c r="BY46" s="13">
        <f>IF('Données projet'!$A$114&gt;35,BY45+BX46-CG45,IF(A46&lt;'Données projet'!$A$114,$BV$205^A46,IF(A46='Données projet'!$A$114,'Données projet'!$B$114,BY45+BX46-CG45)))</f>
        <v>221.59999999999991</v>
      </c>
      <c r="BZ46" s="14">
        <f>BY46*VLOOKUP('Données projet'!$B$12,Paramètres!$A$1:$I$89,3,0)*VLOOKUP('Données projet'!$B$12,Paramètres!$A$1:$I$89,5,0)</f>
        <v>193.58975999999996</v>
      </c>
      <c r="CA46" s="14">
        <f t="shared" si="39"/>
        <v>48.332731202087039</v>
      </c>
      <c r="CB46" s="22">
        <f t="shared" si="10"/>
        <v>421.34833884363485</v>
      </c>
      <c r="CC46" s="62">
        <f t="shared" si="11"/>
        <v>714.68167217696816</v>
      </c>
      <c r="CD46" s="62">
        <f ca="1">AVERAGE(OFFSET($CC$3,0,0,'Données projet'!$E$12+1,1))-AVERAGE(OFFSET($H$3,0,0,'Données projet'!$E$12+1,1))</f>
        <v>303.33040062722074</v>
      </c>
      <c r="CE46" s="62">
        <f t="shared" si="40"/>
        <v>425.30058672361548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23.597884509546315</v>
      </c>
      <c r="CM46" s="23">
        <f>EXP(-LN(2)/2)*CM45+(1-EXP(-LN(2)/2))/(LN(2)/2)*CG46*CJ46*VLOOKUP('Données projet'!$B$12,Paramètres!$A$1:$I$89,3,0)*0.475*44/12</f>
        <v>0.17993657082736686</v>
      </c>
      <c r="CN46" s="24">
        <f t="shared" si="12"/>
        <v>23.77782108037368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11.5</v>
      </c>
      <c r="CT46" s="13">
        <f>IF('Données projet'!$A$140&gt;35,CT45+CS46-DB45,IF(A46&lt;'Données projet'!$A$140,$CQ$205^A46,IF(A46='Données projet'!$A$140,'Données projet'!$B$140,CT45+CS46-DB45)))</f>
        <v>296.49999999999989</v>
      </c>
      <c r="CU46" s="18">
        <f>CT46*VLOOKUP('Données projet'!$B$13,Paramètres!$A$1:$I$89,3,0)*VLOOKUP('Données projet'!$B$13,Paramètres!$A$1:$I$89,5,0)</f>
        <v>138.76199999999994</v>
      </c>
      <c r="CV46" s="14">
        <f t="shared" si="41"/>
        <v>36.01325063671441</v>
      </c>
      <c r="CW46" s="22">
        <f t="shared" si="13"/>
        <v>304.4002281922775</v>
      </c>
      <c r="CX46" s="62">
        <f t="shared" si="14"/>
        <v>597.73356152561087</v>
      </c>
      <c r="CY46" s="62">
        <f ca="1">AVERAGE(OFFSET($CX$3,0,0,'Données projet'!$E$13+1,1))-AVERAGE(OFFSET($H$3,0,0,'Données projet'!$E$13+1,1))</f>
        <v>396.92963589781414</v>
      </c>
      <c r="CZ46" s="62">
        <f t="shared" si="42"/>
        <v>294.38852181137639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151.69440000000003</v>
      </c>
      <c r="P47" s="14">
        <f t="shared" si="33"/>
        <v>38.963392010880654</v>
      </c>
      <c r="Q47" s="22">
        <f t="shared" si="53"/>
        <v>332.06232108561716</v>
      </c>
      <c r="R47" s="62">
        <f t="shared" si="0"/>
        <v>625.39565441895047</v>
      </c>
      <c r="S47" s="62">
        <f ca="1">AVERAGE(OFFSET($R$3,0,0,'Données projet'!$E$9+1,1))-AVERAGE(OFFSET($H$3,0,0,'Données projet'!$E$9+1,1))</f>
        <v>411.98877330238821</v>
      </c>
      <c r="T47" s="62">
        <f t="shared" si="34"/>
        <v>256.4377087753457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2.051653024146189</v>
      </c>
      <c r="AB47" s="23">
        <f>EXP(-LN(2)/2)*AB46+(1-EXP(-LN(2)/2))/(LN(2)/2)*V47*Y47*VLOOKUP('Données projet'!$B$9,Paramètres!$A$1:$I$89,3,0)*0.475*44/12</f>
        <v>0.10987518346660154</v>
      </c>
      <c r="AC47" s="24">
        <f t="shared" si="3"/>
        <v>2.1615282076127906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11.2</v>
      </c>
      <c r="AI47" s="14">
        <f>IF('Données projet'!$A$62&gt;35,AI46+AH47-AQ46,IF(A47&lt;'Données projet'!$A$62,$AF$205^A47,IF(A47='Données projet'!$A$62,'Données projet'!$B$62,AI46+AH47-AQ46)))</f>
        <v>232.7999999999999</v>
      </c>
      <c r="AJ47" s="14">
        <f>AI47*VLOOKUP('Données projet'!$B$10,Paramètres!$A$1:$I$89,3,0)*VLOOKUP('Données projet'!$B$10,Paramètres!$A$1:$I$89,5,0)</f>
        <v>243.32255999999992</v>
      </c>
      <c r="AK47" s="14">
        <f t="shared" si="35"/>
        <v>59.153822415931941</v>
      </c>
      <c r="AL47" s="22">
        <f t="shared" si="4"/>
        <v>526.81303270774799</v>
      </c>
      <c r="AM47" s="62">
        <f t="shared" si="5"/>
        <v>820.14636604108136</v>
      </c>
      <c r="AN47" s="62">
        <f ca="1">AVERAGE(OFFSET($AM$3,0,0,'Données projet'!$E$10+1,1))-AVERAGE(OFFSET($H$3,0,0,'Données projet'!$E$10+1,1))</f>
        <v>356.31271939877655</v>
      </c>
      <c r="AO47" s="62">
        <f t="shared" si="36"/>
        <v>499.70544707812991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27.461145371734915</v>
      </c>
      <c r="AW47" s="23">
        <f>EXP(-LN(2)/2)*AW46+(1-EXP(-LN(2)/2))/(LN(2)/2)*AQ47*AT47*VLOOKUP('Données projet'!$B$10,Paramètres!$A$1:$I$89,3,0)*0.475*44/12</f>
        <v>0.15222683483638344</v>
      </c>
      <c r="AX47" s="23">
        <f t="shared" si="6"/>
        <v>27.613372206571299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4.8</v>
      </c>
      <c r="BD47" s="13">
        <f>IF('Données projet'!$A$88&gt;35,BD46+BC47-BL46,IF(A47&lt;'Données projet'!$A$88,$BA$205^A47,IF(A47='Données projet'!$A$88,'Données projet'!$B$88,BD46+BC47-BL46)))</f>
        <v>115.19999999999995</v>
      </c>
      <c r="BE47" s="14">
        <f>BD47*VLOOKUP('Données projet'!$B$11,Paramètres!$A$1:$I$89,3,0)*VLOOKUP('Données projet'!$B$11,Paramètres!$A$1:$I$89,5,0)</f>
        <v>100.63871999999996</v>
      </c>
      <c r="BF47" s="14">
        <f t="shared" si="37"/>
        <v>27.114107349094599</v>
      </c>
      <c r="BG47" s="22">
        <f t="shared" si="7"/>
        <v>222.50284096633968</v>
      </c>
      <c r="BH47" s="62">
        <f t="shared" si="8"/>
        <v>515.83617429967296</v>
      </c>
      <c r="BI47" s="62">
        <f ca="1">AVERAGE(OFFSET($BH$3,0,0,'Données projet'!$E$11+1,1))-AVERAGE(OFFSET($H$3,0,0,'Données projet'!$E$11+1,1))</f>
        <v>195.30963433439501</v>
      </c>
      <c r="BJ47" s="62">
        <f t="shared" si="38"/>
        <v>185.00219255324504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11.2</v>
      </c>
      <c r="BY47" s="13">
        <f>IF('Données projet'!$A$114&gt;35,BY46+BX47-CG46,IF(A47&lt;'Données projet'!$A$114,$BV$205^A47,IF(A47='Données projet'!$A$114,'Données projet'!$B$114,BY46+BX47-CG46)))</f>
        <v>232.7999999999999</v>
      </c>
      <c r="BZ47" s="14">
        <f>BY47*VLOOKUP('Données projet'!$B$12,Paramètres!$A$1:$I$89,3,0)*VLOOKUP('Données projet'!$B$12,Paramètres!$A$1:$I$89,5,0)</f>
        <v>203.37407999999996</v>
      </c>
      <c r="CA47" s="14">
        <f t="shared" si="39"/>
        <v>50.484964849140574</v>
      </c>
      <c r="CB47" s="22">
        <f t="shared" si="10"/>
        <v>442.1378364455864</v>
      </c>
      <c r="CC47" s="62">
        <f t="shared" si="11"/>
        <v>735.47116977891972</v>
      </c>
      <c r="CD47" s="62">
        <f ca="1">AVERAGE(OFFSET($CC$3,0,0,'Données projet'!$E$12+1,1))-AVERAGE(OFFSET($H$3,0,0,'Données projet'!$E$12+1,1))</f>
        <v>303.33040062722074</v>
      </c>
      <c r="CE47" s="62">
        <f t="shared" si="40"/>
        <v>425.30058672361548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22.952599116673959</v>
      </c>
      <c r="CM47" s="23">
        <f>EXP(-LN(2)/2)*CM46+(1-EXP(-LN(2)/2))/(LN(2)/2)*CG47*CJ47*VLOOKUP('Données projet'!$B$12,Paramètres!$A$1:$I$89,3,0)*0.475*44/12</f>
        <v>0.1272343694154846</v>
      </c>
      <c r="CN47" s="24">
        <f t="shared" si="12"/>
        <v>23.079833486089445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11.5</v>
      </c>
      <c r="CT47" s="13">
        <f>IF('Données projet'!$A$140&gt;35,CT46+CS47-DB46,IF(A47&lt;'Données projet'!$A$140,$CQ$205^A47,IF(A47='Données projet'!$A$140,'Données projet'!$B$140,CT46+CS47-DB46)))</f>
        <v>307.99999999999989</v>
      </c>
      <c r="CU47" s="18">
        <f>CT47*VLOOKUP('Données projet'!$B$13,Paramètres!$A$1:$I$89,3,0)*VLOOKUP('Données projet'!$B$13,Paramètres!$A$1:$I$89,5,0)</f>
        <v>144.14399999999995</v>
      </c>
      <c r="CV47" s="14">
        <f t="shared" si="41"/>
        <v>37.244720006976216</v>
      </c>
      <c r="CW47" s="22">
        <f t="shared" si="13"/>
        <v>315.91868734548348</v>
      </c>
      <c r="CX47" s="62">
        <f t="shared" si="14"/>
        <v>609.25202067881673</v>
      </c>
      <c r="CY47" s="62">
        <f ca="1">AVERAGE(OFFSET($CX$3,0,0,'Données projet'!$E$13+1,1))-AVERAGE(OFFSET($H$3,0,0,'Données projet'!$E$13+1,1))</f>
        <v>396.92963589781414</v>
      </c>
      <c r="CZ47" s="62">
        <f t="shared" si="42"/>
        <v>294.38852181137639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160.21200000000005</v>
      </c>
      <c r="P48" s="14">
        <f t="shared" si="33"/>
        <v>40.890328912852695</v>
      </c>
      <c r="Q48" s="22">
        <f t="shared" si="53"/>
        <v>350.25322285655176</v>
      </c>
      <c r="R48" s="62">
        <f t="shared" si="0"/>
        <v>643.58655618988507</v>
      </c>
      <c r="S48" s="62">
        <f ca="1">AVERAGE(OFFSET($R$3,0,0,'Données projet'!$E$9+1,1))-AVERAGE(OFFSET($H$3,0,0,'Données projet'!$E$9+1,1))</f>
        <v>411.98877330238821</v>
      </c>
      <c r="T48" s="62">
        <f t="shared" si="34"/>
        <v>256.4377087753457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1.9955504643091679</v>
      </c>
      <c r="AB48" s="23">
        <f>EXP(-LN(2)/2)*AB47+(1-EXP(-LN(2)/2))/(LN(2)/2)*V48*Y48*VLOOKUP('Données projet'!$B$9,Paramètres!$A$1:$I$89,3,0)*0.475*44/12</f>
        <v>7.7693487313349976E-2</v>
      </c>
      <c r="AC48" s="24">
        <f t="shared" si="3"/>
        <v>2.0732439516225178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244</v>
      </c>
      <c r="AG48" s="13">
        <f>VLOOKUP(A48,'Données projet'!$A$61:$I$81,9,0)</f>
        <v>11.2</v>
      </c>
      <c r="AH48" s="13">
        <f t="array" ref="AH48">INDEX(AG:AG,MIN(IF(ISNUMBER(AG48:AG244),ROW(AG48:AG244),"")))</f>
        <v>11.2</v>
      </c>
      <c r="AI48" s="14">
        <f>IF('Données projet'!$A$62&gt;35,AI47+AH48-AQ47,IF(A48&lt;'Données projet'!$A$62,$AF$205^A48,IF(A48='Données projet'!$A$62,'Données projet'!$B$62,AI47+AH48-AQ47)))</f>
        <v>243.99999999999989</v>
      </c>
      <c r="AJ48" s="14">
        <f>AI48*VLOOKUP('Données projet'!$B$10,Paramètres!$A$1:$I$89,3,0)*VLOOKUP('Données projet'!$B$10,Paramètres!$A$1:$I$89,5,0)</f>
        <v>255.0287999999999</v>
      </c>
      <c r="AK48" s="14">
        <f t="shared" si="35"/>
        <v>61.661531359449384</v>
      </c>
      <c r="AL48" s="22">
        <f t="shared" si="4"/>
        <v>551.56899378437413</v>
      </c>
      <c r="AM48" s="62">
        <f t="shared" si="5"/>
        <v>844.9023271177075</v>
      </c>
      <c r="AN48" s="62">
        <f ca="1">AVERAGE(OFFSET($AM$3,0,0,'Données projet'!$E$10+1,1))-AVERAGE(OFFSET($H$3,0,0,'Données projet'!$E$10+1,1))</f>
        <v>356.31271939877655</v>
      </c>
      <c r="AO48" s="62">
        <f t="shared" si="36"/>
        <v>499.70544707812991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41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26.710218907425951</v>
      </c>
      <c r="AW48" s="23">
        <f>EXP(-LN(2)/2)*AW47+(1-EXP(-LN(2)/2))/(LN(2)/2)*AQ48*AT48*VLOOKUP('Données projet'!$B$10,Paramètres!$A$1:$I$89,3,0)*0.475*44/12</f>
        <v>0.1076406271913713</v>
      </c>
      <c r="AX48" s="23">
        <f t="shared" si="6"/>
        <v>26.817859534617323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120</v>
      </c>
      <c r="BB48" s="13">
        <f>VLOOKUP(A48,'Données projet'!$A$87:$I$107,9,0)</f>
        <v>4.8</v>
      </c>
      <c r="BC48" s="13">
        <f t="array" ref="BC48">INDEX(BB:BB,MIN(IF(ISNUMBER(BB48:BB244),ROW(BB48:BB244),"")))</f>
        <v>4.8</v>
      </c>
      <c r="BD48" s="13">
        <f>IF('Données projet'!$A$88&gt;35,BD47+BC48-BL47,IF(A48&lt;'Données projet'!$A$88,$BA$205^A48,IF(A48='Données projet'!$A$88,'Données projet'!$B$88,BD47+BC48-BL47)))</f>
        <v>119.99999999999994</v>
      </c>
      <c r="BE48" s="14">
        <f>BD48*VLOOKUP('Données projet'!$B$11,Paramètres!$A$1:$I$89,3,0)*VLOOKUP('Données projet'!$B$11,Paramètres!$A$1:$I$89,5,0)</f>
        <v>104.83199999999997</v>
      </c>
      <c r="BF48" s="14">
        <f t="shared" si="37"/>
        <v>28.109974371137692</v>
      </c>
      <c r="BG48" s="22">
        <f t="shared" si="7"/>
        <v>231.54060536306474</v>
      </c>
      <c r="BH48" s="62">
        <f t="shared" si="8"/>
        <v>524.873938696398</v>
      </c>
      <c r="BI48" s="62">
        <f ca="1">AVERAGE(OFFSET($BH$3,0,0,'Données projet'!$E$11+1,1))-AVERAGE(OFFSET($H$3,0,0,'Données projet'!$E$11+1,1))</f>
        <v>195.30963433439501</v>
      </c>
      <c r="BJ48" s="62">
        <f t="shared" si="38"/>
        <v>185.00219255324504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244</v>
      </c>
      <c r="BW48" s="13">
        <f>VLOOKUP(A48,'Données projet'!$A$113:$I$133,9,0)</f>
        <v>11.2</v>
      </c>
      <c r="BX48" s="13">
        <f t="array" ref="BX48">INDEX(BW:BW,MIN(IF(ISNUMBER(BW48:BW244),ROW(BW48:BW244),"")))</f>
        <v>11.2</v>
      </c>
      <c r="BY48" s="13">
        <f>IF('Données projet'!$A$114&gt;35,BY47+BX48-CG47,IF(A48&lt;'Données projet'!$A$114,$BV$205^A48,IF(A48='Données projet'!$A$114,'Données projet'!$B$114,BY47+BX48-CG47)))</f>
        <v>243.99999999999989</v>
      </c>
      <c r="BZ48" s="14">
        <f>BY48*VLOOKUP('Données projet'!$B$12,Paramètres!$A$1:$I$89,3,0)*VLOOKUP('Données projet'!$B$12,Paramètres!$A$1:$I$89,5,0)</f>
        <v>213.15839999999994</v>
      </c>
      <c r="CA48" s="14">
        <f t="shared" si="39"/>
        <v>52.62517477463237</v>
      </c>
      <c r="CB48" s="22">
        <f t="shared" si="10"/>
        <v>462.90639273248456</v>
      </c>
      <c r="CC48" s="62">
        <f t="shared" si="11"/>
        <v>756.23972606581788</v>
      </c>
      <c r="CD48" s="62">
        <f ca="1">AVERAGE(OFFSET($CC$3,0,0,'Données projet'!$E$12+1,1))-AVERAGE(OFFSET($H$3,0,0,'Données projet'!$E$12+1,1))</f>
        <v>303.33040062722074</v>
      </c>
      <c r="CE48" s="62">
        <f t="shared" si="40"/>
        <v>425.30058672361548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41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22.32495908680378</v>
      </c>
      <c r="CM48" s="23">
        <f>EXP(-LN(2)/2)*CM47+(1-EXP(-LN(2)/2))/(LN(2)/2)*CG48*CJ48*VLOOKUP('Données projet'!$B$12,Paramètres!$A$1:$I$89,3,0)*0.475*44/12</f>
        <v>8.996828541368343E-2</v>
      </c>
      <c r="CN48" s="24">
        <f t="shared" si="12"/>
        <v>22.414927372217463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11.5</v>
      </c>
      <c r="CT48" s="13">
        <f>IF('Données projet'!$A$140&gt;35,CT47+CS48-DB47,IF(A48&lt;'Données projet'!$A$140,$CQ$205^A48,IF(A48='Données projet'!$A$140,'Données projet'!$B$140,CT47+CS48-DB47)))</f>
        <v>319.49999999999989</v>
      </c>
      <c r="CU48" s="18">
        <f>CT48*VLOOKUP('Données projet'!$B$13,Paramètres!$A$1:$I$89,3,0)*VLOOKUP('Données projet'!$B$13,Paramètres!$A$1:$I$89,5,0)</f>
        <v>149.52599999999995</v>
      </c>
      <c r="CV48" s="14">
        <f t="shared" si="41"/>
        <v>38.470847585964201</v>
      </c>
      <c r="CW48" s="22">
        <f t="shared" si="13"/>
        <v>327.42784287888759</v>
      </c>
      <c r="CX48" s="62">
        <f t="shared" si="14"/>
        <v>620.7611762122209</v>
      </c>
      <c r="CY48" s="62">
        <f ca="1">AVERAGE(OFFSET($CX$3,0,0,'Données projet'!$E$13+1,1))-AVERAGE(OFFSET($H$3,0,0,'Données projet'!$E$13+1,1))</f>
        <v>396.92963589781414</v>
      </c>
      <c r="CZ48" s="62">
        <f t="shared" si="42"/>
        <v>294.38852181137639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147.43560000000002</v>
      </c>
      <c r="P49" s="14">
        <f t="shared" si="33"/>
        <v>37.99523294834102</v>
      </c>
      <c r="Q49" s="22">
        <f t="shared" si="53"/>
        <v>322.95870071836066</v>
      </c>
      <c r="R49" s="62">
        <f t="shared" si="0"/>
        <v>616.29203405169392</v>
      </c>
      <c r="S49" s="62">
        <f ca="1">AVERAGE(OFFSET($R$3,0,0,'Données projet'!$E$9+1,1))-AVERAGE(OFFSET($H$3,0,0,'Données projet'!$E$9+1,1))</f>
        <v>411.98877330238821</v>
      </c>
      <c r="T49" s="62">
        <f t="shared" si="34"/>
        <v>256.4377087753457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1.9409820319211957</v>
      </c>
      <c r="AB49" s="23">
        <f>EXP(-LN(2)/2)*AB48+(1-EXP(-LN(2)/2))/(LN(2)/2)*V49*Y49*VLOOKUP('Données projet'!$B$9,Paramètres!$A$1:$I$89,3,0)*0.475*44/12</f>
        <v>5.4937591733300768E-2</v>
      </c>
      <c r="AC49" s="24">
        <f t="shared" si="3"/>
        <v>1.9959196236544965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9.8000000000000007</v>
      </c>
      <c r="AI49" s="14">
        <f>IF('Données projet'!$A$62&gt;35,AI48+AH49-AQ48,IF(A49&lt;'Données projet'!$A$62,$AF$205^A49,IF(A49='Données projet'!$A$62,'Données projet'!$B$62,AI48+AH49-AQ48)))</f>
        <v>212.7999999999999</v>
      </c>
      <c r="AJ49" s="14">
        <f>AI49*VLOOKUP('Données projet'!$B$10,Paramètres!$A$1:$I$89,3,0)*VLOOKUP('Données projet'!$B$10,Paramètres!$A$1:$I$89,5,0)</f>
        <v>222.4185599999999</v>
      </c>
      <c r="AK49" s="14">
        <f t="shared" si="35"/>
        <v>54.640212826336217</v>
      </c>
      <c r="AL49" s="22">
        <f t="shared" si="4"/>
        <v>482.54402933920204</v>
      </c>
      <c r="AM49" s="62">
        <f t="shared" si="5"/>
        <v>775.87736267253536</v>
      </c>
      <c r="AN49" s="62">
        <f ca="1">AVERAGE(OFFSET($AM$3,0,0,'Données projet'!$E$10+1,1))-AVERAGE(OFFSET($H$3,0,0,'Données projet'!$E$10+1,1))</f>
        <v>356.31271939877655</v>
      </c>
      <c r="AO49" s="62">
        <f t="shared" si="36"/>
        <v>499.70544707812991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25.979826566773024</v>
      </c>
      <c r="AW49" s="23">
        <f>EXP(-LN(2)/2)*AW48+(1-EXP(-LN(2)/2))/(LN(2)/2)*AQ49*AT49*VLOOKUP('Données projet'!$B$10,Paramètres!$A$1:$I$89,3,0)*0.475*44/12</f>
        <v>7.611341741819172E-2</v>
      </c>
      <c r="AX49" s="23">
        <f t="shared" si="6"/>
        <v>26.055939984191216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4.2</v>
      </c>
      <c r="BD49" s="13">
        <f>IF('Données projet'!$A$88&gt;35,BD48+BC49-BL48,IF(A49&lt;'Données projet'!$A$88,$BA$205^A49,IF(A49='Données projet'!$A$88,'Données projet'!$B$88,BD48+BC49-BL48)))</f>
        <v>110.19999999999995</v>
      </c>
      <c r="BE49" s="14">
        <f>BD49*VLOOKUP('Données projet'!$B$11,Paramètres!$A$1:$I$89,3,0)*VLOOKUP('Données projet'!$B$11,Paramètres!$A$1:$I$89,5,0)</f>
        <v>96.270719999999969</v>
      </c>
      <c r="BF49" s="14">
        <f t="shared" si="37"/>
        <v>26.071592384845928</v>
      </c>
      <c r="BG49" s="22">
        <f t="shared" si="7"/>
        <v>213.07952740360659</v>
      </c>
      <c r="BH49" s="62">
        <f t="shared" si="8"/>
        <v>506.41286073693993</v>
      </c>
      <c r="BI49" s="62">
        <f ca="1">AVERAGE(OFFSET($BH$3,0,0,'Données projet'!$E$11+1,1))-AVERAGE(OFFSET($H$3,0,0,'Données projet'!$E$11+1,1))</f>
        <v>195.30963433439501</v>
      </c>
      <c r="BJ49" s="62">
        <f t="shared" si="38"/>
        <v>185.00219255324504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9.8000000000000007</v>
      </c>
      <c r="BY49" s="13">
        <f>IF('Données projet'!$A$114&gt;35,BY48+BX49-CG48,IF(A49&lt;'Données projet'!$A$114,$BV$205^A49,IF(A49='Données projet'!$A$114,'Données projet'!$B$114,BY48+BX49-CG48)))</f>
        <v>212.7999999999999</v>
      </c>
      <c r="BZ49" s="14">
        <f>BY49*VLOOKUP('Données projet'!$B$12,Paramètres!$A$1:$I$89,3,0)*VLOOKUP('Données projet'!$B$12,Paramètres!$A$1:$I$89,5,0)</f>
        <v>185.90207999999993</v>
      </c>
      <c r="CA49" s="14">
        <f t="shared" si="39"/>
        <v>46.632814435744606</v>
      </c>
      <c r="CB49" s="22">
        <f t="shared" si="10"/>
        <v>404.9982744755884</v>
      </c>
      <c r="CC49" s="62">
        <f t="shared" si="11"/>
        <v>698.33160780892172</v>
      </c>
      <c r="CD49" s="62">
        <f ca="1">AVERAGE(OFFSET($CC$3,0,0,'Données projet'!$E$12+1,1))-AVERAGE(OFFSET($H$3,0,0,'Données projet'!$E$12+1,1))</f>
        <v>303.33040062722074</v>
      </c>
      <c r="CE49" s="62">
        <f t="shared" si="40"/>
        <v>425.30058672361548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21.714481906556557</v>
      </c>
      <c r="CM49" s="23">
        <f>EXP(-LN(2)/2)*CM48+(1-EXP(-LN(2)/2))/(LN(2)/2)*CG49*CJ49*VLOOKUP('Données projet'!$B$12,Paramètres!$A$1:$I$89,3,0)*0.475*44/12</f>
        <v>6.3617184707742302E-2</v>
      </c>
      <c r="CN49" s="24">
        <f t="shared" si="12"/>
        <v>21.778099091264298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11.5</v>
      </c>
      <c r="CT49" s="13">
        <f>IF('Données projet'!$A$140&gt;35,CT48+CS49-DB48,IF(A49&lt;'Données projet'!$A$140,$CQ$205^A49,IF(A49='Données projet'!$A$140,'Données projet'!$B$140,CT48+CS49-DB48)))</f>
        <v>330.99999999999989</v>
      </c>
      <c r="CU49" s="18">
        <f>CT49*VLOOKUP('Données projet'!$B$13,Paramètres!$A$1:$I$89,3,0)*VLOOKUP('Données projet'!$B$13,Paramètres!$A$1:$I$89,5,0)</f>
        <v>154.90799999999996</v>
      </c>
      <c r="CV49" s="14">
        <f t="shared" si="41"/>
        <v>39.691847670151873</v>
      </c>
      <c r="CW49" s="22">
        <f t="shared" si="13"/>
        <v>338.92806802551439</v>
      </c>
      <c r="CX49" s="62">
        <f t="shared" si="14"/>
        <v>632.26140135884771</v>
      </c>
      <c r="CY49" s="62">
        <f ca="1">AVERAGE(OFFSET($CX$3,0,0,'Données projet'!$E$13+1,1))-AVERAGE(OFFSET($H$3,0,0,'Données projet'!$E$13+1,1))</f>
        <v>396.92963589781414</v>
      </c>
      <c r="CZ49" s="62">
        <f t="shared" si="42"/>
        <v>294.38852181137639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155.95320000000004</v>
      </c>
      <c r="P50" s="14">
        <f t="shared" si="33"/>
        <v>39.928391937903875</v>
      </c>
      <c r="Q50" s="22">
        <f t="shared" si="53"/>
        <v>341.16043929184929</v>
      </c>
      <c r="R50" s="62">
        <f t="shared" si="0"/>
        <v>634.4937726251826</v>
      </c>
      <c r="S50" s="62">
        <f ca="1">AVERAGE(OFFSET($R$3,0,0,'Données projet'!$E$9+1,1))-AVERAGE(OFFSET($H$3,0,0,'Données projet'!$E$9+1,1))</f>
        <v>411.98877330238821</v>
      </c>
      <c r="T50" s="62">
        <f t="shared" si="34"/>
        <v>256.4377087753457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1.8879057761865017</v>
      </c>
      <c r="AB50" s="23">
        <f>EXP(-LN(2)/2)*AB49+(1-EXP(-LN(2)/2))/(LN(2)/2)*V50*Y50*VLOOKUP('Données projet'!$B$9,Paramètres!$A$1:$I$89,3,0)*0.475*44/12</f>
        <v>3.8846743656674988E-2</v>
      </c>
      <c r="AC50" s="24">
        <f t="shared" si="3"/>
        <v>1.9267525198431767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9.8000000000000007</v>
      </c>
      <c r="AI50" s="14">
        <f>IF('Données projet'!$A$62&gt;35,AI49+AH50-AQ49,IF(A50&lt;'Données projet'!$A$62,$AF$205^A50,IF(A50='Données projet'!$A$62,'Données projet'!$B$62,AI49+AH50-AQ49)))</f>
        <v>222.59999999999991</v>
      </c>
      <c r="AJ50" s="14">
        <f>AI50*VLOOKUP('Données projet'!$B$10,Paramètres!$A$1:$I$89,3,0)*VLOOKUP('Données projet'!$B$10,Paramètres!$A$1:$I$89,5,0)</f>
        <v>232.66151999999991</v>
      </c>
      <c r="AK50" s="14">
        <f t="shared" si="35"/>
        <v>56.857778463998805</v>
      </c>
      <c r="AL50" s="22">
        <f t="shared" si="4"/>
        <v>504.24611149146443</v>
      </c>
      <c r="AM50" s="62">
        <f t="shared" si="5"/>
        <v>797.57944482479775</v>
      </c>
      <c r="AN50" s="62">
        <f ca="1">AVERAGE(OFFSET($AM$3,0,0,'Données projet'!$E$10+1,1))-AVERAGE(OFFSET($H$3,0,0,'Données projet'!$E$10+1,1))</f>
        <v>356.31271939877655</v>
      </c>
      <c r="AO50" s="62">
        <f t="shared" si="36"/>
        <v>499.70544707812991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25.269406843084916</v>
      </c>
      <c r="AW50" s="23">
        <f>EXP(-LN(2)/2)*AW49+(1-EXP(-LN(2)/2))/(LN(2)/2)*AQ50*AT50*VLOOKUP('Données projet'!$B$10,Paramètres!$A$1:$I$89,3,0)*0.475*44/12</f>
        <v>5.3820313595685648E-2</v>
      </c>
      <c r="AX50" s="23">
        <f t="shared" si="6"/>
        <v>25.323227156680602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4.2</v>
      </c>
      <c r="BD50" s="13">
        <f>IF('Données projet'!$A$88&gt;35,BD49+BC50-BL49,IF(A50&lt;'Données projet'!$A$88,$BA$205^A50,IF(A50='Données projet'!$A$88,'Données projet'!$B$88,BD49+BC50-BL49)))</f>
        <v>114.39999999999995</v>
      </c>
      <c r="BE50" s="14">
        <f>BD50*VLOOKUP('Données projet'!$B$11,Paramètres!$A$1:$I$89,3,0)*VLOOKUP('Données projet'!$B$11,Paramètres!$A$1:$I$89,5,0)</f>
        <v>99.939839999999975</v>
      </c>
      <c r="BF50" s="14">
        <f t="shared" si="37"/>
        <v>26.947664756006503</v>
      </c>
      <c r="BG50" s="22">
        <f t="shared" si="7"/>
        <v>220.99573745004457</v>
      </c>
      <c r="BH50" s="62">
        <f t="shared" si="8"/>
        <v>514.32907078337792</v>
      </c>
      <c r="BI50" s="62">
        <f ca="1">AVERAGE(OFFSET($BH$3,0,0,'Données projet'!$E$11+1,1))-AVERAGE(OFFSET($H$3,0,0,'Données projet'!$E$11+1,1))</f>
        <v>195.30963433439501</v>
      </c>
      <c r="BJ50" s="62">
        <f t="shared" si="38"/>
        <v>185.00219255324504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9.8000000000000007</v>
      </c>
      <c r="BY50" s="13">
        <f>IF('Données projet'!$A$114&gt;35,BY49+BX50-CG49,IF(A50&lt;'Données projet'!$A$114,$BV$205^A50,IF(A50='Données projet'!$A$114,'Données projet'!$B$114,BY49+BX50-CG49)))</f>
        <v>222.59999999999991</v>
      </c>
      <c r="BZ50" s="14">
        <f>BY50*VLOOKUP('Données projet'!$B$12,Paramètres!$A$1:$I$89,3,0)*VLOOKUP('Données projet'!$B$12,Paramètres!$A$1:$I$89,5,0)</f>
        <v>194.46335999999994</v>
      </c>
      <c r="CA50" s="14">
        <f t="shared" si="39"/>
        <v>48.525400894162644</v>
      </c>
      <c r="CB50" s="22">
        <f t="shared" si="10"/>
        <v>423.20542522399978</v>
      </c>
      <c r="CC50" s="62">
        <f t="shared" si="11"/>
        <v>716.53875855733304</v>
      </c>
      <c r="CD50" s="62">
        <f ca="1">AVERAGE(OFFSET($CC$3,0,0,'Données projet'!$E$12+1,1))-AVERAGE(OFFSET($H$3,0,0,'Données projet'!$E$12+1,1))</f>
        <v>303.33040062722074</v>
      </c>
      <c r="CE50" s="62">
        <f t="shared" si="40"/>
        <v>425.30058672361548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21.120698256906795</v>
      </c>
      <c r="CM50" s="23">
        <f>EXP(-LN(2)/2)*CM49+(1-EXP(-LN(2)/2))/(LN(2)/2)*CG50*CJ50*VLOOKUP('Données projet'!$B$12,Paramètres!$A$1:$I$89,3,0)*0.475*44/12</f>
        <v>4.4984142706841715E-2</v>
      </c>
      <c r="CN50" s="24">
        <f t="shared" si="12"/>
        <v>21.165682399613637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11.5</v>
      </c>
      <c r="CT50" s="13">
        <f>IF('Données projet'!$A$140&gt;35,CT49+CS50-DB49,IF(A50&lt;'Données projet'!$A$140,$CQ$205^A50,IF(A50='Données projet'!$A$140,'Données projet'!$B$140,CT49+CS50-DB49)))</f>
        <v>342.49999999999989</v>
      </c>
      <c r="CU50" s="18">
        <f>CT50*VLOOKUP('Données projet'!$B$13,Paramètres!$A$1:$I$89,3,0)*VLOOKUP('Données projet'!$B$13,Paramètres!$A$1:$I$89,5,0)</f>
        <v>160.28999999999994</v>
      </c>
      <c r="CV50" s="14">
        <f t="shared" si="41"/>
        <v>40.907918820862015</v>
      </c>
      <c r="CW50" s="22">
        <f t="shared" si="13"/>
        <v>350.41970861300121</v>
      </c>
      <c r="CX50" s="62">
        <f t="shared" si="14"/>
        <v>643.75304194633452</v>
      </c>
      <c r="CY50" s="62">
        <f ca="1">AVERAGE(OFFSET($CX$3,0,0,'Données projet'!$E$13+1,1))-AVERAGE(OFFSET($H$3,0,0,'Données projet'!$E$13+1,1))</f>
        <v>396.92963589781414</v>
      </c>
      <c r="CZ50" s="62">
        <f t="shared" si="42"/>
        <v>294.38852181137639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164.47080000000005</v>
      </c>
      <c r="P51" s="14">
        <f t="shared" si="33"/>
        <v>41.849293714451377</v>
      </c>
      <c r="Q51" s="22">
        <f t="shared" si="53"/>
        <v>359.34082988600289</v>
      </c>
      <c r="R51" s="62">
        <f t="shared" si="0"/>
        <v>652.67416321933615</v>
      </c>
      <c r="S51" s="62">
        <f ca="1">AVERAGE(OFFSET($R$3,0,0,'Données projet'!$E$9+1,1))-AVERAGE(OFFSET($H$3,0,0,'Données projet'!$E$9+1,1))</f>
        <v>411.98877330238821</v>
      </c>
      <c r="T51" s="62">
        <f t="shared" si="34"/>
        <v>256.4377087753457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1.836280893456032</v>
      </c>
      <c r="AB51" s="23">
        <f>EXP(-LN(2)/2)*AB50+(1-EXP(-LN(2)/2))/(LN(2)/2)*V51*Y51*VLOOKUP('Données projet'!$B$9,Paramètres!$A$1:$I$89,3,0)*0.475*44/12</f>
        <v>2.7468795866650384E-2</v>
      </c>
      <c r="AC51" s="24">
        <f t="shared" si="3"/>
        <v>1.8637496893226824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9.8000000000000007</v>
      </c>
      <c r="AI51" s="14">
        <f>IF('Données projet'!$A$62&gt;35,AI50+AH51-AQ50,IF(A51&lt;'Données projet'!$A$62,$AF$205^A51,IF(A51='Données projet'!$A$62,'Données projet'!$B$62,AI50+AH51-AQ50)))</f>
        <v>232.39999999999992</v>
      </c>
      <c r="AJ51" s="14">
        <f>AI51*VLOOKUP('Données projet'!$B$10,Paramètres!$A$1:$I$89,3,0)*VLOOKUP('Données projet'!$B$10,Paramètres!$A$1:$I$89,5,0)</f>
        <v>242.90447999999995</v>
      </c>
      <c r="AK51" s="14">
        <f t="shared" si="35"/>
        <v>59.064005323726505</v>
      </c>
      <c r="AL51" s="22">
        <f t="shared" si="4"/>
        <v>525.92844527215686</v>
      </c>
      <c r="AM51" s="62">
        <f t="shared" si="5"/>
        <v>819.26177860549024</v>
      </c>
      <c r="AN51" s="62">
        <f ca="1">AVERAGE(OFFSET($AM$3,0,0,'Données projet'!$E$10+1,1))-AVERAGE(OFFSET($H$3,0,0,'Données projet'!$E$10+1,1))</f>
        <v>356.31271939877655</v>
      </c>
      <c r="AO51" s="62">
        <f t="shared" si="36"/>
        <v>499.70544707812991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24.578413584100407</v>
      </c>
      <c r="AW51" s="23">
        <f>EXP(-LN(2)/2)*AW50+(1-EXP(-LN(2)/2))/(LN(2)/2)*AQ51*AT51*VLOOKUP('Données projet'!$B$10,Paramètres!$A$1:$I$89,3,0)*0.475*44/12</f>
        <v>3.805670870909586E-2</v>
      </c>
      <c r="AX51" s="23">
        <f t="shared" si="6"/>
        <v>24.616470292809502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4.2</v>
      </c>
      <c r="BD51" s="13">
        <f>IF('Données projet'!$A$88&gt;35,BD50+BC51-BL50,IF(A51&lt;'Données projet'!$A$88,$BA$205^A51,IF(A51='Données projet'!$A$88,'Données projet'!$B$88,BD50+BC51-BL50)))</f>
        <v>118.59999999999995</v>
      </c>
      <c r="BE51" s="14">
        <f>BD51*VLOOKUP('Données projet'!$B$11,Paramètres!$A$1:$I$89,3,0)*VLOOKUP('Données projet'!$B$11,Paramètres!$A$1:$I$89,5,0)</f>
        <v>103.60895999999998</v>
      </c>
      <c r="BF51" s="14">
        <f t="shared" si="37"/>
        <v>27.820000397643376</v>
      </c>
      <c r="BG51" s="22">
        <f t="shared" si="7"/>
        <v>228.90543935922884</v>
      </c>
      <c r="BH51" s="62">
        <f t="shared" si="8"/>
        <v>522.23877269256218</v>
      </c>
      <c r="BI51" s="62">
        <f ca="1">AVERAGE(OFFSET($BH$3,0,0,'Données projet'!$E$11+1,1))-AVERAGE(OFFSET($H$3,0,0,'Données projet'!$E$11+1,1))</f>
        <v>195.30963433439501</v>
      </c>
      <c r="BJ51" s="62">
        <f t="shared" si="38"/>
        <v>185.00219255324504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9.8000000000000007</v>
      </c>
      <c r="BY51" s="13">
        <f>IF('Données projet'!$A$114&gt;35,BY50+BX51-CG50,IF(A51&lt;'Données projet'!$A$114,$BV$205^A51,IF(A51='Données projet'!$A$114,'Données projet'!$B$114,BY50+BX51-CG50)))</f>
        <v>232.39999999999992</v>
      </c>
      <c r="BZ51" s="14">
        <f>BY51*VLOOKUP('Données projet'!$B$12,Paramètres!$A$1:$I$89,3,0)*VLOOKUP('Données projet'!$B$12,Paramètres!$A$1:$I$89,5,0)</f>
        <v>203.02463999999998</v>
      </c>
      <c r="CA51" s="14">
        <f t="shared" si="39"/>
        <v>50.408310246654189</v>
      </c>
      <c r="CB51" s="22">
        <f t="shared" si="10"/>
        <v>441.39572167958931</v>
      </c>
      <c r="CC51" s="62">
        <f t="shared" si="11"/>
        <v>734.72905501292257</v>
      </c>
      <c r="CD51" s="62">
        <f ca="1">AVERAGE(OFFSET($CC$3,0,0,'Données projet'!$E$12+1,1))-AVERAGE(OFFSET($H$3,0,0,'Données projet'!$E$12+1,1))</f>
        <v>303.33040062722074</v>
      </c>
      <c r="CE51" s="62">
        <f t="shared" si="40"/>
        <v>425.30058672361548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20.543151652382431</v>
      </c>
      <c r="CM51" s="23">
        <f>EXP(-LN(2)/2)*CM50+(1-EXP(-LN(2)/2))/(LN(2)/2)*CG51*CJ51*VLOOKUP('Données projet'!$B$12,Paramètres!$A$1:$I$89,3,0)*0.475*44/12</f>
        <v>3.1808592353871151E-2</v>
      </c>
      <c r="CN51" s="24">
        <f t="shared" si="12"/>
        <v>20.574960244736303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11.5</v>
      </c>
      <c r="CT51" s="13">
        <f>IF('Données projet'!$A$140&gt;35,CT50+CS51-DB50,IF(A51&lt;'Données projet'!$A$140,$CQ$205^A51,IF(A51='Données projet'!$A$140,'Données projet'!$B$140,CT50+CS51-DB50)))</f>
        <v>353.99999999999989</v>
      </c>
      <c r="CU51" s="18">
        <f>CT51*VLOOKUP('Données projet'!$B$13,Paramètres!$A$1:$I$89,3,0)*VLOOKUP('Données projet'!$B$13,Paramètres!$A$1:$I$89,5,0)</f>
        <v>165.67199999999994</v>
      </c>
      <c r="CV51" s="14">
        <f t="shared" si="41"/>
        <v>42.119245508815517</v>
      </c>
      <c r="CW51" s="22">
        <f t="shared" si="13"/>
        <v>361.90308592785351</v>
      </c>
      <c r="CX51" s="62">
        <f t="shared" si="14"/>
        <v>655.23641926118682</v>
      </c>
      <c r="CY51" s="62">
        <f ca="1">AVERAGE(OFFSET($CX$3,0,0,'Données projet'!$E$13+1,1))-AVERAGE(OFFSET($H$3,0,0,'Données projet'!$E$13+1,1))</f>
        <v>396.92963589781414</v>
      </c>
      <c r="CZ51" s="62">
        <f t="shared" si="42"/>
        <v>294.38852181137639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172.98840000000007</v>
      </c>
      <c r="P52" s="14">
        <f t="shared" si="33"/>
        <v>43.758645457754092</v>
      </c>
      <c r="Q52" s="22">
        <f t="shared" si="53"/>
        <v>377.50110417225511</v>
      </c>
      <c r="R52" s="62">
        <f t="shared" si="0"/>
        <v>670.83443750558843</v>
      </c>
      <c r="S52" s="62">
        <f ca="1">AVERAGE(OFFSET($R$3,0,0,'Données projet'!$E$9+1,1))-AVERAGE(OFFSET($H$3,0,0,'Données projet'!$E$9+1,1))</f>
        <v>411.98877330238821</v>
      </c>
      <c r="T52" s="62">
        <f t="shared" si="34"/>
        <v>256.4377087753457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1.7860676958586614</v>
      </c>
      <c r="AB52" s="23">
        <f>EXP(-LN(2)/2)*AB51+(1-EXP(-LN(2)/2))/(LN(2)/2)*V52*Y52*VLOOKUP('Données projet'!$B$9,Paramètres!$A$1:$I$89,3,0)*0.475*44/12</f>
        <v>1.9423371828337494E-2</v>
      </c>
      <c r="AC52" s="24">
        <f t="shared" si="3"/>
        <v>1.8054910676869989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9.8000000000000007</v>
      </c>
      <c r="AI52" s="14">
        <f>IF('Données projet'!$A$62&gt;35,AI51+AH52-AQ51,IF(A52&lt;'Données projet'!$A$62,$AF$205^A52,IF(A52='Données projet'!$A$62,'Données projet'!$B$62,AI51+AH52-AQ51)))</f>
        <v>242.19999999999993</v>
      </c>
      <c r="AJ52" s="14">
        <f>AI52*VLOOKUP('Données projet'!$B$10,Paramètres!$A$1:$I$89,3,0)*VLOOKUP('Données projet'!$B$10,Paramètres!$A$1:$I$89,5,0)</f>
        <v>253.14743999999996</v>
      </c>
      <c r="AK52" s="14">
        <f t="shared" si="35"/>
        <v>61.259426216625307</v>
      </c>
      <c r="AL52" s="22">
        <f t="shared" si="4"/>
        <v>547.59195866062225</v>
      </c>
      <c r="AM52" s="62">
        <f t="shared" si="5"/>
        <v>840.92529199395563</v>
      </c>
      <c r="AN52" s="62">
        <f ca="1">AVERAGE(OFFSET($AM$3,0,0,'Données projet'!$E$10+1,1))-AVERAGE(OFFSET($H$3,0,0,'Données projet'!$E$10+1,1))</f>
        <v>356.31271939877655</v>
      </c>
      <c r="AO52" s="62">
        <f t="shared" si="36"/>
        <v>499.70544707812991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23.906315572120587</v>
      </c>
      <c r="AW52" s="23">
        <f>EXP(-LN(2)/2)*AW51+(1-EXP(-LN(2)/2))/(LN(2)/2)*AQ52*AT52*VLOOKUP('Données projet'!$B$10,Paramètres!$A$1:$I$89,3,0)*0.475*44/12</f>
        <v>2.6910156797842824E-2</v>
      </c>
      <c r="AX52" s="23">
        <f t="shared" si="6"/>
        <v>23.93322572891843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4.2</v>
      </c>
      <c r="BD52" s="13">
        <f>IF('Données projet'!$A$88&gt;35,BD51+BC52-BL51,IF(A52&lt;'Données projet'!$A$88,$BA$205^A52,IF(A52='Données projet'!$A$88,'Données projet'!$B$88,BD51+BC52-BL51)))</f>
        <v>122.79999999999995</v>
      </c>
      <c r="BE52" s="14">
        <f>BD52*VLOOKUP('Données projet'!$B$11,Paramètres!$A$1:$I$89,3,0)*VLOOKUP('Données projet'!$B$11,Paramètres!$A$1:$I$89,5,0)</f>
        <v>107.27807999999999</v>
      </c>
      <c r="BF52" s="14">
        <f t="shared" si="37"/>
        <v>28.688746800886673</v>
      </c>
      <c r="BG52" s="22">
        <f t="shared" si="7"/>
        <v>236.80889001154424</v>
      </c>
      <c r="BH52" s="62">
        <f t="shared" si="8"/>
        <v>530.14222334487749</v>
      </c>
      <c r="BI52" s="62">
        <f ca="1">AVERAGE(OFFSET($BH$3,0,0,'Données projet'!$E$11+1,1))-AVERAGE(OFFSET($H$3,0,0,'Données projet'!$E$11+1,1))</f>
        <v>195.30963433439501</v>
      </c>
      <c r="BJ52" s="62">
        <f t="shared" si="38"/>
        <v>185.00219255324504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9.8000000000000007</v>
      </c>
      <c r="BY52" s="13">
        <f>IF('Données projet'!$A$114&gt;35,BY51+BX52-CG51,IF(A52&lt;'Données projet'!$A$114,$BV$205^A52,IF(A52='Données projet'!$A$114,'Données projet'!$B$114,BY51+BX52-CG51)))</f>
        <v>242.19999999999993</v>
      </c>
      <c r="BZ52" s="14">
        <f>BY52*VLOOKUP('Données projet'!$B$12,Paramètres!$A$1:$I$89,3,0)*VLOOKUP('Données projet'!$B$12,Paramètres!$A$1:$I$89,5,0)</f>
        <v>211.58591999999996</v>
      </c>
      <c r="CA52" s="14">
        <f t="shared" si="39"/>
        <v>52.281997222074629</v>
      </c>
      <c r="CB52" s="22">
        <f t="shared" si="10"/>
        <v>459.56995582844655</v>
      </c>
      <c r="CC52" s="62">
        <f t="shared" si="11"/>
        <v>752.90328916177987</v>
      </c>
      <c r="CD52" s="62">
        <f ca="1">AVERAGE(OFFSET($CC$3,0,0,'Données projet'!$E$12+1,1))-AVERAGE(OFFSET($H$3,0,0,'Données projet'!$E$12+1,1))</f>
        <v>303.33040062722074</v>
      </c>
      <c r="CE52" s="62">
        <f t="shared" si="40"/>
        <v>425.30058672361548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19.981398090130639</v>
      </c>
      <c r="CM52" s="23">
        <f>EXP(-LN(2)/2)*CM51+(1-EXP(-LN(2)/2))/(LN(2)/2)*CG52*CJ52*VLOOKUP('Données projet'!$B$12,Paramètres!$A$1:$I$89,3,0)*0.475*44/12</f>
        <v>2.2492071353420857E-2</v>
      </c>
      <c r="CN52" s="24">
        <f t="shared" si="12"/>
        <v>20.003890161484062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11.5</v>
      </c>
      <c r="CT52" s="13">
        <f>IF('Données projet'!$A$140&gt;35,CT51+CS52-DB51,IF(A52&lt;'Données projet'!$A$140,$CQ$205^A52,IF(A52='Données projet'!$A$140,'Données projet'!$B$140,CT51+CS52-DB51)))</f>
        <v>365.49999999999989</v>
      </c>
      <c r="CU52" s="18">
        <f>CT52*VLOOKUP('Données projet'!$B$13,Paramètres!$A$1:$I$89,3,0)*VLOOKUP('Données projet'!$B$13,Paramètres!$A$1:$I$89,5,0)</f>
        <v>171.05399999999995</v>
      </c>
      <c r="CV52" s="14">
        <f t="shared" si="41"/>
        <v>43.32599953897904</v>
      </c>
      <c r="CW52" s="22">
        <f t="shared" si="13"/>
        <v>373.37849919705508</v>
      </c>
      <c r="CX52" s="62">
        <f t="shared" si="14"/>
        <v>666.71183253038839</v>
      </c>
      <c r="CY52" s="62">
        <f ca="1">AVERAGE(OFFSET($CX$3,0,0,'Données projet'!$E$13+1,1))-AVERAGE(OFFSET($H$3,0,0,'Données projet'!$E$13+1,1))</f>
        <v>396.92963589781414</v>
      </c>
      <c r="CZ52" s="62">
        <f t="shared" si="42"/>
        <v>294.38852181137639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181.50600000000006</v>
      </c>
      <c r="P53" s="14">
        <f t="shared" si="33"/>
        <v>45.657080773122978</v>
      </c>
      <c r="Q53" s="22">
        <f t="shared" si="53"/>
        <v>395.64236567985591</v>
      </c>
      <c r="R53" s="62">
        <f t="shared" si="0"/>
        <v>688.97569901318923</v>
      </c>
      <c r="S53" s="62">
        <f ca="1">AVERAGE(OFFSET($R$3,0,0,'Données projet'!$E$9+1,1))-AVERAGE(OFFSET($H$3,0,0,'Données projet'!$E$9+1,1))</f>
        <v>411.98877330238821</v>
      </c>
      <c r="T53" s="62">
        <f t="shared" si="34"/>
        <v>256.4377087753457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1.7372275807901882</v>
      </c>
      <c r="AB53" s="23">
        <f>EXP(-LN(2)/2)*AB52+(1-EXP(-LN(2)/2))/(LN(2)/2)*V53*Y53*VLOOKUP('Données projet'!$B$9,Paramètres!$A$1:$I$89,3,0)*0.475*44/12</f>
        <v>1.3734397933325192E-2</v>
      </c>
      <c r="AC53" s="24">
        <f t="shared" si="3"/>
        <v>1.7509619787235133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252</v>
      </c>
      <c r="AG53" s="13">
        <f>VLOOKUP(A53,'Données projet'!$A$61:$I$81,9,0)</f>
        <v>9.8000000000000007</v>
      </c>
      <c r="AH53" s="13">
        <f t="array" ref="AH53">INDEX(AG:AG,MIN(IF(ISNUMBER(AG53:AG249),ROW(AG53:AG249),"")))</f>
        <v>9.8000000000000007</v>
      </c>
      <c r="AI53" s="14">
        <f>IF('Données projet'!$A$62&gt;35,AI52+AH53-AQ52,IF(A53&lt;'Données projet'!$A$62,$AF$205^A53,IF(A53='Données projet'!$A$62,'Données projet'!$B$62,AI52+AH53-AQ52)))</f>
        <v>251.99999999999994</v>
      </c>
      <c r="AJ53" s="14">
        <f>AI53*VLOOKUP('Données projet'!$B$10,Paramètres!$A$1:$I$89,3,0)*VLOOKUP('Données projet'!$B$10,Paramètres!$A$1:$I$89,5,0)</f>
        <v>263.39039999999994</v>
      </c>
      <c r="AK53" s="14">
        <f t="shared" si="35"/>
        <v>63.444528395882578</v>
      </c>
      <c r="AL53" s="22">
        <f t="shared" si="4"/>
        <v>569.2375002894953</v>
      </c>
      <c r="AM53" s="62">
        <f t="shared" si="5"/>
        <v>862.57083362282856</v>
      </c>
      <c r="AN53" s="62">
        <f ca="1">AVERAGE(OFFSET($AM$3,0,0,'Données projet'!$E$10+1,1))-AVERAGE(OFFSET($H$3,0,0,'Données projet'!$E$10+1,1))</f>
        <v>356.31271939877655</v>
      </c>
      <c r="AO53" s="62">
        <f t="shared" si="36"/>
        <v>499.70544707812991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23.252596115622453</v>
      </c>
      <c r="AW53" s="23">
        <f>EXP(-LN(2)/2)*AW52+(1-EXP(-LN(2)/2))/(LN(2)/2)*AQ53*AT53*VLOOKUP('Données projet'!$B$10,Paramètres!$A$1:$I$89,3,0)*0.475*44/12</f>
        <v>1.902835435454793E-2</v>
      </c>
      <c r="AX53" s="23">
        <f t="shared" si="6"/>
        <v>23.271624469976999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127</v>
      </c>
      <c r="BB53" s="13">
        <f>VLOOKUP(A53,'Données projet'!$A$87:$I$107,9,0)</f>
        <v>4.2</v>
      </c>
      <c r="BC53" s="13">
        <f t="array" ref="BC53">INDEX(BB:BB,MIN(IF(ISNUMBER(BB53:BB249),ROW(BB53:BB249),"")))</f>
        <v>4.2</v>
      </c>
      <c r="BD53" s="13">
        <f>IF('Données projet'!$A$88&gt;35,BD52+BC53-BL52,IF(A53&lt;'Données projet'!$A$88,$BA$205^A53,IF(A53='Données projet'!$A$88,'Données projet'!$B$88,BD52+BC53-BL52)))</f>
        <v>126.99999999999996</v>
      </c>
      <c r="BE53" s="14">
        <f>BD53*VLOOKUP('Données projet'!$B$11,Paramètres!$A$1:$I$89,3,0)*VLOOKUP('Données projet'!$B$11,Paramètres!$A$1:$I$89,5,0)</f>
        <v>110.94719999999997</v>
      </c>
      <c r="BF53" s="14">
        <f t="shared" si="37"/>
        <v>29.554040795615606</v>
      </c>
      <c r="BG53" s="22">
        <f t="shared" si="7"/>
        <v>244.70632771903044</v>
      </c>
      <c r="BH53" s="62">
        <f t="shared" si="8"/>
        <v>538.03966105236373</v>
      </c>
      <c r="BI53" s="62">
        <f ca="1">AVERAGE(OFFSET($BH$3,0,0,'Données projet'!$E$11+1,1))-AVERAGE(OFFSET($H$3,0,0,'Données projet'!$E$11+1,1))</f>
        <v>195.30963433439501</v>
      </c>
      <c r="BJ53" s="62">
        <f t="shared" si="38"/>
        <v>185.00219255324504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11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252</v>
      </c>
      <c r="BW53" s="13">
        <f>VLOOKUP(A53,'Données projet'!$A$113:$I$133,9,0)</f>
        <v>9.8000000000000007</v>
      </c>
      <c r="BX53" s="13">
        <f t="array" ref="BX53">INDEX(BW:BW,MIN(IF(ISNUMBER(BW53:BW249),ROW(BW53:BW249),"")))</f>
        <v>9.8000000000000007</v>
      </c>
      <c r="BY53" s="13">
        <f>IF('Données projet'!$A$114&gt;35,BY52+BX53-CG52,IF(A53&lt;'Données projet'!$A$114,$BV$205^A53,IF(A53='Données projet'!$A$114,'Données projet'!$B$114,BY52+BX53-CG52)))</f>
        <v>251.99999999999994</v>
      </c>
      <c r="BZ53" s="14">
        <f>BY53*VLOOKUP('Données projet'!$B$12,Paramètres!$A$1:$I$89,3,0)*VLOOKUP('Données projet'!$B$12,Paramètres!$A$1:$I$89,5,0)</f>
        <v>220.14719999999997</v>
      </c>
      <c r="CA53" s="14">
        <f t="shared" si="39"/>
        <v>54.146877667769637</v>
      </c>
      <c r="CB53" s="22">
        <f t="shared" si="10"/>
        <v>477.72885193803205</v>
      </c>
      <c r="CC53" s="62">
        <f t="shared" si="11"/>
        <v>771.06218527136537</v>
      </c>
      <c r="CD53" s="62">
        <f ca="1">AVERAGE(OFFSET($CC$3,0,0,'Données projet'!$E$12+1,1))-AVERAGE(OFFSET($H$3,0,0,'Données projet'!$E$12+1,1))</f>
        <v>303.33040062722074</v>
      </c>
      <c r="CE53" s="62">
        <f t="shared" si="40"/>
        <v>425.30058672361548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37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19.435005708579961</v>
      </c>
      <c r="CM53" s="23">
        <f>EXP(-LN(2)/2)*CM52+(1-EXP(-LN(2)/2))/(LN(2)/2)*CG53*CJ53*VLOOKUP('Données projet'!$B$12,Paramètres!$A$1:$I$89,3,0)*0.475*44/12</f>
        <v>1.5904296176935576E-2</v>
      </c>
      <c r="CN53" s="24">
        <f t="shared" si="12"/>
        <v>19.450910004756896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377</v>
      </c>
      <c r="CR53" s="13">
        <f>VLOOKUP(A53,'Données projet'!$A$139:$I$159,9,0)</f>
        <v>11.5</v>
      </c>
      <c r="CS53" s="13">
        <f t="array" ref="CS53">INDEX(CR:CR,MIN(IF(ISNUMBER(CR53:CR249),ROW(CR53:CR249),"")))</f>
        <v>11.5</v>
      </c>
      <c r="CT53" s="13">
        <f>IF('Données projet'!$A$140&gt;35,CT52+CS53-DB52,IF(A53&lt;'Données projet'!$A$140,$CQ$205^A53,IF(A53='Données projet'!$A$140,'Données projet'!$B$140,CT52+CS53-DB52)))</f>
        <v>376.99999999999989</v>
      </c>
      <c r="CU53" s="18">
        <f>CT53*VLOOKUP('Données projet'!$B$13,Paramètres!$A$1:$I$89,3,0)*VLOOKUP('Données projet'!$B$13,Paramètres!$A$1:$I$89,5,0)</f>
        <v>176.43599999999992</v>
      </c>
      <c r="CV53" s="14">
        <f t="shared" si="41"/>
        <v>44.52834129105058</v>
      </c>
      <c r="CW53" s="22">
        <f t="shared" si="13"/>
        <v>384.84622774857962</v>
      </c>
      <c r="CX53" s="62">
        <f t="shared" si="14"/>
        <v>678.17956108191288</v>
      </c>
      <c r="CY53" s="62">
        <f ca="1">AVERAGE(OFFSET($CX$3,0,0,'Données projet'!$E$13+1,1))-AVERAGE(OFFSET($H$3,0,0,'Données projet'!$E$13+1,1))</f>
        <v>396.92963589781414</v>
      </c>
      <c r="CZ53" s="62">
        <f t="shared" si="42"/>
        <v>294.38852181137639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168.32400000000007</v>
      </c>
      <c r="P54" s="14">
        <f t="shared" si="33"/>
        <v>42.71443916408608</v>
      </c>
      <c r="Q54" s="22">
        <f t="shared" si="53"/>
        <v>367.55861487745005</v>
      </c>
      <c r="R54" s="62">
        <f t="shared" si="0"/>
        <v>660.89194821078331</v>
      </c>
      <c r="S54" s="62">
        <f ca="1">AVERAGE(OFFSET($R$3,0,0,'Données projet'!$E$9+1,1))-AVERAGE(OFFSET($H$3,0,0,'Données projet'!$E$9+1,1))</f>
        <v>411.98877330238821</v>
      </c>
      <c r="T54" s="62">
        <f t="shared" si="34"/>
        <v>256.4377087753457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1.6897230012366526</v>
      </c>
      <c r="AB54" s="23">
        <f>EXP(-LN(2)/2)*AB53+(1-EXP(-LN(2)/2))/(LN(2)/2)*V54*Y54*VLOOKUP('Données projet'!$B$9,Paramètres!$A$1:$I$89,3,0)*0.475*44/12</f>
        <v>9.7116859141687471E-3</v>
      </c>
      <c r="AC54" s="24">
        <f t="shared" si="3"/>
        <v>1.6994346871508215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223.59999999999997</v>
      </c>
      <c r="AJ54" s="14">
        <f>AI54*VLOOKUP('Données projet'!$B$10,Paramètres!$A$1:$I$89,3,0)*VLOOKUP('Données projet'!$B$10,Paramètres!$A$1:$I$89,5,0)</f>
        <v>233.70671999999999</v>
      </c>
      <c r="AK54" s="14">
        <f t="shared" si="35"/>
        <v>57.083413771970164</v>
      </c>
      <c r="AL54" s="22">
        <f t="shared" si="4"/>
        <v>506.45948298618129</v>
      </c>
      <c r="AM54" s="62">
        <f t="shared" si="5"/>
        <v>799.7928163195146</v>
      </c>
      <c r="AN54" s="62">
        <f ca="1">AVERAGE(OFFSET($AM$3,0,0,'Données projet'!$E$10+1,1))-AVERAGE(OFFSET($H$3,0,0,'Données projet'!$E$10+1,1))</f>
        <v>356.31271939877655</v>
      </c>
      <c r="AO54" s="62">
        <f t="shared" si="36"/>
        <v>499.70544707812991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22.616752652039871</v>
      </c>
      <c r="AW54" s="23">
        <f>EXP(-LN(2)/2)*AW53+(1-EXP(-LN(2)/2))/(LN(2)/2)*AQ54*AT54*VLOOKUP('Données projet'!$B$10,Paramètres!$A$1:$I$89,3,0)*0.475*44/12</f>
        <v>1.3455078398921412E-2</v>
      </c>
      <c r="AX54" s="23">
        <f t="shared" si="6"/>
        <v>22.630207730438791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3.6</v>
      </c>
      <c r="BD54" s="13">
        <f>IF('Données projet'!$A$88&gt;35,BD53+BC54-BL53,IF(A54&lt;'Données projet'!$A$88,$BA$205^A54,IF(A54='Données projet'!$A$88,'Données projet'!$B$88,BD53+BC54-BL53)))</f>
        <v>119.59999999999997</v>
      </c>
      <c r="BE54" s="14">
        <f>BD54*VLOOKUP('Données projet'!$B$11,Paramètres!$A$1:$I$89,3,0)*VLOOKUP('Données projet'!$B$11,Paramètres!$A$1:$I$89,5,0)</f>
        <v>104.48255999999998</v>
      </c>
      <c r="BF54" s="14">
        <f t="shared" si="37"/>
        <v>28.02716504477474</v>
      </c>
      <c r="BG54" s="22">
        <f t="shared" si="7"/>
        <v>230.78777111964928</v>
      </c>
      <c r="BH54" s="62">
        <f t="shared" si="8"/>
        <v>524.12110445298254</v>
      </c>
      <c r="BI54" s="62">
        <f ca="1">AVERAGE(OFFSET($BH$3,0,0,'Données projet'!$E$11+1,1))-AVERAGE(OFFSET($H$3,0,0,'Données projet'!$E$11+1,1))</f>
        <v>195.30963433439501</v>
      </c>
      <c r="BJ54" s="62">
        <f t="shared" si="38"/>
        <v>185.00219255324504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8.6</v>
      </c>
      <c r="BY54" s="13">
        <f>IF('Données projet'!$A$114&gt;35,BY53+BX54-CG53,IF(A54&lt;'Données projet'!$A$114,$BV$205^A54,IF(A54='Données projet'!$A$114,'Données projet'!$B$114,BY53+BX54-CG53)))</f>
        <v>223.59999999999997</v>
      </c>
      <c r="BZ54" s="14">
        <f>BY54*VLOOKUP('Données projet'!$B$12,Paramètres!$A$1:$I$89,3,0)*VLOOKUP('Données projet'!$B$12,Paramètres!$A$1:$I$89,5,0)</f>
        <v>195.33696</v>
      </c>
      <c r="CA54" s="14">
        <f t="shared" si="39"/>
        <v>48.717969863105488</v>
      </c>
      <c r="CB54" s="22">
        <f t="shared" si="10"/>
        <v>425.06233617824205</v>
      </c>
      <c r="CC54" s="62">
        <f t="shared" si="11"/>
        <v>718.39566951157531</v>
      </c>
      <c r="CD54" s="62">
        <f ca="1">AVERAGE(OFFSET($CC$3,0,0,'Données projet'!$E$12+1,1))-AVERAGE(OFFSET($H$3,0,0,'Données projet'!$E$12+1,1))</f>
        <v>303.33040062722074</v>
      </c>
      <c r="CE54" s="62">
        <f t="shared" si="40"/>
        <v>425.30058672361548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18.903554455436311</v>
      </c>
      <c r="CM54" s="23">
        <f>EXP(-LN(2)/2)*CM53+(1-EXP(-LN(2)/2))/(LN(2)/2)*CG54*CJ54*VLOOKUP('Données projet'!$B$12,Paramètres!$A$1:$I$89,3,0)*0.475*44/12</f>
        <v>1.1246035676710429E-2</v>
      </c>
      <c r="CN54" s="24">
        <f t="shared" si="12"/>
        <v>18.91480049111302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13.5</v>
      </c>
      <c r="CT54" s="13">
        <f>IF('Données projet'!$A$140&gt;35,CT53+CS54-DB53,IF(A54&lt;'Données projet'!$A$140,$CQ$205^A54,IF(A54='Données projet'!$A$140,'Données projet'!$B$140,CT53+CS54-DB53)))</f>
        <v>390.49999999999989</v>
      </c>
      <c r="CU54" s="18">
        <f>CT54*VLOOKUP('Données projet'!$B$13,Paramètres!$A$1:$I$89,3,0)*VLOOKUP('Données projet'!$B$13,Paramètres!$A$1:$I$89,5,0)</f>
        <v>182.75399999999996</v>
      </c>
      <c r="CV54" s="14">
        <f t="shared" si="41"/>
        <v>45.934357911110212</v>
      </c>
      <c r="CW54" s="22">
        <f t="shared" si="13"/>
        <v>398.29889002851684</v>
      </c>
      <c r="CX54" s="62">
        <f t="shared" si="14"/>
        <v>691.63222336185015</v>
      </c>
      <c r="CY54" s="62">
        <f ca="1">AVERAGE(OFFSET($CX$3,0,0,'Données projet'!$E$13+1,1))-AVERAGE(OFFSET($H$3,0,0,'Données projet'!$E$13+1,1))</f>
        <v>396.92963589781414</v>
      </c>
      <c r="CZ54" s="62">
        <f t="shared" si="42"/>
        <v>294.38852181137639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176.43600000000006</v>
      </c>
      <c r="P55" s="14">
        <f t="shared" si="33"/>
        <v>44.528341291050616</v>
      </c>
      <c r="Q55" s="22">
        <f t="shared" si="53"/>
        <v>384.84622774857991</v>
      </c>
      <c r="R55" s="62">
        <f t="shared" si="0"/>
        <v>678.17956108191322</v>
      </c>
      <c r="S55" s="62">
        <f ca="1">AVERAGE(OFFSET($R$3,0,0,'Données projet'!$E$9+1,1))-AVERAGE(OFFSET($H$3,0,0,'Données projet'!$E$9+1,1))</f>
        <v>411.98877330238821</v>
      </c>
      <c r="T55" s="62">
        <f t="shared" si="34"/>
        <v>256.4377087753457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1.6435174369091656</v>
      </c>
      <c r="AB55" s="23">
        <f>EXP(-LN(2)/2)*AB54+(1-EXP(-LN(2)/2))/(LN(2)/2)*V55*Y55*VLOOKUP('Données projet'!$B$9,Paramètres!$A$1:$I$89,3,0)*0.475*44/12</f>
        <v>6.867198966662596E-3</v>
      </c>
      <c r="AC55" s="24">
        <f t="shared" si="3"/>
        <v>1.6503846358758283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232.19999999999996</v>
      </c>
      <c r="AJ55" s="14">
        <f>AI55*VLOOKUP('Données projet'!$B$10,Paramètres!$A$1:$I$89,3,0)*VLOOKUP('Données projet'!$B$10,Paramètres!$A$1:$I$89,5,0)</f>
        <v>242.69543999999999</v>
      </c>
      <c r="AK55" s="14">
        <f t="shared" si="35"/>
        <v>59.019090031230249</v>
      </c>
      <c r="AL55" s="22">
        <f t="shared" si="4"/>
        <v>525.48613980439268</v>
      </c>
      <c r="AM55" s="62">
        <f t="shared" si="5"/>
        <v>818.81947313772594</v>
      </c>
      <c r="AN55" s="62">
        <f ca="1">AVERAGE(OFFSET($AM$3,0,0,'Données projet'!$E$10+1,1))-AVERAGE(OFFSET($H$3,0,0,'Données projet'!$E$10+1,1))</f>
        <v>356.31271939877655</v>
      </c>
      <c r="AO55" s="62">
        <f t="shared" si="36"/>
        <v>499.70544707812991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21.99829636140651</v>
      </c>
      <c r="AW55" s="23">
        <f>EXP(-LN(2)/2)*AW54+(1-EXP(-LN(2)/2))/(LN(2)/2)*AQ55*AT55*VLOOKUP('Données projet'!$B$10,Paramètres!$A$1:$I$89,3,0)*0.475*44/12</f>
        <v>9.514177177273965E-3</v>
      </c>
      <c r="AX55" s="23">
        <f t="shared" si="6"/>
        <v>22.007810538583783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3.6</v>
      </c>
      <c r="BD55" s="13">
        <f>IF('Données projet'!$A$88&gt;35,BD54+BC55-BL54,IF(A55&lt;'Données projet'!$A$88,$BA$205^A55,IF(A55='Données projet'!$A$88,'Données projet'!$B$88,BD54+BC55-BL54)))</f>
        <v>123.19999999999996</v>
      </c>
      <c r="BE55" s="14">
        <f>BD55*VLOOKUP('Données projet'!$B$11,Paramètres!$A$1:$I$89,3,0)*VLOOKUP('Données projet'!$B$11,Paramètres!$A$1:$I$89,5,0)</f>
        <v>107.62751999999999</v>
      </c>
      <c r="BF55" s="14">
        <f t="shared" si="37"/>
        <v>28.771302425776422</v>
      </c>
      <c r="BG55" s="22">
        <f t="shared" si="7"/>
        <v>237.56128239156058</v>
      </c>
      <c r="BH55" s="62">
        <f t="shared" si="8"/>
        <v>530.89461572489392</v>
      </c>
      <c r="BI55" s="62">
        <f ca="1">AVERAGE(OFFSET($BH$3,0,0,'Données projet'!$E$11+1,1))-AVERAGE(OFFSET($H$3,0,0,'Données projet'!$E$11+1,1))</f>
        <v>195.30963433439501</v>
      </c>
      <c r="BJ55" s="62">
        <f t="shared" si="38"/>
        <v>185.00219255324504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8.6</v>
      </c>
      <c r="BY55" s="13">
        <f>IF('Données projet'!$A$114&gt;35,BY54+BX55-CG54,IF(A55&lt;'Données projet'!$A$114,$BV$205^A55,IF(A55='Données projet'!$A$114,'Données projet'!$B$114,BY54+BX55-CG54)))</f>
        <v>232.19999999999996</v>
      </c>
      <c r="BZ55" s="14">
        <f>BY55*VLOOKUP('Données projet'!$B$12,Paramètres!$A$1:$I$89,3,0)*VLOOKUP('Données projet'!$B$12,Paramètres!$A$1:$I$89,5,0)</f>
        <v>202.84991999999997</v>
      </c>
      <c r="CA55" s="14">
        <f t="shared" si="39"/>
        <v>50.369977187686075</v>
      </c>
      <c r="CB55" s="22">
        <f t="shared" si="10"/>
        <v>441.02465426855321</v>
      </c>
      <c r="CC55" s="62">
        <f t="shared" si="11"/>
        <v>734.35798760188652</v>
      </c>
      <c r="CD55" s="62">
        <f ca="1">AVERAGE(OFFSET($CC$3,0,0,'Données projet'!$E$12+1,1))-AVERAGE(OFFSET($H$3,0,0,'Données projet'!$E$12+1,1))</f>
        <v>303.33040062722074</v>
      </c>
      <c r="CE55" s="62">
        <f t="shared" si="40"/>
        <v>425.30058672361548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18.386635764757681</v>
      </c>
      <c r="CM55" s="23">
        <f>EXP(-LN(2)/2)*CM54+(1-EXP(-LN(2)/2))/(LN(2)/2)*CG55*CJ55*VLOOKUP('Données projet'!$B$12,Paramètres!$A$1:$I$89,3,0)*0.475*44/12</f>
        <v>7.9521480884677878E-3</v>
      </c>
      <c r="CN55" s="24">
        <f t="shared" si="12"/>
        <v>18.394587912846148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13.5</v>
      </c>
      <c r="CT55" s="13">
        <f>IF('Données projet'!$A$140&gt;35,CT54+CS55-DB54,IF(A55&lt;'Données projet'!$A$140,$CQ$205^A55,IF(A55='Données projet'!$A$140,'Données projet'!$B$140,CT54+CS55-DB54)))</f>
        <v>403.99999999999989</v>
      </c>
      <c r="CU55" s="18">
        <f>CT55*VLOOKUP('Données projet'!$B$13,Paramètres!$A$1:$I$89,3,0)*VLOOKUP('Données projet'!$B$13,Paramètres!$A$1:$I$89,5,0)</f>
        <v>189.07199999999992</v>
      </c>
      <c r="CV55" s="14">
        <f t="shared" si="41"/>
        <v>47.33472679972779</v>
      </c>
      <c r="CW55" s="22">
        <f t="shared" si="13"/>
        <v>411.74171584285909</v>
      </c>
      <c r="CX55" s="62">
        <f t="shared" si="14"/>
        <v>705.07504917619235</v>
      </c>
      <c r="CY55" s="62">
        <f ca="1">AVERAGE(OFFSET($CX$3,0,0,'Données projet'!$E$13+1,1))-AVERAGE(OFFSET($H$3,0,0,'Données projet'!$E$13+1,1))</f>
        <v>396.92963589781414</v>
      </c>
      <c r="CZ55" s="62">
        <f t="shared" si="42"/>
        <v>294.38852181137639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184.54800000000006</v>
      </c>
      <c r="P56" s="14">
        <f t="shared" si="33"/>
        <v>46.332558240871698</v>
      </c>
      <c r="Q56" s="22">
        <f t="shared" si="53"/>
        <v>402.11697226951833</v>
      </c>
      <c r="R56" s="62">
        <f t="shared" si="0"/>
        <v>695.45030560285159</v>
      </c>
      <c r="S56" s="62">
        <f ca="1">AVERAGE(OFFSET($R$3,0,0,'Données projet'!$E$9+1,1))-AVERAGE(OFFSET($H$3,0,0,'Données projet'!$E$9+1,1))</f>
        <v>411.98877330238821</v>
      </c>
      <c r="T56" s="62">
        <f t="shared" si="34"/>
        <v>256.4377087753457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1.5985753661680588</v>
      </c>
      <c r="AB56" s="23">
        <f>EXP(-LN(2)/2)*AB55+(1-EXP(-LN(2)/2))/(LN(2)/2)*V56*Y56*VLOOKUP('Données projet'!$B$9,Paramètres!$A$1:$I$89,3,0)*0.475*44/12</f>
        <v>4.8558429570843735E-3</v>
      </c>
      <c r="AC56" s="24">
        <f t="shared" si="3"/>
        <v>1.6034312091251433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240.79999999999995</v>
      </c>
      <c r="AJ56" s="14">
        <f>AI56*VLOOKUP('Données projet'!$B$10,Paramètres!$A$1:$I$89,3,0)*VLOOKUP('Données projet'!$B$10,Paramètres!$A$1:$I$89,5,0)</f>
        <v>251.68415999999999</v>
      </c>
      <c r="AK56" s="14">
        <f t="shared" si="35"/>
        <v>60.946437325817293</v>
      </c>
      <c r="AL56" s="22">
        <f t="shared" si="4"/>
        <v>544.49829034246511</v>
      </c>
      <c r="AM56" s="62">
        <f t="shared" si="5"/>
        <v>837.83162367579848</v>
      </c>
      <c r="AN56" s="62">
        <f ca="1">AVERAGE(OFFSET($AM$3,0,0,'Données projet'!$E$10+1,1))-AVERAGE(OFFSET($H$3,0,0,'Données projet'!$E$10+1,1))</f>
        <v>356.31271939877655</v>
      </c>
      <c r="AO56" s="62">
        <f t="shared" si="36"/>
        <v>499.70544707812991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21.396751790563719</v>
      </c>
      <c r="AW56" s="23">
        <f>EXP(-LN(2)/2)*AW55+(1-EXP(-LN(2)/2))/(LN(2)/2)*AQ56*AT56*VLOOKUP('Données projet'!$B$10,Paramètres!$A$1:$I$89,3,0)*0.475*44/12</f>
        <v>6.727539199460706E-3</v>
      </c>
      <c r="AX56" s="23">
        <f t="shared" si="6"/>
        <v>21.403479329763179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3.6</v>
      </c>
      <c r="BD56" s="13">
        <f>IF('Données projet'!$A$88&gt;35,BD55+BC56-BL55,IF(A56&lt;'Données projet'!$A$88,$BA$205^A56,IF(A56='Données projet'!$A$88,'Données projet'!$B$88,BD55+BC56-BL55)))</f>
        <v>126.79999999999995</v>
      </c>
      <c r="BE56" s="14">
        <f>BD56*VLOOKUP('Données projet'!$B$11,Paramètres!$A$1:$I$89,3,0)*VLOOKUP('Données projet'!$B$11,Paramètres!$A$1:$I$89,5,0)</f>
        <v>110.77247999999997</v>
      </c>
      <c r="BF56" s="14">
        <f t="shared" si="37"/>
        <v>29.512912692801613</v>
      </c>
      <c r="BG56" s="22">
        <f t="shared" si="7"/>
        <v>244.3303922732961</v>
      </c>
      <c r="BH56" s="62">
        <f t="shared" si="8"/>
        <v>537.66372560662944</v>
      </c>
      <c r="BI56" s="62">
        <f ca="1">AVERAGE(OFFSET($BH$3,0,0,'Données projet'!$E$11+1,1))-AVERAGE(OFFSET($H$3,0,0,'Données projet'!$E$11+1,1))</f>
        <v>195.30963433439501</v>
      </c>
      <c r="BJ56" s="62">
        <f t="shared" si="38"/>
        <v>185.00219255324504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8.6</v>
      </c>
      <c r="BY56" s="13">
        <f>IF('Données projet'!$A$114&gt;35,BY55+BX56-CG55,IF(A56&lt;'Données projet'!$A$114,$BV$205^A56,IF(A56='Données projet'!$A$114,'Données projet'!$B$114,BY55+BX56-CG55)))</f>
        <v>240.79999999999995</v>
      </c>
      <c r="BZ56" s="14">
        <f>BY56*VLOOKUP('Données projet'!$B$12,Paramètres!$A$1:$I$89,3,0)*VLOOKUP('Données projet'!$B$12,Paramètres!$A$1:$I$89,5,0)</f>
        <v>210.36287999999999</v>
      </c>
      <c r="CA56" s="14">
        <f t="shared" si="39"/>
        <v>52.014876138342963</v>
      </c>
      <c r="CB56" s="22">
        <f t="shared" si="10"/>
        <v>456.97459194094722</v>
      </c>
      <c r="CC56" s="62">
        <f t="shared" si="11"/>
        <v>750.30792527428048</v>
      </c>
      <c r="CD56" s="62">
        <f ca="1">AVERAGE(OFFSET($CC$3,0,0,'Données projet'!$E$12+1,1))-AVERAGE(OFFSET($H$3,0,0,'Données projet'!$E$12+1,1))</f>
        <v>303.33040062722074</v>
      </c>
      <c r="CE56" s="62">
        <f t="shared" si="40"/>
        <v>425.30058672361548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17.883852242859231</v>
      </c>
      <c r="CM56" s="23">
        <f>EXP(-LN(2)/2)*CM55+(1-EXP(-LN(2)/2))/(LN(2)/2)*CG56*CJ56*VLOOKUP('Données projet'!$B$12,Paramètres!$A$1:$I$89,3,0)*0.475*44/12</f>
        <v>5.6230178383552144E-3</v>
      </c>
      <c r="CN56" s="24">
        <f t="shared" si="12"/>
        <v>17.889475260697587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13.5</v>
      </c>
      <c r="CT56" s="13">
        <f>IF('Données projet'!$A$140&gt;35,CT55+CS56-DB55,IF(A56&lt;'Données projet'!$A$140,$CQ$205^A56,IF(A56='Données projet'!$A$140,'Données projet'!$B$140,CT55+CS56-DB55)))</f>
        <v>417.49999999999989</v>
      </c>
      <c r="CU56" s="18">
        <f>CT56*VLOOKUP('Données projet'!$B$13,Paramètres!$A$1:$I$89,3,0)*VLOOKUP('Données projet'!$B$13,Paramètres!$A$1:$I$89,5,0)</f>
        <v>195.38999999999996</v>
      </c>
      <c r="CV56" s="14">
        <f t="shared" si="41"/>
        <v>48.729658318340213</v>
      </c>
      <c r="CW56" s="22">
        <f t="shared" si="13"/>
        <v>425.17507157110907</v>
      </c>
      <c r="CX56" s="62">
        <f t="shared" si="14"/>
        <v>718.50840490444239</v>
      </c>
      <c r="CY56" s="62">
        <f ca="1">AVERAGE(OFFSET($CX$3,0,0,'Données projet'!$E$13+1,1))-AVERAGE(OFFSET($H$3,0,0,'Données projet'!$E$13+1,1))</f>
        <v>396.92963589781414</v>
      </c>
      <c r="CZ56" s="62">
        <f t="shared" si="42"/>
        <v>294.38852181137639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192.66000000000008</v>
      </c>
      <c r="P57" s="14">
        <f t="shared" si="33"/>
        <v>48.127564387788738</v>
      </c>
      <c r="Q57" s="22">
        <f t="shared" si="53"/>
        <v>419.3716746420655</v>
      </c>
      <c r="R57" s="62">
        <f t="shared" si="0"/>
        <v>712.70500797539876</v>
      </c>
      <c r="S57" s="62">
        <f ca="1">AVERAGE(OFFSET($R$3,0,0,'Données projet'!$E$9+1,1))-AVERAGE(OFFSET($H$3,0,0,'Données projet'!$E$9+1,1))</f>
        <v>411.98877330238821</v>
      </c>
      <c r="T57" s="62">
        <f t="shared" si="34"/>
        <v>256.4377087753457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1.5548622387147684</v>
      </c>
      <c r="AB57" s="23">
        <f>EXP(-LN(2)/2)*AB56+(1-EXP(-LN(2)/2))/(LN(2)/2)*V57*Y57*VLOOKUP('Données projet'!$B$9,Paramètres!$A$1:$I$89,3,0)*0.475*44/12</f>
        <v>3.433599483331298E-3</v>
      </c>
      <c r="AC57" s="24">
        <f t="shared" si="3"/>
        <v>1.5582958381980996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249.39999999999995</v>
      </c>
      <c r="AJ57" s="14">
        <f>AI57*VLOOKUP('Données projet'!$B$10,Paramètres!$A$1:$I$89,3,0)*VLOOKUP('Données projet'!$B$10,Paramètres!$A$1:$I$89,5,0)</f>
        <v>260.67287999999996</v>
      </c>
      <c r="AK57" s="14">
        <f t="shared" si="35"/>
        <v>62.86578719746359</v>
      </c>
      <c r="AL57" s="22">
        <f t="shared" si="4"/>
        <v>563.49651203558233</v>
      </c>
      <c r="AM57" s="62">
        <f t="shared" si="5"/>
        <v>856.82984536891558</v>
      </c>
      <c r="AN57" s="62">
        <f ca="1">AVERAGE(OFFSET($AM$3,0,0,'Données projet'!$E$10+1,1))-AVERAGE(OFFSET($H$3,0,0,'Données projet'!$E$10+1,1))</f>
        <v>356.31271939877655</v>
      </c>
      <c r="AO57" s="62">
        <f t="shared" si="36"/>
        <v>499.70544707812991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20.811656487644481</v>
      </c>
      <c r="AW57" s="23">
        <f>EXP(-LN(2)/2)*AW56+(1-EXP(-LN(2)/2))/(LN(2)/2)*AQ57*AT57*VLOOKUP('Données projet'!$B$10,Paramètres!$A$1:$I$89,3,0)*0.475*44/12</f>
        <v>4.7570885886369825E-3</v>
      </c>
      <c r="AX57" s="23">
        <f t="shared" si="6"/>
        <v>20.816413576233117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3.6</v>
      </c>
      <c r="BD57" s="13">
        <f>IF('Données projet'!$A$88&gt;35,BD56+BC57-BL56,IF(A57&lt;'Données projet'!$A$88,$BA$205^A57,IF(A57='Données projet'!$A$88,'Données projet'!$B$88,BD56+BC57-BL56)))</f>
        <v>130.39999999999995</v>
      </c>
      <c r="BE57" s="14">
        <f>BD57*VLOOKUP('Données projet'!$B$11,Paramètres!$A$1:$I$89,3,0)*VLOOKUP('Données projet'!$B$11,Paramètres!$A$1:$I$89,5,0)</f>
        <v>113.91743999999996</v>
      </c>
      <c r="BF57" s="14">
        <f t="shared" si="37"/>
        <v>30.252075834566813</v>
      </c>
      <c r="BG57" s="22">
        <f t="shared" si="7"/>
        <v>251.0952400785371</v>
      </c>
      <c r="BH57" s="62">
        <f t="shared" si="8"/>
        <v>544.42857341187039</v>
      </c>
      <c r="BI57" s="62">
        <f ca="1">AVERAGE(OFFSET($BH$3,0,0,'Données projet'!$E$11+1,1))-AVERAGE(OFFSET($H$3,0,0,'Données projet'!$E$11+1,1))</f>
        <v>195.30963433439501</v>
      </c>
      <c r="BJ57" s="62">
        <f t="shared" si="38"/>
        <v>185.00219255324504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8.6</v>
      </c>
      <c r="BY57" s="13">
        <f>IF('Données projet'!$A$114&gt;35,BY56+BX57-CG56,IF(A57&lt;'Données projet'!$A$114,$BV$205^A57,IF(A57='Données projet'!$A$114,'Données projet'!$B$114,BY56+BX57-CG56)))</f>
        <v>249.39999999999995</v>
      </c>
      <c r="BZ57" s="14">
        <f>BY57*VLOOKUP('Données projet'!$B$12,Paramètres!$A$1:$I$89,3,0)*VLOOKUP('Données projet'!$B$12,Paramètres!$A$1:$I$89,5,0)</f>
        <v>217.87583999999998</v>
      </c>
      <c r="CA57" s="14">
        <f t="shared" si="39"/>
        <v>53.652949670124926</v>
      </c>
      <c r="CB57" s="22">
        <f t="shared" si="10"/>
        <v>472.9126420088009</v>
      </c>
      <c r="CC57" s="62">
        <f t="shared" si="11"/>
        <v>766.24597534213422</v>
      </c>
      <c r="CD57" s="62">
        <f ca="1">AVERAGE(OFFSET($CC$3,0,0,'Données projet'!$E$12+1,1))-AVERAGE(OFFSET($H$3,0,0,'Données projet'!$E$12+1,1))</f>
        <v>303.33040062722074</v>
      </c>
      <c r="CE57" s="62">
        <f t="shared" si="40"/>
        <v>425.30058672361548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17.394817362807331</v>
      </c>
      <c r="CM57" s="23">
        <f>EXP(-LN(2)/2)*CM56+(1-EXP(-LN(2)/2))/(LN(2)/2)*CG57*CJ57*VLOOKUP('Données projet'!$B$12,Paramètres!$A$1:$I$89,3,0)*0.475*44/12</f>
        <v>3.9760740442338939E-3</v>
      </c>
      <c r="CN57" s="24">
        <f t="shared" si="12"/>
        <v>17.398793436851566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13.5</v>
      </c>
      <c r="CT57" s="13">
        <f>IF('Données projet'!$A$140&gt;35,CT56+CS57-DB56,IF(A57&lt;'Données projet'!$A$140,$CQ$205^A57,IF(A57='Données projet'!$A$140,'Données projet'!$B$140,CT56+CS57-DB56)))</f>
        <v>430.99999999999989</v>
      </c>
      <c r="CU57" s="18">
        <f>CT57*VLOOKUP('Données projet'!$B$13,Paramètres!$A$1:$I$89,3,0)*VLOOKUP('Données projet'!$B$13,Paramètres!$A$1:$I$89,5,0)</f>
        <v>201.70799999999994</v>
      </c>
      <c r="CV57" s="14">
        <f t="shared" si="41"/>
        <v>50.119348451854243</v>
      </c>
      <c r="CW57" s="22">
        <f t="shared" si="13"/>
        <v>438.59929855364607</v>
      </c>
      <c r="CX57" s="62">
        <f t="shared" si="14"/>
        <v>731.93263188697938</v>
      </c>
      <c r="CY57" s="62">
        <f ca="1">AVERAGE(OFFSET($CX$3,0,0,'Données projet'!$E$13+1,1))-AVERAGE(OFFSET($H$3,0,0,'Données projet'!$E$13+1,1))</f>
        <v>396.92963589781414</v>
      </c>
      <c r="CZ57" s="62">
        <f t="shared" si="42"/>
        <v>294.38852181137639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200.77200000000008</v>
      </c>
      <c r="P58" s="14">
        <f t="shared" si="33"/>
        <v>49.913791898945412</v>
      </c>
      <c r="Q58" s="22">
        <f t="shared" si="53"/>
        <v>436.61108755732999</v>
      </c>
      <c r="R58" s="62">
        <f t="shared" si="0"/>
        <v>729.94442089066331</v>
      </c>
      <c r="S58" s="62">
        <f ca="1">AVERAGE(OFFSET($R$3,0,0,'Données projet'!$E$9+1,1))-AVERAGE(OFFSET($H$3,0,0,'Données projet'!$E$9+1,1))</f>
        <v>411.98877330238821</v>
      </c>
      <c r="T58" s="62">
        <f t="shared" si="34"/>
        <v>256.4377087753457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1.5123444490304616</v>
      </c>
      <c r="AB58" s="23">
        <f>EXP(-LN(2)/2)*AB57+(1-EXP(-LN(2)/2))/(LN(2)/2)*V58*Y58*VLOOKUP('Données projet'!$B$9,Paramètres!$A$1:$I$89,3,0)*0.475*44/12</f>
        <v>2.4279214785421868E-3</v>
      </c>
      <c r="AC58" s="24">
        <f t="shared" si="3"/>
        <v>1.5147723705090037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258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257.99999999999994</v>
      </c>
      <c r="AJ58" s="14">
        <f>AI58*VLOOKUP('Données projet'!$B$10,Paramètres!$A$1:$I$89,3,0)*VLOOKUP('Données projet'!$B$10,Paramètres!$A$1:$I$89,5,0)</f>
        <v>269.66159999999996</v>
      </c>
      <c r="AK58" s="14">
        <f t="shared" si="35"/>
        <v>64.777447026130091</v>
      </c>
      <c r="AL58" s="22">
        <f t="shared" si="4"/>
        <v>582.48134023717648</v>
      </c>
      <c r="AM58" s="62">
        <f t="shared" si="5"/>
        <v>875.81467357050974</v>
      </c>
      <c r="AN58" s="62">
        <f ca="1">AVERAGE(OFFSET($AM$3,0,0,'Données projet'!$E$10+1,1))-AVERAGE(OFFSET($H$3,0,0,'Données projet'!$E$10+1,1))</f>
        <v>356.31271939877655</v>
      </c>
      <c r="AO58" s="62">
        <f t="shared" si="36"/>
        <v>499.70544707812991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258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20.242560646552395</v>
      </c>
      <c r="AW58" s="23">
        <f>EXP(-LN(2)/2)*AW57+(1-EXP(-LN(2)/2))/(LN(2)/2)*AQ58*AT58*VLOOKUP('Données projet'!$B$10,Paramètres!$A$1:$I$89,3,0)*0.475*44/12</f>
        <v>3.363769599730353E-3</v>
      </c>
      <c r="AX58" s="23">
        <f t="shared" si="6"/>
        <v>20.245924416152125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134</v>
      </c>
      <c r="BB58" s="13">
        <f>VLOOKUP(A58,'Données projet'!$A$87:$I$107,9,0)</f>
        <v>3.6</v>
      </c>
      <c r="BC58" s="13">
        <f t="array" ref="BC58">INDEX(BB:BB,MIN(IF(ISNUMBER(BB58:BB254),ROW(BB58:BB254),"")))</f>
        <v>3.6</v>
      </c>
      <c r="BD58" s="13">
        <f>IF('Données projet'!$A$88&gt;35,BD57+BC58-BL57,IF(A58&lt;'Données projet'!$A$88,$BA$205^A58,IF(A58='Données projet'!$A$88,'Données projet'!$B$88,BD57+BC58-BL57)))</f>
        <v>133.99999999999994</v>
      </c>
      <c r="BE58" s="14">
        <f>BD58*VLOOKUP('Données projet'!$B$11,Paramètres!$A$1:$I$89,3,0)*VLOOKUP('Données projet'!$B$11,Paramètres!$A$1:$I$89,5,0)</f>
        <v>117.06239999999997</v>
      </c>
      <c r="BF58" s="14">
        <f t="shared" si="37"/>
        <v>30.988867171899123</v>
      </c>
      <c r="BG58" s="22">
        <f t="shared" si="7"/>
        <v>257.85595699105755</v>
      </c>
      <c r="BH58" s="62">
        <f t="shared" si="8"/>
        <v>551.18929032439087</v>
      </c>
      <c r="BI58" s="62">
        <f ca="1">AVERAGE(OFFSET($BH$3,0,0,'Données projet'!$E$11+1,1))-AVERAGE(OFFSET($H$3,0,0,'Données projet'!$E$11+1,1))</f>
        <v>195.30963433439501</v>
      </c>
      <c r="BJ58" s="62">
        <f t="shared" si="38"/>
        <v>185.00219255324504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258</v>
      </c>
      <c r="BW58" s="13">
        <f>VLOOKUP(A58,'Données projet'!$A$113:$I$133,9,0)</f>
        <v>8.6</v>
      </c>
      <c r="BX58" s="13">
        <f t="array" ref="BX58">INDEX(BW:BW,MIN(IF(ISNUMBER(BW58:BW254),ROW(BW58:BW254),"")))</f>
        <v>8.6</v>
      </c>
      <c r="BY58" s="13">
        <f>IF('Données projet'!$A$114&gt;35,BY57+BX58-CG57,IF(A58&lt;'Données projet'!$A$114,$BV$205^A58,IF(A58='Données projet'!$A$114,'Données projet'!$B$114,BY57+BX58-CG57)))</f>
        <v>257.99999999999994</v>
      </c>
      <c r="BZ58" s="14">
        <f>BY58*VLOOKUP('Données projet'!$B$12,Paramètres!$A$1:$I$89,3,0)*VLOOKUP('Données projet'!$B$12,Paramètres!$A$1:$I$89,5,0)</f>
        <v>225.3888</v>
      </c>
      <c r="CA58" s="14">
        <f t="shared" si="39"/>
        <v>55.284460117161593</v>
      </c>
      <c r="CB58" s="22">
        <f t="shared" si="10"/>
        <v>488.83926137072308</v>
      </c>
      <c r="CC58" s="62">
        <f t="shared" si="11"/>
        <v>782.17259470405634</v>
      </c>
      <c r="CD58" s="62">
        <f ca="1">AVERAGE(OFFSET($CC$3,0,0,'Données projet'!$E$12+1,1))-AVERAGE(OFFSET($H$3,0,0,'Données projet'!$E$12+1,1))</f>
        <v>303.33040062722074</v>
      </c>
      <c r="CE58" s="62">
        <f t="shared" si="40"/>
        <v>425.30058672361548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258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16.919155167267675</v>
      </c>
      <c r="CM58" s="23">
        <f>EXP(-LN(2)/2)*CM57+(1-EXP(-LN(2)/2))/(LN(2)/2)*CG58*CJ58*VLOOKUP('Données projet'!$B$12,Paramètres!$A$1:$I$89,3,0)*0.475*44/12</f>
        <v>2.8115089191776072E-3</v>
      </c>
      <c r="CN58" s="24">
        <f t="shared" si="12"/>
        <v>16.921966676186852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13.5</v>
      </c>
      <c r="CT58" s="13">
        <f>IF('Données projet'!$A$140&gt;35,CT57+CS58-DB57,IF(A58&lt;'Données projet'!$A$140,$CQ$205^A58,IF(A58='Données projet'!$A$140,'Données projet'!$B$140,CT57+CS58-DB57)))</f>
        <v>444.49999999999989</v>
      </c>
      <c r="CU58" s="18">
        <f>CT58*VLOOKUP('Données projet'!$B$13,Paramètres!$A$1:$I$89,3,0)*VLOOKUP('Données projet'!$B$13,Paramètres!$A$1:$I$89,5,0)</f>
        <v>208.02599999999995</v>
      </c>
      <c r="CV58" s="14">
        <f t="shared" si="41"/>
        <v>51.503980210368603</v>
      </c>
      <c r="CW58" s="22">
        <f t="shared" si="13"/>
        <v>452.01471553305851</v>
      </c>
      <c r="CX58" s="62">
        <f t="shared" si="14"/>
        <v>745.34804886639176</v>
      </c>
      <c r="CY58" s="62">
        <f ca="1">AVERAGE(OFFSET($CX$3,0,0,'Données projet'!$E$13+1,1))-AVERAGE(OFFSET($H$3,0,0,'Données projet'!$E$13+1,1))</f>
        <v>396.92963589781414</v>
      </c>
      <c r="CZ58" s="62">
        <f t="shared" si="42"/>
        <v>294.38852181137639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186.98160000000007</v>
      </c>
      <c r="P59" s="14">
        <f t="shared" si="33"/>
        <v>46.872006790472248</v>
      </c>
      <c r="Q59" s="22">
        <f t="shared" si="53"/>
        <v>407.29503182673926</v>
      </c>
      <c r="R59" s="62">
        <f t="shared" si="0"/>
        <v>700.62836516007258</v>
      </c>
      <c r="S59" s="62">
        <f ca="1">AVERAGE(OFFSET($R$3,0,0,'Données projet'!$E$9+1,1))-AVERAGE(OFFSET($H$3,0,0,'Données projet'!$E$9+1,1))</f>
        <v>411.98877330238821</v>
      </c>
      <c r="T59" s="62">
        <f t="shared" si="34"/>
        <v>256.4377087753457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1.4709893105409855</v>
      </c>
      <c r="AB59" s="23">
        <f>EXP(-LN(2)/2)*AB58+(1-EXP(-LN(2)/2))/(LN(2)/2)*V59*Y59*VLOOKUP('Données projet'!$B$9,Paramètres!$A$1:$I$89,3,0)*0.475*44/12</f>
        <v>1.716799741665649E-3</v>
      </c>
      <c r="AC59" s="24">
        <f t="shared" si="3"/>
        <v>1.4727061102826511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-5.9412741393316544E-14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356.31271939877655</v>
      </c>
      <c r="AO59" s="62">
        <f t="shared" si="36"/>
        <v>499.70544707812991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19.68902676116242</v>
      </c>
      <c r="AW59" s="23">
        <f>EXP(-LN(2)/2)*AW58+(1-EXP(-LN(2)/2))/(LN(2)/2)*AQ59*AT59*VLOOKUP('Données projet'!$B$10,Paramètres!$A$1:$I$89,3,0)*0.475*44/12</f>
        <v>2.3785442943184913E-3</v>
      </c>
      <c r="AX59" s="23">
        <f t="shared" si="6"/>
        <v>19.69140530545674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</v>
      </c>
      <c r="BD59" s="13">
        <f>IF('Données projet'!$A$88&gt;35,BD58+BC59-BL58,IF(A59&lt;'Données projet'!$A$88,$BA$205^A59,IF(A59='Données projet'!$A$88,'Données projet'!$B$88,BD58+BC59-BL58)))</f>
        <v>127.99999999999994</v>
      </c>
      <c r="BE59" s="14">
        <f>BD59*VLOOKUP('Données projet'!$B$11,Paramètres!$A$1:$I$89,3,0)*VLOOKUP('Données projet'!$B$11,Paramètres!$A$1:$I$89,5,0)</f>
        <v>111.82079999999998</v>
      </c>
      <c r="BF59" s="14">
        <f t="shared" si="37"/>
        <v>29.759568497877257</v>
      </c>
      <c r="BG59" s="22">
        <f t="shared" si="7"/>
        <v>246.58580846713619</v>
      </c>
      <c r="BH59" s="62">
        <f t="shared" si="8"/>
        <v>539.91914180046956</v>
      </c>
      <c r="BI59" s="62">
        <f ca="1">AVERAGE(OFFSET($BH$3,0,0,'Données projet'!$E$11+1,1))-AVERAGE(OFFSET($H$3,0,0,'Données projet'!$E$11+1,1))</f>
        <v>195.30963433439501</v>
      </c>
      <c r="BJ59" s="62">
        <f t="shared" si="38"/>
        <v>185.00219255324504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-5.6843418860808015E-14</v>
      </c>
      <c r="BZ59" s="14">
        <f>BY59*VLOOKUP('Données projet'!$B$12,Paramètres!$A$1:$I$89,3,0)*VLOOKUP('Données projet'!$B$12,Paramètres!$A$1:$I$89,5,0)</f>
        <v>-4.9658410716801891E-14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303.33040062722074</v>
      </c>
      <c r="CE59" s="62">
        <f t="shared" si="40"/>
        <v>425.30058672361548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16.456499979479041</v>
      </c>
      <c r="CM59" s="23">
        <f>EXP(-LN(2)/2)*CM58+(1-EXP(-LN(2)/2))/(LN(2)/2)*CG59*CJ59*VLOOKUP('Données projet'!$B$12,Paramètres!$A$1:$I$89,3,0)*0.475*44/12</f>
        <v>1.988037022116947E-3</v>
      </c>
      <c r="CN59" s="24">
        <f t="shared" si="12"/>
        <v>16.458488016501157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13.5</v>
      </c>
      <c r="CT59" s="13">
        <f>IF('Données projet'!$A$140&gt;35,CT58+CS59-DB58,IF(A59&lt;'Données projet'!$A$140,$CQ$205^A59,IF(A59='Données projet'!$A$140,'Données projet'!$B$140,CT58+CS59-DB58)))</f>
        <v>457.99999999999989</v>
      </c>
      <c r="CU59" s="18">
        <f>CT59*VLOOKUP('Données projet'!$B$13,Paramètres!$A$1:$I$89,3,0)*VLOOKUP('Données projet'!$B$13,Paramètres!$A$1:$I$89,5,0)</f>
        <v>214.34399999999997</v>
      </c>
      <c r="CV59" s="14">
        <f t="shared" si="41"/>
        <v>52.883724855822585</v>
      </c>
      <c r="CW59" s="22">
        <f t="shared" si="13"/>
        <v>465.4216207905576</v>
      </c>
      <c r="CX59" s="62">
        <f t="shared" si="14"/>
        <v>758.75495412389091</v>
      </c>
      <c r="CY59" s="62">
        <f ca="1">AVERAGE(OFFSET($CX$3,0,0,'Données projet'!$E$13+1,1))-AVERAGE(OFFSET($H$3,0,0,'Données projet'!$E$13+1,1))</f>
        <v>396.92963589781414</v>
      </c>
      <c r="CZ59" s="62">
        <f t="shared" si="42"/>
        <v>294.38852181137639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194.48520000000008</v>
      </c>
      <c r="P60" s="14">
        <f t="shared" si="33"/>
        <v>48.530216343846071</v>
      </c>
      <c r="Q60" s="22">
        <f t="shared" si="53"/>
        <v>423.25185013219863</v>
      </c>
      <c r="R60" s="62">
        <f t="shared" si="0"/>
        <v>716.58518346553194</v>
      </c>
      <c r="S60" s="62">
        <f ca="1">AVERAGE(OFFSET($R$3,0,0,'Données projet'!$E$9+1,1))-AVERAGE(OFFSET($H$3,0,0,'Données projet'!$E$9+1,1))</f>
        <v>411.98877330238821</v>
      </c>
      <c r="T60" s="62">
        <f t="shared" si="34"/>
        <v>256.4377087753457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1.4307650304882764</v>
      </c>
      <c r="AB60" s="23">
        <f>EXP(-LN(2)/2)*AB59+(1-EXP(-LN(2)/2))/(LN(2)/2)*V60*Y60*VLOOKUP('Données projet'!$B$9,Paramètres!$A$1:$I$89,3,0)*0.475*44/12</f>
        <v>1.2139607392710934E-3</v>
      </c>
      <c r="AC60" s="24">
        <f t="shared" si="3"/>
        <v>1.4319789912275476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-5.9412741393316544E-14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356.31271939877655</v>
      </c>
      <c r="AO60" s="62">
        <f t="shared" si="36"/>
        <v>499.70544707812991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19.150629288977516</v>
      </c>
      <c r="AW60" s="23">
        <f>EXP(-LN(2)/2)*AW59+(1-EXP(-LN(2)/2))/(LN(2)/2)*AQ60*AT60*VLOOKUP('Données projet'!$B$10,Paramètres!$A$1:$I$89,3,0)*0.475*44/12</f>
        <v>1.6818847998651765E-3</v>
      </c>
      <c r="AX60" s="23">
        <f t="shared" si="6"/>
        <v>19.152311173777381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</v>
      </c>
      <c r="BD60" s="13">
        <f>IF('Données projet'!$A$88&gt;35,BD59+BC60-BL59,IF(A60&lt;'Données projet'!$A$88,$BA$205^A60,IF(A60='Données projet'!$A$88,'Données projet'!$B$88,BD59+BC60-BL59)))</f>
        <v>130.99999999999994</v>
      </c>
      <c r="BE60" s="14">
        <f>BD60*VLOOKUP('Données projet'!$B$11,Paramètres!$A$1:$I$89,3,0)*VLOOKUP('Données projet'!$B$11,Paramètres!$A$1:$I$89,5,0)</f>
        <v>114.44159999999997</v>
      </c>
      <c r="BF60" s="14">
        <f t="shared" si="37"/>
        <v>30.375037129843719</v>
      </c>
      <c r="BG60" s="22">
        <f t="shared" si="7"/>
        <v>252.22230966781112</v>
      </c>
      <c r="BH60" s="62">
        <f t="shared" si="8"/>
        <v>545.5556430011444</v>
      </c>
      <c r="BI60" s="62">
        <f ca="1">AVERAGE(OFFSET($BH$3,0,0,'Données projet'!$E$11+1,1))-AVERAGE(OFFSET($H$3,0,0,'Données projet'!$E$11+1,1))</f>
        <v>195.30963433439501</v>
      </c>
      <c r="BJ60" s="62">
        <f t="shared" si="38"/>
        <v>185.00219255324504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-5.6843418860808015E-14</v>
      </c>
      <c r="BZ60" s="14">
        <f>BY60*VLOOKUP('Données projet'!$B$12,Paramètres!$A$1:$I$89,3,0)*VLOOKUP('Données projet'!$B$12,Paramètres!$A$1:$I$89,5,0)</f>
        <v>-4.9658410716801891E-14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303.33040062722074</v>
      </c>
      <c r="CE60" s="62">
        <f t="shared" si="40"/>
        <v>425.30058672361548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16.006496122130464</v>
      </c>
      <c r="CM60" s="23">
        <f>EXP(-LN(2)/2)*CM59+(1-EXP(-LN(2)/2))/(LN(2)/2)*CG60*CJ60*VLOOKUP('Données projet'!$B$12,Paramètres!$A$1:$I$89,3,0)*0.475*44/12</f>
        <v>1.4057544595888036E-3</v>
      </c>
      <c r="CN60" s="24">
        <f t="shared" si="12"/>
        <v>16.007901876590054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13.5</v>
      </c>
      <c r="CT60" s="13">
        <f>IF('Données projet'!$A$140&gt;35,CT59+CS60-DB59,IF(A60&lt;'Données projet'!$A$140,$CQ$205^A60,IF(A60='Données projet'!$A$140,'Données projet'!$B$140,CT59+CS60-DB59)))</f>
        <v>471.49999999999989</v>
      </c>
      <c r="CU60" s="18">
        <f>CT60*VLOOKUP('Données projet'!$B$13,Paramètres!$A$1:$I$89,3,0)*VLOOKUP('Données projet'!$B$13,Paramètres!$A$1:$I$89,5,0)</f>
        <v>220.66199999999995</v>
      </c>
      <c r="CV60" s="14">
        <f t="shared" si="41"/>
        <v>54.258742979954953</v>
      </c>
      <c r="CW60" s="22">
        <f t="shared" si="13"/>
        <v>478.82029402342147</v>
      </c>
      <c r="CX60" s="62">
        <f t="shared" si="14"/>
        <v>772.15362735675478</v>
      </c>
      <c r="CY60" s="62">
        <f ca="1">AVERAGE(OFFSET($CX$3,0,0,'Données projet'!$E$13+1,1))-AVERAGE(OFFSET($H$3,0,0,'Données projet'!$E$13+1,1))</f>
        <v>396.92963589781414</v>
      </c>
      <c r="CZ60" s="62">
        <f t="shared" si="42"/>
        <v>294.38852181137639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201.98880000000008</v>
      </c>
      <c r="P61" s="14">
        <f t="shared" si="33"/>
        <v>50.18099374666096</v>
      </c>
      <c r="Q61" s="22">
        <f t="shared" si="53"/>
        <v>439.19572410876793</v>
      </c>
      <c r="R61" s="62">
        <f t="shared" si="0"/>
        <v>732.52905744210125</v>
      </c>
      <c r="S61" s="62">
        <f ca="1">AVERAGE(OFFSET($R$3,0,0,'Données projet'!$E$9+1,1))-AVERAGE(OFFSET($H$3,0,0,'Données projet'!$E$9+1,1))</f>
        <v>411.98877330238821</v>
      </c>
      <c r="T61" s="62">
        <f t="shared" si="34"/>
        <v>256.4377087753457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1.3916406854889116</v>
      </c>
      <c r="AB61" s="23">
        <f>EXP(-LN(2)/2)*AB60+(1-EXP(-LN(2)/2))/(LN(2)/2)*V61*Y61*VLOOKUP('Données projet'!$B$9,Paramètres!$A$1:$I$89,3,0)*0.475*44/12</f>
        <v>8.583998708328245E-4</v>
      </c>
      <c r="AC61" s="24">
        <f t="shared" si="3"/>
        <v>1.3924990853597445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-5.9412741393316544E-14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356.31271939877655</v>
      </c>
      <c r="AO61" s="62">
        <f t="shared" si="36"/>
        <v>499.70544707812991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18.626954323982602</v>
      </c>
      <c r="AW61" s="23">
        <f>EXP(-LN(2)/2)*AW60+(1-EXP(-LN(2)/2))/(LN(2)/2)*AQ61*AT61*VLOOKUP('Données projet'!$B$10,Paramètres!$A$1:$I$89,3,0)*0.475*44/12</f>
        <v>1.1892721471592456E-3</v>
      </c>
      <c r="AX61" s="23">
        <f t="shared" si="6"/>
        <v>18.62814359612976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</v>
      </c>
      <c r="BD61" s="13">
        <f>IF('Données projet'!$A$88&gt;35,BD60+BC61-BL60,IF(A61&lt;'Données projet'!$A$88,$BA$205^A61,IF(A61='Données projet'!$A$88,'Données projet'!$B$88,BD60+BC61-BL60)))</f>
        <v>133.99999999999994</v>
      </c>
      <c r="BE61" s="14">
        <f>BD61*VLOOKUP('Données projet'!$B$11,Paramètres!$A$1:$I$89,3,0)*VLOOKUP('Données projet'!$B$11,Paramètres!$A$1:$I$89,5,0)</f>
        <v>117.06239999999997</v>
      </c>
      <c r="BF61" s="14">
        <f t="shared" si="37"/>
        <v>30.988867171899123</v>
      </c>
      <c r="BG61" s="22">
        <f t="shared" si="7"/>
        <v>257.85595699105755</v>
      </c>
      <c r="BH61" s="62">
        <f t="shared" si="8"/>
        <v>551.18929032439087</v>
      </c>
      <c r="BI61" s="62">
        <f ca="1">AVERAGE(OFFSET($BH$3,0,0,'Données projet'!$E$11+1,1))-AVERAGE(OFFSET($H$3,0,0,'Données projet'!$E$11+1,1))</f>
        <v>195.30963433439501</v>
      </c>
      <c r="BJ61" s="62">
        <f t="shared" si="38"/>
        <v>185.00219255324504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-5.6843418860808015E-14</v>
      </c>
      <c r="BZ61" s="14">
        <f>BY61*VLOOKUP('Données projet'!$B$12,Paramètres!$A$1:$I$89,3,0)*VLOOKUP('Données projet'!$B$12,Paramètres!$A$1:$I$89,5,0)</f>
        <v>-4.9658410716801891E-14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303.33040062722074</v>
      </c>
      <c r="CE61" s="62">
        <f t="shared" si="40"/>
        <v>425.30058672361548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15.568797643925759</v>
      </c>
      <c r="CM61" s="23">
        <f>EXP(-LN(2)/2)*CM60+(1-EXP(-LN(2)/2))/(LN(2)/2)*CG61*CJ61*VLOOKUP('Données projet'!$B$12,Paramètres!$A$1:$I$89,3,0)*0.475*44/12</f>
        <v>9.9401851105847348E-4</v>
      </c>
      <c r="CN61" s="24">
        <f t="shared" si="12"/>
        <v>15.569791662436817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13.5</v>
      </c>
      <c r="CT61" s="13">
        <f>IF('Données projet'!$A$140&gt;35,CT60+CS61-DB60,IF(A61&lt;'Données projet'!$A$140,$CQ$205^A61,IF(A61='Données projet'!$A$140,'Données projet'!$B$140,CT60+CS61-DB60)))</f>
        <v>484.99999999999989</v>
      </c>
      <c r="CU61" s="18">
        <f>CT61*VLOOKUP('Données projet'!$B$13,Paramètres!$A$1:$I$89,3,0)*VLOOKUP('Données projet'!$B$13,Paramètres!$A$1:$I$89,5,0)</f>
        <v>226.97999999999996</v>
      </c>
      <c r="CV61" s="14">
        <f t="shared" si="41"/>
        <v>55.629185455335929</v>
      </c>
      <c r="CW61" s="22">
        <f t="shared" si="13"/>
        <v>492.21099800137659</v>
      </c>
      <c r="CX61" s="62">
        <f t="shared" si="14"/>
        <v>785.54433133470991</v>
      </c>
      <c r="CY61" s="62">
        <f ca="1">AVERAGE(OFFSET($CX$3,0,0,'Données projet'!$E$13+1,1))-AVERAGE(OFFSET($H$3,0,0,'Données projet'!$E$13+1,1))</f>
        <v>396.92963589781414</v>
      </c>
      <c r="CZ61" s="62">
        <f t="shared" si="42"/>
        <v>294.38852181137639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209.49240000000009</v>
      </c>
      <c r="P62" s="14">
        <f t="shared" si="33"/>
        <v>51.824646708770558</v>
      </c>
      <c r="Q62" s="22">
        <f t="shared" si="53"/>
        <v>455.12718968444216</v>
      </c>
      <c r="R62" s="62">
        <f t="shared" si="0"/>
        <v>748.46052301777547</v>
      </c>
      <c r="S62" s="62">
        <f ca="1">AVERAGE(OFFSET($R$3,0,0,'Données projet'!$E$9+1,1))-AVERAGE(OFFSET($H$3,0,0,'Données projet'!$E$9+1,1))</f>
        <v>411.98877330238821</v>
      </c>
      <c r="T62" s="62">
        <f t="shared" si="34"/>
        <v>256.4377087753457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1.3535861977610144</v>
      </c>
      <c r="AB62" s="23">
        <f>EXP(-LN(2)/2)*AB61+(1-EXP(-LN(2)/2))/(LN(2)/2)*V62*Y62*VLOOKUP('Données projet'!$B$9,Paramètres!$A$1:$I$89,3,0)*0.475*44/12</f>
        <v>6.0698036963554669E-4</v>
      </c>
      <c r="AC62" s="24">
        <f t="shared" si="3"/>
        <v>1.35419317813065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-5.9412741393316544E-14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356.31271939877655</v>
      </c>
      <c r="AO62" s="62">
        <f t="shared" si="36"/>
        <v>499.70544707812991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18.117599278444342</v>
      </c>
      <c r="AW62" s="23">
        <f>EXP(-LN(2)/2)*AW61+(1-EXP(-LN(2)/2))/(LN(2)/2)*AQ62*AT62*VLOOKUP('Données projet'!$B$10,Paramètres!$A$1:$I$89,3,0)*0.475*44/12</f>
        <v>8.4094239993258825E-4</v>
      </c>
      <c r="AX62" s="23">
        <f t="shared" si="6"/>
        <v>18.118440220844274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</v>
      </c>
      <c r="BD62" s="13">
        <f>IF('Données projet'!$A$88&gt;35,BD61+BC62-BL61,IF(A62&lt;'Données projet'!$A$88,$BA$205^A62,IF(A62='Données projet'!$A$88,'Données projet'!$B$88,BD61+BC62-BL61)))</f>
        <v>136.99999999999994</v>
      </c>
      <c r="BE62" s="14">
        <f>BD62*VLOOKUP('Données projet'!$B$11,Paramètres!$A$1:$I$89,3,0)*VLOOKUP('Données projet'!$B$11,Paramètres!$A$1:$I$89,5,0)</f>
        <v>119.68319999999996</v>
      </c>
      <c r="BF62" s="14">
        <f t="shared" si="37"/>
        <v>31.601099532596166</v>
      </c>
      <c r="BG62" s="22">
        <f t="shared" si="7"/>
        <v>263.4868216859382</v>
      </c>
      <c r="BH62" s="62">
        <f t="shared" si="8"/>
        <v>556.82015501927151</v>
      </c>
      <c r="BI62" s="62">
        <f ca="1">AVERAGE(OFFSET($BH$3,0,0,'Données projet'!$E$11+1,1))-AVERAGE(OFFSET($H$3,0,0,'Données projet'!$E$11+1,1))</f>
        <v>195.30963433439501</v>
      </c>
      <c r="BJ62" s="62">
        <f t="shared" si="38"/>
        <v>185.00219255324504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-5.6843418860808015E-14</v>
      </c>
      <c r="BZ62" s="14">
        <f>BY62*VLOOKUP('Données projet'!$B$12,Paramètres!$A$1:$I$89,3,0)*VLOOKUP('Données projet'!$B$12,Paramètres!$A$1:$I$89,5,0)</f>
        <v>-4.9658410716801891E-14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303.33040062722074</v>
      </c>
      <c r="CE62" s="62">
        <f t="shared" si="40"/>
        <v>425.30058672361548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15.143068053625123</v>
      </c>
      <c r="CM62" s="23">
        <f>EXP(-LN(2)/2)*CM61+(1-EXP(-LN(2)/2))/(LN(2)/2)*CG62*CJ62*VLOOKUP('Données projet'!$B$12,Paramètres!$A$1:$I$89,3,0)*0.475*44/12</f>
        <v>7.028772297944018E-4</v>
      </c>
      <c r="CN62" s="24">
        <f t="shared" si="12"/>
        <v>15.143770930854918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13.5</v>
      </c>
      <c r="CT62" s="13">
        <f>IF('Données projet'!$A$140&gt;35,CT61+CS62-DB61,IF(A62&lt;'Données projet'!$A$140,$CQ$205^A62,IF(A62='Données projet'!$A$140,'Données projet'!$B$140,CT61+CS62-DB61)))</f>
        <v>498.49999999999989</v>
      </c>
      <c r="CU62" s="18">
        <f>CT62*VLOOKUP('Données projet'!$B$13,Paramètres!$A$1:$I$89,3,0)*VLOOKUP('Données projet'!$B$13,Paramètres!$A$1:$I$89,5,0)</f>
        <v>233.29799999999994</v>
      </c>
      <c r="CV62" s="14">
        <f t="shared" si="41"/>
        <v>56.995194277534011</v>
      </c>
      <c r="CW62" s="22">
        <f t="shared" si="13"/>
        <v>505.59398003337168</v>
      </c>
      <c r="CX62" s="62">
        <f t="shared" si="14"/>
        <v>798.92731336670499</v>
      </c>
      <c r="CY62" s="62">
        <f ca="1">AVERAGE(OFFSET($CX$3,0,0,'Données projet'!$E$13+1,1))-AVERAGE(OFFSET($H$3,0,0,'Données projet'!$E$13+1,1))</f>
        <v>396.92963589781414</v>
      </c>
      <c r="CZ62" s="62">
        <f t="shared" si="42"/>
        <v>294.38852181137639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216.99600000000009</v>
      </c>
      <c r="P63" s="14">
        <f t="shared" si="33"/>
        <v>53.461459647386917</v>
      </c>
      <c r="Q63" s="22">
        <f t="shared" si="53"/>
        <v>471.04674221919907</v>
      </c>
      <c r="R63" s="62">
        <f t="shared" si="0"/>
        <v>764.38007555253239</v>
      </c>
      <c r="S63" s="62">
        <f ca="1">AVERAGE(OFFSET($R$3,0,0,'Données projet'!$E$9+1,1))-AVERAGE(OFFSET($H$3,0,0,'Données projet'!$E$9+1,1))</f>
        <v>411.98877330238821</v>
      </c>
      <c r="T63" s="62">
        <f t="shared" si="34"/>
        <v>256.4377087753457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1.3165723120012349</v>
      </c>
      <c r="AB63" s="23">
        <f>EXP(-LN(2)/2)*AB62+(1-EXP(-LN(2)/2))/(LN(2)/2)*V63*Y63*VLOOKUP('Données projet'!$B$9,Paramètres!$A$1:$I$89,3,0)*0.475*44/12</f>
        <v>4.2919993541641225E-4</v>
      </c>
      <c r="AC63" s="24">
        <f t="shared" si="3"/>
        <v>1.3170015119366514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-5.9412741393316544E-14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356.31271939877655</v>
      </c>
      <c r="AO63" s="62">
        <f t="shared" si="36"/>
        <v>499.70544707812991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17.622172573412143</v>
      </c>
      <c r="AW63" s="23">
        <f>EXP(-LN(2)/2)*AW62+(1-EXP(-LN(2)/2))/(LN(2)/2)*AQ63*AT63*VLOOKUP('Données projet'!$B$10,Paramètres!$A$1:$I$89,3,0)*0.475*44/12</f>
        <v>5.9463607357962281E-4</v>
      </c>
      <c r="AX63" s="23">
        <f t="shared" si="6"/>
        <v>17.622767209485723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140</v>
      </c>
      <c r="BB63" s="13">
        <f>VLOOKUP(A63,'Données projet'!$A$87:$I$107,9,0)</f>
        <v>3</v>
      </c>
      <c r="BC63" s="13">
        <f t="array" ref="BC63">INDEX(BB:BB,MIN(IF(ISNUMBER(BB63:BB259),ROW(BB63:BB259),"")))</f>
        <v>3</v>
      </c>
      <c r="BD63" s="13">
        <f>IF('Données projet'!$A$88&gt;35,BD62+BC63-BL62,IF(A63&lt;'Données projet'!$A$88,$BA$205^A63,IF(A63='Données projet'!$A$88,'Données projet'!$B$88,BD62+BC63-BL62)))</f>
        <v>139.99999999999994</v>
      </c>
      <c r="BE63" s="14">
        <f>BD63*VLOOKUP('Données projet'!$B$11,Paramètres!$A$1:$I$89,3,0)*VLOOKUP('Données projet'!$B$11,Paramètres!$A$1:$I$89,5,0)</f>
        <v>122.30399999999997</v>
      </c>
      <c r="BF63" s="14">
        <f t="shared" si="37"/>
        <v>32.211773226559373</v>
      </c>
      <c r="BG63" s="22">
        <f t="shared" si="7"/>
        <v>269.11497170292421</v>
      </c>
      <c r="BH63" s="62">
        <f t="shared" si="8"/>
        <v>562.44830503625758</v>
      </c>
      <c r="BI63" s="62">
        <f ca="1">AVERAGE(OFFSET($BH$3,0,0,'Données projet'!$E$11+1,1))-AVERAGE(OFFSET($H$3,0,0,'Données projet'!$E$11+1,1))</f>
        <v>195.30963433439501</v>
      </c>
      <c r="BJ63" s="62">
        <f t="shared" si="38"/>
        <v>185.00219255324504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-5.6843418860808015E-14</v>
      </c>
      <c r="BZ63" s="14">
        <f>BY63*VLOOKUP('Données projet'!$B$12,Paramètres!$A$1:$I$89,3,0)*VLOOKUP('Données projet'!$B$12,Paramètres!$A$1:$I$89,5,0)</f>
        <v>-4.9658410716801891E-14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303.33040062722074</v>
      </c>
      <c r="CE63" s="62">
        <f t="shared" si="40"/>
        <v>425.30058672361548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14.728980061359405</v>
      </c>
      <c r="CM63" s="23">
        <f>EXP(-LN(2)/2)*CM62+(1-EXP(-LN(2)/2))/(LN(2)/2)*CG63*CJ63*VLOOKUP('Données projet'!$B$12,Paramètres!$A$1:$I$89,3,0)*0.475*44/12</f>
        <v>4.9700925552923674E-4</v>
      </c>
      <c r="CN63" s="24">
        <f t="shared" si="12"/>
        <v>14.729477070614934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512</v>
      </c>
      <c r="CR63" s="13">
        <f>VLOOKUP(A63,'Données projet'!$A$139:$I$159,9,0)</f>
        <v>13.5</v>
      </c>
      <c r="CS63" s="13">
        <f t="array" ref="CS63">INDEX(CR:CR,MIN(IF(ISNUMBER(CR63:CR259),ROW(CR63:CR259),"")))</f>
        <v>13.5</v>
      </c>
      <c r="CT63" s="13">
        <f>IF('Données projet'!$A$140&gt;35,CT62+CS63-DB62,IF(A63&lt;'Données projet'!$A$140,$CQ$205^A63,IF(A63='Données projet'!$A$140,'Données projet'!$B$140,CT62+CS63-DB62)))</f>
        <v>511.99999999999989</v>
      </c>
      <c r="CU63" s="18">
        <f>CT63*VLOOKUP('Données projet'!$B$13,Paramètres!$A$1:$I$89,3,0)*VLOOKUP('Données projet'!$B$13,Paramètres!$A$1:$I$89,5,0)</f>
        <v>239.61599999999996</v>
      </c>
      <c r="CV63" s="14">
        <f t="shared" si="41"/>
        <v>58.356903313490157</v>
      </c>
      <c r="CW63" s="22">
        <f t="shared" si="13"/>
        <v>518.96947327099531</v>
      </c>
      <c r="CX63" s="62">
        <f t="shared" si="14"/>
        <v>812.30280660432868</v>
      </c>
      <c r="CY63" s="62">
        <f ca="1">AVERAGE(OFFSET($CX$3,0,0,'Données projet'!$E$13+1,1))-AVERAGE(OFFSET($H$3,0,0,'Données projet'!$E$13+1,1))</f>
        <v>396.92963589781414</v>
      </c>
      <c r="CZ63" s="62">
        <f t="shared" si="42"/>
        <v>294.38852181137639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102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203.00280000000009</v>
      </c>
      <c r="P64" s="14">
        <f t="shared" si="33"/>
        <v>50.403518824343074</v>
      </c>
      <c r="Q64" s="22">
        <f t="shared" si="53"/>
        <v>441.34933861906433</v>
      </c>
      <c r="R64" s="62">
        <f t="shared" si="0"/>
        <v>734.68267195239764</v>
      </c>
      <c r="S64" s="62">
        <f ca="1">AVERAGE(OFFSET($R$3,0,0,'Données projet'!$E$9+1,1))-AVERAGE(OFFSET($H$3,0,0,'Données projet'!$E$9+1,1))</f>
        <v>411.98877330238821</v>
      </c>
      <c r="T64" s="62">
        <f t="shared" si="34"/>
        <v>256.4377087753457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1.2805705728940324</v>
      </c>
      <c r="AB64" s="23">
        <f>EXP(-LN(2)/2)*AB63+(1-EXP(-LN(2)/2))/(LN(2)/2)*V64*Y64*VLOOKUP('Données projet'!$B$9,Paramètres!$A$1:$I$89,3,0)*0.475*44/12</f>
        <v>3.0349018481777335E-4</v>
      </c>
      <c r="AC64" s="24">
        <f t="shared" si="3"/>
        <v>1.2808740630788502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-5.9412741393316544E-14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356.31271939877655</v>
      </c>
      <c r="AO64" s="62">
        <f t="shared" si="36"/>
        <v>499.70544707812991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17.140293337682408</v>
      </c>
      <c r="AW64" s="23">
        <f>EXP(-LN(2)/2)*AW63+(1-EXP(-LN(2)/2))/(LN(2)/2)*AQ64*AT64*VLOOKUP('Données projet'!$B$10,Paramètres!$A$1:$I$89,3,0)*0.475*44/12</f>
        <v>4.2047119996629413E-4</v>
      </c>
      <c r="AX64" s="23">
        <f t="shared" si="6"/>
        <v>17.140713808882374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2.6</v>
      </c>
      <c r="BD64" s="13">
        <f>IF('Données projet'!$A$88&gt;35,BD63+BC64-BL63,IF(A64&lt;'Données projet'!$A$88,$BA$205^A64,IF(A64='Données projet'!$A$88,'Données projet'!$B$88,BD63+BC64-BL63)))</f>
        <v>135.59999999999994</v>
      </c>
      <c r="BE64" s="14">
        <f>BD64*VLOOKUP('Données projet'!$B$11,Paramètres!$A$1:$I$89,3,0)*VLOOKUP('Données projet'!$B$11,Paramètres!$A$1:$I$89,5,0)</f>
        <v>118.46015999999997</v>
      </c>
      <c r="BF64" s="14">
        <f t="shared" si="37"/>
        <v>31.315587396029674</v>
      </c>
      <c r="BG64" s="22">
        <f t="shared" si="7"/>
        <v>260.85942671475163</v>
      </c>
      <c r="BH64" s="62">
        <f t="shared" si="8"/>
        <v>554.19276004808489</v>
      </c>
      <c r="BI64" s="62">
        <f ca="1">AVERAGE(OFFSET($BH$3,0,0,'Données projet'!$E$11+1,1))-AVERAGE(OFFSET($H$3,0,0,'Données projet'!$E$11+1,1))</f>
        <v>195.30963433439501</v>
      </c>
      <c r="BJ64" s="62">
        <f t="shared" si="38"/>
        <v>185.00219255324504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-5.6843418860808015E-14</v>
      </c>
      <c r="BZ64" s="14">
        <f>BY64*VLOOKUP('Données projet'!$B$12,Paramètres!$A$1:$I$89,3,0)*VLOOKUP('Données projet'!$B$12,Paramètres!$A$1:$I$89,5,0)</f>
        <v>-4.9658410716801891E-14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303.33040062722074</v>
      </c>
      <c r="CE64" s="62">
        <f t="shared" si="40"/>
        <v>425.30058672361548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14.326215327018133</v>
      </c>
      <c r="CM64" s="23">
        <f>EXP(-LN(2)/2)*CM63+(1-EXP(-LN(2)/2))/(LN(2)/2)*CG64*CJ64*VLOOKUP('Données projet'!$B$12,Paramètres!$A$1:$I$89,3,0)*0.475*44/12</f>
        <v>3.514386148972009E-4</v>
      </c>
      <c r="CN64" s="24">
        <f t="shared" si="12"/>
        <v>14.32656676563303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15.5</v>
      </c>
      <c r="CT64" s="13">
        <f>IF('Données projet'!$A$140&gt;35,CT63+CS64-DB63,IF(A64&lt;'Données projet'!$A$140,$CQ$205^A64,IF(A64='Données projet'!$A$140,'Données projet'!$B$140,CT63+CS64-DB63)))</f>
        <v>425.49999999999989</v>
      </c>
      <c r="CU64" s="18">
        <f>CT64*VLOOKUP('Données projet'!$B$13,Paramètres!$A$1:$I$89,3,0)*VLOOKUP('Données projet'!$B$13,Paramètres!$A$1:$I$89,5,0)</f>
        <v>199.13399999999993</v>
      </c>
      <c r="CV64" s="14">
        <f t="shared" si="41"/>
        <v>49.553799097205186</v>
      </c>
      <c r="CW64" s="22">
        <f t="shared" si="13"/>
        <v>433.13125009429888</v>
      </c>
      <c r="CX64" s="62">
        <f t="shared" si="14"/>
        <v>726.46458342763219</v>
      </c>
      <c r="CY64" s="62">
        <f ca="1">AVERAGE(OFFSET($CX$3,0,0,'Données projet'!$E$13+1,1))-AVERAGE(OFFSET($H$3,0,0,'Données projet'!$E$13+1,1))</f>
        <v>396.92963589781414</v>
      </c>
      <c r="CZ64" s="62">
        <f t="shared" si="42"/>
        <v>294.38852181137639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210.3036000000001</v>
      </c>
      <c r="P65" s="14">
        <f t="shared" si="33"/>
        <v>52.001924357524501</v>
      </c>
      <c r="Q65" s="22">
        <f t="shared" si="53"/>
        <v>456.84878825602203</v>
      </c>
      <c r="R65" s="62">
        <f t="shared" si="0"/>
        <v>750.18212158935535</v>
      </c>
      <c r="S65" s="62">
        <f ca="1">AVERAGE(OFFSET($R$3,0,0,'Données projet'!$E$9+1,1))-AVERAGE(OFFSET($H$3,0,0,'Données projet'!$E$9+1,1))</f>
        <v>411.98877330238821</v>
      </c>
      <c r="T65" s="62">
        <f t="shared" si="34"/>
        <v>256.4377087753457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1.2455533032359654</v>
      </c>
      <c r="AB65" s="23">
        <f>EXP(-LN(2)/2)*AB64+(1-EXP(-LN(2)/2))/(LN(2)/2)*V65*Y65*VLOOKUP('Données projet'!$B$9,Paramètres!$A$1:$I$89,3,0)*0.475*44/12</f>
        <v>2.1459996770820613E-4</v>
      </c>
      <c r="AC65" s="24">
        <f t="shared" si="3"/>
        <v>1.2457679032036735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-5.9412741393316544E-14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356.31271939877655</v>
      </c>
      <c r="AO65" s="62">
        <f t="shared" si="36"/>
        <v>499.70544707812991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16.67159111499463</v>
      </c>
      <c r="AW65" s="23">
        <f>EXP(-LN(2)/2)*AW64+(1-EXP(-LN(2)/2))/(LN(2)/2)*AQ65*AT65*VLOOKUP('Données projet'!$B$10,Paramètres!$A$1:$I$89,3,0)*0.475*44/12</f>
        <v>2.9731803678981141E-4</v>
      </c>
      <c r="AX65" s="23">
        <f t="shared" si="6"/>
        <v>16.67188843303142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2.6</v>
      </c>
      <c r="BD65" s="13">
        <f>IF('Données projet'!$A$88&gt;35,BD64+BC65-BL64,IF(A65&lt;'Données projet'!$A$88,$BA$205^A65,IF(A65='Données projet'!$A$88,'Données projet'!$B$88,BD64+BC65-BL64)))</f>
        <v>138.19999999999993</v>
      </c>
      <c r="BE65" s="14">
        <f>BD65*VLOOKUP('Données projet'!$B$11,Paramètres!$A$1:$I$89,3,0)*VLOOKUP('Données projet'!$B$11,Paramètres!$A$1:$I$89,5,0)</f>
        <v>120.73151999999995</v>
      </c>
      <c r="BF65" s="14">
        <f t="shared" si="37"/>
        <v>31.845553926050336</v>
      </c>
      <c r="BG65" s="22">
        <f t="shared" si="7"/>
        <v>265.73840375453756</v>
      </c>
      <c r="BH65" s="62">
        <f t="shared" si="8"/>
        <v>559.07173708787082</v>
      </c>
      <c r="BI65" s="62">
        <f ca="1">AVERAGE(OFFSET($BH$3,0,0,'Données projet'!$E$11+1,1))-AVERAGE(OFFSET($H$3,0,0,'Données projet'!$E$11+1,1))</f>
        <v>195.30963433439501</v>
      </c>
      <c r="BJ65" s="62">
        <f t="shared" si="38"/>
        <v>185.00219255324504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-5.6843418860808015E-14</v>
      </c>
      <c r="BZ65" s="14">
        <f>BY65*VLOOKUP('Données projet'!$B$12,Paramètres!$A$1:$I$89,3,0)*VLOOKUP('Données projet'!$B$12,Paramètres!$A$1:$I$89,5,0)</f>
        <v>-4.9658410716801891E-14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303.33040062722074</v>
      </c>
      <c r="CE65" s="62">
        <f t="shared" si="40"/>
        <v>425.30058672361548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13.934464215517901</v>
      </c>
      <c r="CM65" s="23">
        <f>EXP(-LN(2)/2)*CM64+(1-EXP(-LN(2)/2))/(LN(2)/2)*CG65*CJ65*VLOOKUP('Données projet'!$B$12,Paramètres!$A$1:$I$89,3,0)*0.475*44/12</f>
        <v>2.4850462776461837E-4</v>
      </c>
      <c r="CN65" s="24">
        <f t="shared" si="12"/>
        <v>13.934712720145665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15.5</v>
      </c>
      <c r="CT65" s="13">
        <f>IF('Données projet'!$A$140&gt;35,CT64+CS65-DB64,IF(A65&lt;'Données projet'!$A$140,$CQ$205^A65,IF(A65='Données projet'!$A$140,'Données projet'!$B$140,CT64+CS65-DB64)))</f>
        <v>440.99999999999989</v>
      </c>
      <c r="CU65" s="18">
        <f>CT65*VLOOKUP('Données projet'!$B$13,Paramètres!$A$1:$I$89,3,0)*VLOOKUP('Données projet'!$B$13,Paramètres!$A$1:$I$89,5,0)</f>
        <v>206.38799999999995</v>
      </c>
      <c r="CV65" s="14">
        <f t="shared" si="41"/>
        <v>51.145477584014834</v>
      </c>
      <c r="CW65" s="22">
        <f t="shared" si="13"/>
        <v>448.53747345882579</v>
      </c>
      <c r="CX65" s="62">
        <f t="shared" si="14"/>
        <v>741.8708067921591</v>
      </c>
      <c r="CY65" s="62">
        <f ca="1">AVERAGE(OFFSET($CX$3,0,0,'Données projet'!$E$13+1,1))-AVERAGE(OFFSET($H$3,0,0,'Données projet'!$E$13+1,1))</f>
        <v>396.92963589781414</v>
      </c>
      <c r="CZ65" s="62">
        <f t="shared" si="42"/>
        <v>294.38852181137639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217.60440000000006</v>
      </c>
      <c r="P66" s="14">
        <f t="shared" si="33"/>
        <v>53.593882578706406</v>
      </c>
      <c r="Q66" s="22">
        <f t="shared" si="53"/>
        <v>472.33700882458038</v>
      </c>
      <c r="R66" s="62">
        <f t="shared" si="0"/>
        <v>765.67034215791364</v>
      </c>
      <c r="S66" s="62">
        <f ca="1">AVERAGE(OFFSET($R$3,0,0,'Données projet'!$E$9+1,1))-AVERAGE(OFFSET($H$3,0,0,'Données projet'!$E$9+1,1))</f>
        <v>411.98877330238821</v>
      </c>
      <c r="T66" s="62">
        <f t="shared" si="34"/>
        <v>256.4377087753457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1.2114935826581765</v>
      </c>
      <c r="AB66" s="23">
        <f>EXP(-LN(2)/2)*AB65+(1-EXP(-LN(2)/2))/(LN(2)/2)*V66*Y66*VLOOKUP('Données projet'!$B$9,Paramètres!$A$1:$I$89,3,0)*0.475*44/12</f>
        <v>1.5174509240888667E-4</v>
      </c>
      <c r="AC66" s="24">
        <f t="shared" si="3"/>
        <v>1.2116453277505854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-5.9412741393316544E-14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356.31271939877655</v>
      </c>
      <c r="AO66" s="62">
        <f t="shared" si="36"/>
        <v>499.70544707812991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16.215705579234228</v>
      </c>
      <c r="AW66" s="23">
        <f>EXP(-LN(2)/2)*AW65+(1-EXP(-LN(2)/2))/(LN(2)/2)*AQ66*AT66*VLOOKUP('Données projet'!$B$10,Paramètres!$A$1:$I$89,3,0)*0.475*44/12</f>
        <v>2.1023559998314706E-4</v>
      </c>
      <c r="AX66" s="23">
        <f t="shared" si="6"/>
        <v>16.215915814834212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2.6</v>
      </c>
      <c r="BD66" s="13">
        <f>IF('Données projet'!$A$88&gt;35,BD65+BC66-BL65,IF(A66&lt;'Données projet'!$A$88,$BA$205^A66,IF(A66='Données projet'!$A$88,'Données projet'!$B$88,BD65+BC66-BL65)))</f>
        <v>140.79999999999993</v>
      </c>
      <c r="BE66" s="14">
        <f>BD66*VLOOKUP('Données projet'!$B$11,Paramètres!$A$1:$I$89,3,0)*VLOOKUP('Données projet'!$B$11,Paramètres!$A$1:$I$89,5,0)</f>
        <v>123.00287999999996</v>
      </c>
      <c r="BF66" s="14">
        <f t="shared" si="37"/>
        <v>32.374361095906167</v>
      </c>
      <c r="BG66" s="22">
        <f t="shared" si="7"/>
        <v>270.61536157536983</v>
      </c>
      <c r="BH66" s="62">
        <f t="shared" si="8"/>
        <v>563.94869490870315</v>
      </c>
      <c r="BI66" s="62">
        <f ca="1">AVERAGE(OFFSET($BH$3,0,0,'Données projet'!$E$11+1,1))-AVERAGE(OFFSET($H$3,0,0,'Données projet'!$E$11+1,1))</f>
        <v>195.30963433439501</v>
      </c>
      <c r="BJ66" s="62">
        <f t="shared" si="38"/>
        <v>185.00219255324504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-5.6843418860808015E-14</v>
      </c>
      <c r="BZ66" s="14">
        <f>BY66*VLOOKUP('Données projet'!$B$12,Paramètres!$A$1:$I$89,3,0)*VLOOKUP('Données projet'!$B$12,Paramètres!$A$1:$I$89,5,0)</f>
        <v>-4.9658410716801891E-14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303.33040062722074</v>
      </c>
      <c r="CE66" s="62">
        <f t="shared" si="40"/>
        <v>425.30058672361548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13.553425558762939</v>
      </c>
      <c r="CM66" s="23">
        <f>EXP(-LN(2)/2)*CM65+(1-EXP(-LN(2)/2))/(LN(2)/2)*CG66*CJ66*VLOOKUP('Données projet'!$B$12,Paramètres!$A$1:$I$89,3,0)*0.475*44/12</f>
        <v>1.7571930744860045E-4</v>
      </c>
      <c r="CN66" s="24">
        <f t="shared" si="12"/>
        <v>13.553601278070387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15.5</v>
      </c>
      <c r="CT66" s="13">
        <f>IF('Données projet'!$A$140&gt;35,CT65+CS66-DB65,IF(A66&lt;'Données projet'!$A$140,$CQ$205^A66,IF(A66='Données projet'!$A$140,'Données projet'!$B$140,CT65+CS66-DB65)))</f>
        <v>456.49999999999989</v>
      </c>
      <c r="CU66" s="18">
        <f>CT66*VLOOKUP('Données projet'!$B$13,Paramètres!$A$1:$I$89,3,0)*VLOOKUP('Données projet'!$B$13,Paramètres!$A$1:$I$89,5,0)</f>
        <v>213.64199999999994</v>
      </c>
      <c r="CV66" s="14">
        <f t="shared" si="41"/>
        <v>52.730656153675348</v>
      </c>
      <c r="CW66" s="22">
        <f t="shared" si="13"/>
        <v>463.93237613431779</v>
      </c>
      <c r="CX66" s="62">
        <f t="shared" si="14"/>
        <v>757.26570946765105</v>
      </c>
      <c r="CY66" s="62">
        <f ca="1">AVERAGE(OFFSET($CX$3,0,0,'Données projet'!$E$13+1,1))-AVERAGE(OFFSET($H$3,0,0,'Données projet'!$E$13+1,1))</f>
        <v>396.92963589781414</v>
      </c>
      <c r="CZ66" s="62">
        <f t="shared" si="42"/>
        <v>294.38852181137639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224.90520000000006</v>
      </c>
      <c r="P67" s="14">
        <f t="shared" si="33"/>
        <v>55.17963460003309</v>
      </c>
      <c r="Q67" s="22">
        <f t="shared" ref="Q67:Q98" si="54">(O67+P67)*0.475*44/12</f>
        <v>487.81442026172436</v>
      </c>
      <c r="R67" s="62">
        <f t="shared" ref="R67:R130" si="55">Q67+(I67+J67)*44/12</f>
        <v>781.14775359505768</v>
      </c>
      <c r="S67" s="62">
        <f ca="1">AVERAGE(OFFSET($R$3,0,0,'Données projet'!$E$9+1,1))-AVERAGE(OFFSET($H$3,0,0,'Données projet'!$E$9+1,1))</f>
        <v>411.98877330238821</v>
      </c>
      <c r="T67" s="62">
        <f t="shared" si="34"/>
        <v>256.4377087753457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1.1783652269307101</v>
      </c>
      <c r="AB67" s="23">
        <f>EXP(-LN(2)/2)*AB66+(1-EXP(-LN(2)/2))/(LN(2)/2)*V67*Y67*VLOOKUP('Données projet'!$B$9,Paramètres!$A$1:$I$89,3,0)*0.475*44/12</f>
        <v>1.0729998385410306E-4</v>
      </c>
      <c r="AC67" s="24">
        <f t="shared" si="3"/>
        <v>1.1784725269145642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-5.9412741393316544E-14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356.31271939877655</v>
      </c>
      <c r="AO67" s="62">
        <f t="shared" si="36"/>
        <v>499.70544707812991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15.772286257423174</v>
      </c>
      <c r="AW67" s="23">
        <f>EXP(-LN(2)/2)*AW66+(1-EXP(-LN(2)/2))/(LN(2)/2)*AQ67*AT67*VLOOKUP('Données projet'!$B$10,Paramètres!$A$1:$I$89,3,0)*0.475*44/12</f>
        <v>1.486590183949057E-4</v>
      </c>
      <c r="AX67" s="23">
        <f t="shared" si="6"/>
        <v>15.772434916441568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2.6</v>
      </c>
      <c r="BD67" s="13">
        <f>IF('Données projet'!$A$88&gt;35,BD66+BC67-BL66,IF(A67&lt;'Données projet'!$A$88,$BA$205^A67,IF(A67='Données projet'!$A$88,'Données projet'!$B$88,BD66+BC67-BL66)))</f>
        <v>143.39999999999992</v>
      </c>
      <c r="BE67" s="14">
        <f>BD67*VLOOKUP('Données projet'!$B$11,Paramètres!$A$1:$I$89,3,0)*VLOOKUP('Données projet'!$B$11,Paramètres!$A$1:$I$89,5,0)</f>
        <v>125.27423999999993</v>
      </c>
      <c r="BF67" s="14">
        <f t="shared" si="37"/>
        <v>32.902032783270968</v>
      </c>
      <c r="BG67" s="22">
        <f t="shared" si="7"/>
        <v>275.49034176419684</v>
      </c>
      <c r="BH67" s="62">
        <f t="shared" si="8"/>
        <v>568.82367509753021</v>
      </c>
      <c r="BI67" s="62">
        <f ca="1">AVERAGE(OFFSET($BH$3,0,0,'Données projet'!$E$11+1,1))-AVERAGE(OFFSET($H$3,0,0,'Données projet'!$E$11+1,1))</f>
        <v>195.30963433439501</v>
      </c>
      <c r="BJ67" s="62">
        <f t="shared" si="38"/>
        <v>185.00219255324504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-5.6843418860808015E-14</v>
      </c>
      <c r="BZ67" s="14">
        <f>BY67*VLOOKUP('Données projet'!$B$12,Paramètres!$A$1:$I$89,3,0)*VLOOKUP('Données projet'!$B$12,Paramètres!$A$1:$I$89,5,0)</f>
        <v>-4.9658410716801891E-14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303.33040062722074</v>
      </c>
      <c r="CE67" s="62">
        <f t="shared" si="40"/>
        <v>425.30058672361548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13.182806424114894</v>
      </c>
      <c r="CM67" s="23">
        <f>EXP(-LN(2)/2)*CM66+(1-EXP(-LN(2)/2))/(LN(2)/2)*CG67*CJ67*VLOOKUP('Données projet'!$B$12,Paramètres!$A$1:$I$89,3,0)*0.475*44/12</f>
        <v>1.2425231388230918E-4</v>
      </c>
      <c r="CN67" s="24">
        <f t="shared" si="12"/>
        <v>13.182930676428777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15.5</v>
      </c>
      <c r="CT67" s="13">
        <f>IF('Données projet'!$A$140&gt;35,CT66+CS67-DB66,IF(A67&lt;'Données projet'!$A$140,$CQ$205^A67,IF(A67='Données projet'!$A$140,'Données projet'!$B$140,CT66+CS67-DB66)))</f>
        <v>471.99999999999989</v>
      </c>
      <c r="CU67" s="18">
        <f>CT67*VLOOKUP('Données projet'!$B$13,Paramètres!$A$1:$I$89,3,0)*VLOOKUP('Données projet'!$B$13,Paramètres!$A$1:$I$89,5,0)</f>
        <v>220.89599999999996</v>
      </c>
      <c r="CV67" s="14">
        <f t="shared" si="41"/>
        <v>54.309580803412281</v>
      </c>
      <c r="CW67" s="22">
        <f t="shared" si="13"/>
        <v>479.31638656594299</v>
      </c>
      <c r="CX67" s="62">
        <f t="shared" si="14"/>
        <v>772.64971989927631</v>
      </c>
      <c r="CY67" s="62">
        <f ca="1">AVERAGE(OFFSET($CX$3,0,0,'Données projet'!$E$13+1,1))-AVERAGE(OFFSET($H$3,0,0,'Données projet'!$E$13+1,1))</f>
        <v>396.92963589781414</v>
      </c>
      <c r="CZ67" s="62">
        <f t="shared" si="42"/>
        <v>294.38852181137639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232.20600000000005</v>
      </c>
      <c r="P68" s="14">
        <f t="shared" si="33"/>
        <v>56.759404991217572</v>
      </c>
      <c r="Q68" s="22">
        <f t="shared" si="54"/>
        <v>503.28141369303734</v>
      </c>
      <c r="R68" s="62">
        <f t="shared" si="55"/>
        <v>796.61474702637065</v>
      </c>
      <c r="S68" s="62">
        <f ca="1">AVERAGE(OFFSET($R$3,0,0,'Données projet'!$E$9+1,1))-AVERAGE(OFFSET($H$3,0,0,'Données projet'!$E$9+1,1))</f>
        <v>411.98877330238821</v>
      </c>
      <c r="T68" s="62">
        <f t="shared" si="34"/>
        <v>256.4377087753457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1.1461427678327558</v>
      </c>
      <c r="AB68" s="23">
        <f>EXP(-LN(2)/2)*AB67+(1-EXP(-LN(2)/2))/(LN(2)/2)*V68*Y68*VLOOKUP('Données projet'!$B$9,Paramètres!$A$1:$I$89,3,0)*0.475*44/12</f>
        <v>7.5872546204443336E-5</v>
      </c>
      <c r="AC68" s="24">
        <f t="shared" ref="AC68:AC131" si="57">SUM(Z68:AB68)</f>
        <v>1.1462186403789603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-5.9412741393316544E-14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356.31271939877655</v>
      </c>
      <c r="AO68" s="62">
        <f t="shared" si="36"/>
        <v>499.70544707812991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15.34099226028545</v>
      </c>
      <c r="AW68" s="23">
        <f>EXP(-LN(2)/2)*AW67+(1-EXP(-LN(2)/2))/(LN(2)/2)*AQ68*AT68*VLOOKUP('Données projet'!$B$10,Paramètres!$A$1:$I$89,3,0)*0.475*44/12</f>
        <v>1.0511779999157353E-4</v>
      </c>
      <c r="AX68" s="23">
        <f t="shared" ref="AX68:AX131" si="60">SUM(AU68:AW68)</f>
        <v>15.341097378085442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146</v>
      </c>
      <c r="BB68" s="13">
        <f>VLOOKUP(A68,'Données projet'!$A$87:$I$107,9,0)</f>
        <v>2.6</v>
      </c>
      <c r="BC68" s="13">
        <f t="array" ref="BC68">INDEX(BB:BB,MIN(IF(ISNUMBER(BB68:BB264),ROW(BB68:BB264),"")))</f>
        <v>2.6</v>
      </c>
      <c r="BD68" s="13">
        <f>IF('Données projet'!$A$88&gt;35,BD67+BC68-BL67,IF(A68&lt;'Données projet'!$A$88,$BA$205^A68,IF(A68='Données projet'!$A$88,'Données projet'!$B$88,BD67+BC68-BL67)))</f>
        <v>145.99999999999991</v>
      </c>
      <c r="BE68" s="14">
        <f>BD68*VLOOKUP('Données projet'!$B$11,Paramètres!$A$1:$I$89,3,0)*VLOOKUP('Données projet'!$B$11,Paramètres!$A$1:$I$89,5,0)</f>
        <v>127.54559999999995</v>
      </c>
      <c r="BF68" s="14">
        <f t="shared" si="37"/>
        <v>33.428591950384806</v>
      </c>
      <c r="BG68" s="22">
        <f t="shared" ref="BG68:BG131" si="61">(BE68+BF68)*0.475*44/12</f>
        <v>280.36338431358678</v>
      </c>
      <c r="BH68" s="62">
        <f t="shared" ref="BH68:BH131" si="62">BG68+(AY68+AZ68)*44/12</f>
        <v>573.69671764692009</v>
      </c>
      <c r="BI68" s="62">
        <f ca="1">AVERAGE(OFFSET($BH$3,0,0,'Données projet'!$E$11+1,1))-AVERAGE(OFFSET($H$3,0,0,'Données projet'!$E$11+1,1))</f>
        <v>195.30963433439501</v>
      </c>
      <c r="BJ68" s="62">
        <f t="shared" si="38"/>
        <v>185.00219255324504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-5.6843418860808015E-14</v>
      </c>
      <c r="BZ68" s="14">
        <f>BY68*VLOOKUP('Données projet'!$B$12,Paramètres!$A$1:$I$89,3,0)*VLOOKUP('Données projet'!$B$12,Paramètres!$A$1:$I$89,5,0)</f>
        <v>-4.9658410716801891E-14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303.33040062722074</v>
      </c>
      <c r="CE68" s="62">
        <f t="shared" si="40"/>
        <v>425.30058672361548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12.822321889193812</v>
      </c>
      <c r="CM68" s="23">
        <f>EXP(-LN(2)/2)*CM67+(1-EXP(-LN(2)/2))/(LN(2)/2)*CG68*CJ68*VLOOKUP('Données projet'!$B$12,Paramètres!$A$1:$I$89,3,0)*0.475*44/12</f>
        <v>8.7859653724300224E-5</v>
      </c>
      <c r="CN68" s="24">
        <f t="shared" ref="CN68:CN131" si="66">SUM(CK68:CM68)</f>
        <v>12.822409748847537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15.5</v>
      </c>
      <c r="CT68" s="13">
        <f>IF('Données projet'!$A$140&gt;35,CT67+CS68-DB67,IF(A68&lt;'Données projet'!$A$140,$CQ$205^A68,IF(A68='Données projet'!$A$140,'Données projet'!$B$140,CT67+CS68-DB67)))</f>
        <v>487.49999999999989</v>
      </c>
      <c r="CU68" s="18">
        <f>CT68*VLOOKUP('Données projet'!$B$13,Paramètres!$A$1:$I$89,3,0)*VLOOKUP('Données projet'!$B$13,Paramètres!$A$1:$I$89,5,0)</f>
        <v>228.14999999999992</v>
      </c>
      <c r="CV68" s="14">
        <f t="shared" si="41"/>
        <v>55.882480456847652</v>
      </c>
      <c r="CW68" s="22">
        <f t="shared" ref="CW68:CW131" si="67">(CU68+CV68)*0.475*44/12</f>
        <v>494.68990346234278</v>
      </c>
      <c r="CX68" s="62">
        <f t="shared" ref="CX68:CX131" si="68">CW68+(CO68+CP68)*44/12</f>
        <v>788.0232367956761</v>
      </c>
      <c r="CY68" s="62">
        <f ca="1">AVERAGE(OFFSET($CX$3,0,0,'Données projet'!$E$13+1,1))-AVERAGE(OFFSET($H$3,0,0,'Données projet'!$E$13+1,1))</f>
        <v>396.92963589781414</v>
      </c>
      <c r="CZ68" s="62">
        <f t="shared" si="42"/>
        <v>294.38852181137639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217.80720000000005</v>
      </c>
      <c r="P69" s="14">
        <f t="shared" ref="P69:P132" si="87">EXP(-1.0587+0.8836*LN(O69)+0.284)</f>
        <v>53.638013973813976</v>
      </c>
      <c r="Q69" s="22">
        <f t="shared" si="54"/>
        <v>472.76708100439265</v>
      </c>
      <c r="R69" s="62">
        <f t="shared" si="55"/>
        <v>766.10041433772597</v>
      </c>
      <c r="S69" s="62">
        <f ca="1">AVERAGE(OFFSET($R$3,0,0,'Données projet'!$E$9+1,1))-AVERAGE(OFFSET($H$3,0,0,'Données projet'!$E$9+1,1))</f>
        <v>411.98877330238821</v>
      </c>
      <c r="T69" s="62">
        <f t="shared" ref="T69:T132" si="88">$T$3</f>
        <v>256.4377087753457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1.1148014335733405</v>
      </c>
      <c r="AB69" s="23">
        <f>EXP(-LN(2)/2)*AB68+(1-EXP(-LN(2)/2))/(LN(2)/2)*V69*Y69*VLOOKUP('Données projet'!$B$9,Paramètres!$A$1:$I$89,3,0)*0.475*44/12</f>
        <v>5.3649991927051531E-5</v>
      </c>
      <c r="AC69" s="24">
        <f t="shared" si="57"/>
        <v>1.1148550835652675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-5.9412741393316544E-14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356.31271939877655</v>
      </c>
      <c r="AO69" s="62">
        <f t="shared" ref="AO69:AO132" si="90">$AO$3</f>
        <v>499.70544707812991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14.921492020180224</v>
      </c>
      <c r="AW69" s="23">
        <f>EXP(-LN(2)/2)*AW68+(1-EXP(-LN(2)/2))/(LN(2)/2)*AQ69*AT69*VLOOKUP('Données projet'!$B$10,Paramètres!$A$1:$I$89,3,0)*0.475*44/12</f>
        <v>7.4329509197452852E-5</v>
      </c>
      <c r="AX69" s="23">
        <f t="shared" si="60"/>
        <v>14.921566349689423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</v>
      </c>
      <c r="BD69" s="13">
        <f>IF('Données projet'!$A$88&gt;35,BD68+BC69-BL68,IF(A69&lt;'Données projet'!$A$88,$BA$205^A69,IF(A69='Données projet'!$A$88,'Données projet'!$B$88,BD68+BC69-BL68)))</f>
        <v>141.99999999999991</v>
      </c>
      <c r="BE69" s="14">
        <f>BD69*VLOOKUP('Données projet'!$B$11,Paramètres!$A$1:$I$89,3,0)*VLOOKUP('Données projet'!$B$11,Paramètres!$A$1:$I$89,5,0)</f>
        <v>124.05119999999994</v>
      </c>
      <c r="BF69" s="14">
        <f t="shared" ref="BF69:BF132" si="91">EXP(-1.0587+0.8836*LN(BE69)+0.284)</f>
        <v>32.618041559365977</v>
      </c>
      <c r="BG69" s="22">
        <f t="shared" si="61"/>
        <v>272.86559571589561</v>
      </c>
      <c r="BH69" s="62">
        <f t="shared" si="62"/>
        <v>566.19892904922892</v>
      </c>
      <c r="BI69" s="62">
        <f ca="1">AVERAGE(OFFSET($BH$3,0,0,'Données projet'!$E$11+1,1))-AVERAGE(OFFSET($H$3,0,0,'Données projet'!$E$11+1,1))</f>
        <v>195.30963433439501</v>
      </c>
      <c r="BJ69" s="62">
        <f t="shared" ref="BJ69:BJ132" si="92">$BJ$3</f>
        <v>185.00219255324504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-5.6843418860808015E-14</v>
      </c>
      <c r="BZ69" s="14">
        <f>BY69*VLOOKUP('Données projet'!$B$12,Paramètres!$A$1:$I$89,3,0)*VLOOKUP('Données projet'!$B$12,Paramètres!$A$1:$I$89,5,0)</f>
        <v>-4.9658410716801891E-14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303.33040062722074</v>
      </c>
      <c r="CE69" s="62">
        <f t="shared" ref="CE69:CE132" si="94">$CE$3</f>
        <v>425.30058672361548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12.471694822837206</v>
      </c>
      <c r="CM69" s="23">
        <f>EXP(-LN(2)/2)*CM68+(1-EXP(-LN(2)/2))/(LN(2)/2)*CG69*CJ69*VLOOKUP('Données projet'!$B$12,Paramètres!$A$1:$I$89,3,0)*0.475*44/12</f>
        <v>6.2126156941154592E-5</v>
      </c>
      <c r="CN69" s="24">
        <f t="shared" si="66"/>
        <v>12.471756948994146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15.5</v>
      </c>
      <c r="CT69" s="13">
        <f>IF('Données projet'!$A$140&gt;35,CT68+CS69-DB68,IF(A69&lt;'Données projet'!$A$140,$CQ$205^A69,IF(A69='Données projet'!$A$140,'Données projet'!$B$140,CT68+CS69-DB68)))</f>
        <v>502.99999999999989</v>
      </c>
      <c r="CU69" s="18">
        <f>CT69*VLOOKUP('Données projet'!$B$13,Paramètres!$A$1:$I$89,3,0)*VLOOKUP('Données projet'!$B$13,Paramètres!$A$1:$I$89,5,0)</f>
        <v>235.40399999999994</v>
      </c>
      <c r="CV69" s="14">
        <f t="shared" ref="CV69:CV132" si="95">EXP(-1.0587+0.8836*LN(CU69)+0.284)</f>
        <v>57.449568653781753</v>
      </c>
      <c r="CW69" s="22">
        <f t="shared" si="67"/>
        <v>510.05329873866975</v>
      </c>
      <c r="CX69" s="62">
        <f t="shared" si="68"/>
        <v>803.38663207200307</v>
      </c>
      <c r="CY69" s="62">
        <f ca="1">AVERAGE(OFFSET($CX$3,0,0,'Données projet'!$E$13+1,1))-AVERAGE(OFFSET($H$3,0,0,'Données projet'!$E$13+1,1))</f>
        <v>396.92963589781414</v>
      </c>
      <c r="CZ69" s="62">
        <f t="shared" ref="CZ69:CZ132" si="96">$CZ$3</f>
        <v>294.38852181137639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224.7024000000001</v>
      </c>
      <c r="P70" s="14">
        <f t="shared" si="87"/>
        <v>55.135667706678312</v>
      </c>
      <c r="Q70" s="22">
        <f t="shared" si="54"/>
        <v>487.38463458913157</v>
      </c>
      <c r="R70" s="62">
        <f t="shared" si="55"/>
        <v>780.71796792246482</v>
      </c>
      <c r="S70" s="62">
        <f ca="1">AVERAGE(OFFSET($R$3,0,0,'Données projet'!$E$9+1,1))-AVERAGE(OFFSET($H$3,0,0,'Données projet'!$E$9+1,1))</f>
        <v>411.98877330238821</v>
      </c>
      <c r="T70" s="62">
        <f t="shared" si="88"/>
        <v>256.4377087753457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1.0843171297474181</v>
      </c>
      <c r="AB70" s="23">
        <f>EXP(-LN(2)/2)*AB69+(1-EXP(-LN(2)/2))/(LN(2)/2)*V70*Y70*VLOOKUP('Données projet'!$B$9,Paramètres!$A$1:$I$89,3,0)*0.475*44/12</f>
        <v>3.7936273102221668E-5</v>
      </c>
      <c r="AC70" s="24">
        <f t="shared" si="57"/>
        <v>1.0843550660205203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-5.9412741393316544E-14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356.31271939877655</v>
      </c>
      <c r="AO70" s="62">
        <f t="shared" si="90"/>
        <v>499.70544707812991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14.513463036201234</v>
      </c>
      <c r="AW70" s="23">
        <f>EXP(-LN(2)/2)*AW69+(1-EXP(-LN(2)/2))/(LN(2)/2)*AQ70*AT70*VLOOKUP('Données projet'!$B$10,Paramètres!$A$1:$I$89,3,0)*0.475*44/12</f>
        <v>5.2558899995786766E-5</v>
      </c>
      <c r="AX70" s="23">
        <f t="shared" si="60"/>
        <v>14.51351559510123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</v>
      </c>
      <c r="BD70" s="13">
        <f>IF('Données projet'!$A$88&gt;35,BD69+BC70-BL69,IF(A70&lt;'Données projet'!$A$88,$BA$205^A70,IF(A70='Données projet'!$A$88,'Données projet'!$B$88,BD69+BC70-BL69)))</f>
        <v>143.99999999999991</v>
      </c>
      <c r="BE70" s="14">
        <f>BD70*VLOOKUP('Données projet'!$B$11,Paramètres!$A$1:$I$89,3,0)*VLOOKUP('Données projet'!$B$11,Paramètres!$A$1:$I$89,5,0)</f>
        <v>125.79839999999994</v>
      </c>
      <c r="BF70" s="14">
        <f t="shared" si="91"/>
        <v>33.023644363399924</v>
      </c>
      <c r="BG70" s="22">
        <f t="shared" si="61"/>
        <v>276.61506059958811</v>
      </c>
      <c r="BH70" s="62">
        <f t="shared" si="62"/>
        <v>569.94839393292136</v>
      </c>
      <c r="BI70" s="62">
        <f ca="1">AVERAGE(OFFSET($BH$3,0,0,'Données projet'!$E$11+1,1))-AVERAGE(OFFSET($H$3,0,0,'Données projet'!$E$11+1,1))</f>
        <v>195.30963433439501</v>
      </c>
      <c r="BJ70" s="62">
        <f t="shared" si="92"/>
        <v>185.00219255324504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-5.6843418860808015E-14</v>
      </c>
      <c r="BZ70" s="14">
        <f>BY70*VLOOKUP('Données projet'!$B$12,Paramètres!$A$1:$I$89,3,0)*VLOOKUP('Données projet'!$B$12,Paramètres!$A$1:$I$89,5,0)</f>
        <v>-4.9658410716801891E-14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303.33040062722074</v>
      </c>
      <c r="CE70" s="62">
        <f t="shared" si="94"/>
        <v>425.30058672361548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12.130655672048796</v>
      </c>
      <c r="CM70" s="23">
        <f>EXP(-LN(2)/2)*CM69+(1-EXP(-LN(2)/2))/(LN(2)/2)*CG70*CJ70*VLOOKUP('Données projet'!$B$12,Paramètres!$A$1:$I$89,3,0)*0.475*44/12</f>
        <v>4.3929826862150112E-5</v>
      </c>
      <c r="CN70" s="24">
        <f t="shared" si="66"/>
        <v>12.130699601875659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15.5</v>
      </c>
      <c r="CT70" s="13">
        <f>IF('Données projet'!$A$140&gt;35,CT69+CS70-DB69,IF(A70&lt;'Données projet'!$A$140,$CQ$205^A70,IF(A70='Données projet'!$A$140,'Données projet'!$B$140,CT69+CS70-DB69)))</f>
        <v>518.49999999999989</v>
      </c>
      <c r="CU70" s="18">
        <f>CT70*VLOOKUP('Données projet'!$B$13,Paramètres!$A$1:$I$89,3,0)*VLOOKUP('Données projet'!$B$13,Paramètres!$A$1:$I$89,5,0)</f>
        <v>242.65799999999993</v>
      </c>
      <c r="CV70" s="14">
        <f t="shared" si="95"/>
        <v>59.011045025839607</v>
      </c>
      <c r="CW70" s="22">
        <f t="shared" si="67"/>
        <v>525.40692008667054</v>
      </c>
      <c r="CX70" s="62">
        <f t="shared" si="68"/>
        <v>818.74025342000391</v>
      </c>
      <c r="CY70" s="62">
        <f ca="1">AVERAGE(OFFSET($CX$3,0,0,'Données projet'!$E$13+1,1))-AVERAGE(OFFSET($H$3,0,0,'Données projet'!$E$13+1,1))</f>
        <v>396.92963589781414</v>
      </c>
      <c r="CZ70" s="62">
        <f t="shared" si="96"/>
        <v>294.38852181137639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231.59760000000006</v>
      </c>
      <c r="P71" s="14">
        <f t="shared" si="87"/>
        <v>56.627980714948151</v>
      </c>
      <c r="Q71" s="22">
        <f t="shared" si="54"/>
        <v>501.99288641186803</v>
      </c>
      <c r="R71" s="62">
        <f t="shared" si="55"/>
        <v>795.32621974520134</v>
      </c>
      <c r="S71" s="62">
        <f ca="1">AVERAGE(OFFSET($R$3,0,0,'Données projet'!$E$9+1,1))-AVERAGE(OFFSET($H$3,0,0,'Données projet'!$E$9+1,1))</f>
        <v>411.98877330238821</v>
      </c>
      <c r="T71" s="62">
        <f t="shared" si="88"/>
        <v>256.4377087753457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1.0546664208127154</v>
      </c>
      <c r="AB71" s="23">
        <f>EXP(-LN(2)/2)*AB70+(1-EXP(-LN(2)/2))/(LN(2)/2)*V71*Y71*VLOOKUP('Données projet'!$B$9,Paramètres!$A$1:$I$89,3,0)*0.475*44/12</f>
        <v>2.6824995963525766E-5</v>
      </c>
      <c r="AC71" s="24">
        <f t="shared" si="57"/>
        <v>1.0546932458086791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-5.9412741393316544E-14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356.31271939877655</v>
      </c>
      <c r="AO71" s="62">
        <f t="shared" si="90"/>
        <v>499.70544707812991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14.116591626246461</v>
      </c>
      <c r="AW71" s="23">
        <f>EXP(-LN(2)/2)*AW70+(1-EXP(-LN(2)/2))/(LN(2)/2)*AQ71*AT71*VLOOKUP('Données projet'!$B$10,Paramètres!$A$1:$I$89,3,0)*0.475*44/12</f>
        <v>3.7164754598726426E-5</v>
      </c>
      <c r="AX71" s="23">
        <f t="shared" si="60"/>
        <v>14.116628791001059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</v>
      </c>
      <c r="BD71" s="13">
        <f>IF('Données projet'!$A$88&gt;35,BD70+BC71-BL70,IF(A71&lt;'Données projet'!$A$88,$BA$205^A71,IF(A71='Données projet'!$A$88,'Données projet'!$B$88,BD70+BC71-BL70)))</f>
        <v>145.99999999999991</v>
      </c>
      <c r="BE71" s="14">
        <f>BD71*VLOOKUP('Données projet'!$B$11,Paramètres!$A$1:$I$89,3,0)*VLOOKUP('Données projet'!$B$11,Paramètres!$A$1:$I$89,5,0)</f>
        <v>127.54559999999995</v>
      </c>
      <c r="BF71" s="14">
        <f t="shared" si="91"/>
        <v>33.428591950384806</v>
      </c>
      <c r="BG71" s="22">
        <f t="shared" si="61"/>
        <v>280.36338431358678</v>
      </c>
      <c r="BH71" s="62">
        <f t="shared" si="62"/>
        <v>573.69671764692009</v>
      </c>
      <c r="BI71" s="62">
        <f ca="1">AVERAGE(OFFSET($BH$3,0,0,'Données projet'!$E$11+1,1))-AVERAGE(OFFSET($H$3,0,0,'Données projet'!$E$11+1,1))</f>
        <v>195.30963433439501</v>
      </c>
      <c r="BJ71" s="62">
        <f t="shared" si="92"/>
        <v>185.00219255324504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-5.6843418860808015E-14</v>
      </c>
      <c r="BZ71" s="14">
        <f>BY71*VLOOKUP('Données projet'!$B$12,Paramètres!$A$1:$I$89,3,0)*VLOOKUP('Données projet'!$B$12,Paramètres!$A$1:$I$89,5,0)</f>
        <v>-4.9658410716801891E-14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303.33040062722074</v>
      </c>
      <c r="CE71" s="62">
        <f t="shared" si="94"/>
        <v>425.30058672361548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11.798942254773165</v>
      </c>
      <c r="CM71" s="23">
        <f>EXP(-LN(2)/2)*CM70+(1-EXP(-LN(2)/2))/(LN(2)/2)*CG71*CJ71*VLOOKUP('Données projet'!$B$12,Paramètres!$A$1:$I$89,3,0)*0.475*44/12</f>
        <v>3.1063078470577296E-5</v>
      </c>
      <c r="CN71" s="24">
        <f t="shared" si="66"/>
        <v>11.798973317851635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15.5</v>
      </c>
      <c r="CT71" s="13">
        <f>IF('Données projet'!$A$140&gt;35,CT70+CS71-DB70,IF(A71&lt;'Données projet'!$A$140,$CQ$205^A71,IF(A71='Données projet'!$A$140,'Données projet'!$B$140,CT70+CS71-DB70)))</f>
        <v>533.99999999999989</v>
      </c>
      <c r="CU71" s="18">
        <f>CT71*VLOOKUP('Données projet'!$B$13,Paramètres!$A$1:$I$89,3,0)*VLOOKUP('Données projet'!$B$13,Paramètres!$A$1:$I$89,5,0)</f>
        <v>249.91199999999995</v>
      </c>
      <c r="CV71" s="14">
        <f t="shared" si="95"/>
        <v>60.56709659070836</v>
      </c>
      <c r="CW71" s="22">
        <f t="shared" si="67"/>
        <v>540.7510932288169</v>
      </c>
      <c r="CX71" s="62">
        <f t="shared" si="68"/>
        <v>834.08442656215016</v>
      </c>
      <c r="CY71" s="62">
        <f ca="1">AVERAGE(OFFSET($CX$3,0,0,'Données projet'!$E$13+1,1))-AVERAGE(OFFSET($H$3,0,0,'Données projet'!$E$13+1,1))</f>
        <v>396.92963589781414</v>
      </c>
      <c r="CZ71" s="62">
        <f t="shared" si="96"/>
        <v>294.38852181137639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238.4928000000001</v>
      </c>
      <c r="P72" s="14">
        <f t="shared" si="87"/>
        <v>58.115130258576592</v>
      </c>
      <c r="Q72" s="22">
        <f t="shared" si="54"/>
        <v>516.59214520035437</v>
      </c>
      <c r="R72" s="62">
        <f t="shared" si="55"/>
        <v>809.92547853368774</v>
      </c>
      <c r="S72" s="62">
        <f ca="1">AVERAGE(OFFSET($R$3,0,0,'Données projet'!$E$9+1,1))-AVERAGE(OFFSET($H$3,0,0,'Données projet'!$E$9+1,1))</f>
        <v>411.98877330238821</v>
      </c>
      <c r="T72" s="62">
        <f t="shared" si="88"/>
        <v>256.4377087753457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1.0258265120730952</v>
      </c>
      <c r="AB72" s="23">
        <f>EXP(-LN(2)/2)*AB71+(1-EXP(-LN(2)/2))/(LN(2)/2)*V72*Y72*VLOOKUP('Données projet'!$B$9,Paramètres!$A$1:$I$89,3,0)*0.475*44/12</f>
        <v>1.8968136551110834E-5</v>
      </c>
      <c r="AC72" s="24">
        <f t="shared" si="57"/>
        <v>1.0258454802096462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-5.9412741393316544E-14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356.31271939877655</v>
      </c>
      <c r="AO72" s="62">
        <f t="shared" si="90"/>
        <v>499.70544707812991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13.730572685867461</v>
      </c>
      <c r="AW72" s="23">
        <f>EXP(-LN(2)/2)*AW71+(1-EXP(-LN(2)/2))/(LN(2)/2)*AQ72*AT72*VLOOKUP('Données projet'!$B$10,Paramètres!$A$1:$I$89,3,0)*0.475*44/12</f>
        <v>2.6279449997893383E-5</v>
      </c>
      <c r="AX72" s="23">
        <f t="shared" si="60"/>
        <v>13.730598965317458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</v>
      </c>
      <c r="BD72" s="13">
        <f>IF('Données projet'!$A$88&gt;35,BD71+BC72-BL71,IF(A72&lt;'Données projet'!$A$88,$BA$205^A72,IF(A72='Données projet'!$A$88,'Données projet'!$B$88,BD71+BC72-BL71)))</f>
        <v>147.99999999999991</v>
      </c>
      <c r="BE72" s="14">
        <f>BD72*VLOOKUP('Données projet'!$B$11,Paramètres!$A$1:$I$89,3,0)*VLOOKUP('Données projet'!$B$11,Paramètres!$A$1:$I$89,5,0)</f>
        <v>129.29279999999994</v>
      </c>
      <c r="BF72" s="14">
        <f t="shared" si="91"/>
        <v>33.832894333299215</v>
      </c>
      <c r="BG72" s="22">
        <f t="shared" si="61"/>
        <v>284.11058429716269</v>
      </c>
      <c r="BH72" s="62">
        <f t="shared" si="62"/>
        <v>577.443917630496</v>
      </c>
      <c r="BI72" s="62">
        <f ca="1">AVERAGE(OFFSET($BH$3,0,0,'Données projet'!$E$11+1,1))-AVERAGE(OFFSET($H$3,0,0,'Données projet'!$E$11+1,1))</f>
        <v>195.30963433439501</v>
      </c>
      <c r="BJ72" s="62">
        <f t="shared" si="92"/>
        <v>185.00219255324504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-5.6843418860808015E-14</v>
      </c>
      <c r="BZ72" s="14">
        <f>BY72*VLOOKUP('Données projet'!$B$12,Paramètres!$A$1:$I$89,3,0)*VLOOKUP('Données projet'!$B$12,Paramètres!$A$1:$I$89,5,0)</f>
        <v>-4.9658410716801891E-14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303.33040062722074</v>
      </c>
      <c r="CE72" s="62">
        <f t="shared" si="94"/>
        <v>425.30058672361548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11.476299558336986</v>
      </c>
      <c r="CM72" s="23">
        <f>EXP(-LN(2)/2)*CM71+(1-EXP(-LN(2)/2))/(LN(2)/2)*CG72*CJ72*VLOOKUP('Données projet'!$B$12,Paramètres!$A$1:$I$89,3,0)*0.475*44/12</f>
        <v>2.1964913431075056E-5</v>
      </c>
      <c r="CN72" s="24">
        <f t="shared" si="66"/>
        <v>11.476321523250418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15.5</v>
      </c>
      <c r="CT72" s="13">
        <f>IF('Données projet'!$A$140&gt;35,CT71+CS72-DB71,IF(A72&lt;'Données projet'!$A$140,$CQ$205^A72,IF(A72='Données projet'!$A$140,'Données projet'!$B$140,CT71+CS72-DB71)))</f>
        <v>549.49999999999989</v>
      </c>
      <c r="CU72" s="18">
        <f>CT72*VLOOKUP('Données projet'!$B$13,Paramètres!$A$1:$I$89,3,0)*VLOOKUP('Données projet'!$B$13,Paramètres!$A$1:$I$89,5,0)</f>
        <v>257.16599999999994</v>
      </c>
      <c r="CV72" s="14">
        <f t="shared" si="95"/>
        <v>62.117898891884423</v>
      </c>
      <c r="CW72" s="22">
        <f t="shared" si="67"/>
        <v>556.08612390336521</v>
      </c>
      <c r="CX72" s="62">
        <f t="shared" si="68"/>
        <v>849.41945723669846</v>
      </c>
      <c r="CY72" s="62">
        <f ca="1">AVERAGE(OFFSET($CX$3,0,0,'Données projet'!$E$13+1,1))-AVERAGE(OFFSET($H$3,0,0,'Données projet'!$E$13+1,1))</f>
        <v>396.92963589781414</v>
      </c>
      <c r="CZ72" s="62">
        <f t="shared" si="96"/>
        <v>294.38852181137639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245.38800000000012</v>
      </c>
      <c r="P73" s="14">
        <f t="shared" si="87"/>
        <v>59.597282764919569</v>
      </c>
      <c r="Q73" s="22">
        <f t="shared" si="54"/>
        <v>531.18270081556841</v>
      </c>
      <c r="R73" s="62">
        <f t="shared" si="55"/>
        <v>824.51603414890178</v>
      </c>
      <c r="S73" s="62">
        <f ca="1">AVERAGE(OFFSET($R$3,0,0,'Données projet'!$E$9+1,1))-AVERAGE(OFFSET($H$3,0,0,'Données projet'!$E$9+1,1))</f>
        <v>411.98877330238821</v>
      </c>
      <c r="T73" s="62">
        <f t="shared" si="88"/>
        <v>256.4377087753457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0.99777523215458463</v>
      </c>
      <c r="AB73" s="23">
        <f>EXP(-LN(2)/2)*AB72+(1-EXP(-LN(2)/2))/(LN(2)/2)*V73*Y73*VLOOKUP('Données projet'!$B$9,Paramètres!$A$1:$I$89,3,0)*0.475*44/12</f>
        <v>1.3412497981762883E-5</v>
      </c>
      <c r="AC73" s="24">
        <f t="shared" si="57"/>
        <v>0.99778864465256645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-5.9412741393316544E-14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356.31271939877655</v>
      </c>
      <c r="AO73" s="62">
        <f t="shared" si="90"/>
        <v>499.70544707812991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13.355109453712979</v>
      </c>
      <c r="AW73" s="23">
        <f>EXP(-LN(2)/2)*AW72+(1-EXP(-LN(2)/2))/(LN(2)/2)*AQ73*AT73*VLOOKUP('Données projet'!$B$10,Paramètres!$A$1:$I$89,3,0)*0.475*44/12</f>
        <v>1.8582377299363213E-5</v>
      </c>
      <c r="AX73" s="23">
        <f t="shared" si="60"/>
        <v>13.355128036090278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150</v>
      </c>
      <c r="BB73" s="13">
        <f>VLOOKUP(A73,'Données projet'!$A$87:$I$107,9,0)</f>
        <v>2</v>
      </c>
      <c r="BC73" s="13">
        <f t="array" ref="BC73">INDEX(BB:BB,MIN(IF(ISNUMBER(BB73:BB269),ROW(BB73:BB269),"")))</f>
        <v>2</v>
      </c>
      <c r="BD73" s="13">
        <f>IF('Données projet'!$A$88&gt;35,BD72+BC73-BL72,IF(A73&lt;'Données projet'!$A$88,$BA$205^A73,IF(A73='Données projet'!$A$88,'Données projet'!$B$88,BD72+BC73-BL72)))</f>
        <v>149.99999999999991</v>
      </c>
      <c r="BE73" s="14">
        <f>BD73*VLOOKUP('Données projet'!$B$11,Paramètres!$A$1:$I$89,3,0)*VLOOKUP('Données projet'!$B$11,Paramètres!$A$1:$I$89,5,0)</f>
        <v>131.03999999999994</v>
      </c>
      <c r="BF73" s="14">
        <f t="shared" si="91"/>
        <v>34.236561238949889</v>
      </c>
      <c r="BG73" s="22">
        <f t="shared" si="61"/>
        <v>287.85667749117096</v>
      </c>
      <c r="BH73" s="62">
        <f t="shared" si="62"/>
        <v>581.19001082450427</v>
      </c>
      <c r="BI73" s="62">
        <f ca="1">AVERAGE(OFFSET($BH$3,0,0,'Données projet'!$E$11+1,1))-AVERAGE(OFFSET($H$3,0,0,'Données projet'!$E$11+1,1))</f>
        <v>195.30963433439501</v>
      </c>
      <c r="BJ73" s="62">
        <f t="shared" si="92"/>
        <v>185.00219255324504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-5.6843418860808015E-14</v>
      </c>
      <c r="BZ73" s="14">
        <f>BY73*VLOOKUP('Données projet'!$B$12,Paramètres!$A$1:$I$89,3,0)*VLOOKUP('Données projet'!$B$12,Paramètres!$A$1:$I$89,5,0)</f>
        <v>-4.9658410716801891E-14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303.33040062722074</v>
      </c>
      <c r="CE73" s="62">
        <f t="shared" si="94"/>
        <v>425.30058672361548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11.162479543401897</v>
      </c>
      <c r="CM73" s="23">
        <f>EXP(-LN(2)/2)*CM72+(1-EXP(-LN(2)/2))/(LN(2)/2)*CG73*CJ73*VLOOKUP('Données projet'!$B$12,Paramètres!$A$1:$I$89,3,0)*0.475*44/12</f>
        <v>1.5531539235288648E-5</v>
      </c>
      <c r="CN73" s="24">
        <f t="shared" si="66"/>
        <v>11.162495074941132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565</v>
      </c>
      <c r="CR73" s="13">
        <f>VLOOKUP(A73,'Données projet'!$A$139:$I$159,9,0)</f>
        <v>15.5</v>
      </c>
      <c r="CS73" s="13">
        <f t="array" ref="CS73">INDEX(CR:CR,MIN(IF(ISNUMBER(CR73:CR269),ROW(CR73:CR269),"")))</f>
        <v>15.5</v>
      </c>
      <c r="CT73" s="13">
        <f>IF('Données projet'!$A$140&gt;35,CT72+CS73-DB72,IF(A73&lt;'Données projet'!$A$140,$CQ$205^A73,IF(A73='Données projet'!$A$140,'Données projet'!$B$140,CT72+CS73-DB72)))</f>
        <v>564.99999999999989</v>
      </c>
      <c r="CU73" s="18">
        <f>CT73*VLOOKUP('Données projet'!$B$13,Paramètres!$A$1:$I$89,3,0)*VLOOKUP('Données projet'!$B$13,Paramètres!$A$1:$I$89,5,0)</f>
        <v>264.41999999999996</v>
      </c>
      <c r="CV73" s="14">
        <f t="shared" si="95"/>
        <v>63.663617006208391</v>
      </c>
      <c r="CW73" s="22">
        <f t="shared" si="67"/>
        <v>571.41229961914621</v>
      </c>
      <c r="CX73" s="62">
        <f t="shared" si="68"/>
        <v>864.74563295247958</v>
      </c>
      <c r="CY73" s="62">
        <f ca="1">AVERAGE(OFFSET($CX$3,0,0,'Données projet'!$E$13+1,1))-AVERAGE(OFFSET($H$3,0,0,'Données projet'!$E$13+1,1))</f>
        <v>396.92963589781414</v>
      </c>
      <c r="CZ73" s="62">
        <f t="shared" si="96"/>
        <v>294.38852181137639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113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230.5836000000001</v>
      </c>
      <c r="P74" s="14">
        <f t="shared" si="87"/>
        <v>56.408850878328018</v>
      </c>
      <c r="Q74" s="22">
        <f t="shared" si="54"/>
        <v>499.84518527975473</v>
      </c>
      <c r="R74" s="62">
        <f t="shared" si="55"/>
        <v>793.17851861308804</v>
      </c>
      <c r="S74" s="62">
        <f ca="1">AVERAGE(OFFSET($R$3,0,0,'Données projet'!$E$9+1,1))-AVERAGE(OFFSET($H$3,0,0,'Données projet'!$E$9+1,1))</f>
        <v>411.98877330238821</v>
      </c>
      <c r="T74" s="62">
        <f t="shared" si="88"/>
        <v>256.4377087753457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0.9704910159605985</v>
      </c>
      <c r="AB74" s="23">
        <f>EXP(-LN(2)/2)*AB73+(1-EXP(-LN(2)/2))/(LN(2)/2)*V74*Y74*VLOOKUP('Données projet'!$B$9,Paramètres!$A$1:$I$89,3,0)*0.475*44/12</f>
        <v>9.4840682755554171E-6</v>
      </c>
      <c r="AC74" s="24">
        <f t="shared" si="57"/>
        <v>0.970500500028874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-5.9412741393316544E-14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356.31271939877655</v>
      </c>
      <c r="AO74" s="62">
        <f t="shared" si="90"/>
        <v>499.70544707812991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12.989913283386516</v>
      </c>
      <c r="AW74" s="23">
        <f>EXP(-LN(2)/2)*AW73+(1-EXP(-LN(2)/2))/(LN(2)/2)*AQ74*AT74*VLOOKUP('Données projet'!$B$10,Paramètres!$A$1:$I$89,3,0)*0.475*44/12</f>
        <v>1.3139724998946691E-5</v>
      </c>
      <c r="AX74" s="23">
        <f t="shared" si="60"/>
        <v>12.989926423111514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</v>
      </c>
      <c r="BD74" s="13">
        <f>IF('Données projet'!$A$88&gt;35,BD73+BC74-BL73,IF(A74&lt;'Données projet'!$A$88,$BA$205^A74,IF(A74='Données projet'!$A$88,'Données projet'!$B$88,BD73+BC74-BL73)))</f>
        <v>146.99999999999991</v>
      </c>
      <c r="BE74" s="14">
        <f>BD74*VLOOKUP('Données projet'!$B$11,Paramètres!$A$1:$I$89,3,0)*VLOOKUP('Données projet'!$B$11,Paramètres!$A$1:$I$89,5,0)</f>
        <v>128.41919999999996</v>
      </c>
      <c r="BF74" s="14">
        <f t="shared" si="91"/>
        <v>33.630823177860727</v>
      </c>
      <c r="BG74" s="22">
        <f t="shared" si="61"/>
        <v>282.23712370144068</v>
      </c>
      <c r="BH74" s="62">
        <f t="shared" si="62"/>
        <v>575.57045703477399</v>
      </c>
      <c r="BI74" s="62">
        <f ca="1">AVERAGE(OFFSET($BH$3,0,0,'Données projet'!$E$11+1,1))-AVERAGE(OFFSET($H$3,0,0,'Données projet'!$E$11+1,1))</f>
        <v>195.30963433439501</v>
      </c>
      <c r="BJ74" s="62">
        <f t="shared" si="92"/>
        <v>185.00219255324504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-5.6843418860808015E-14</v>
      </c>
      <c r="BZ74" s="14">
        <f>BY74*VLOOKUP('Données projet'!$B$12,Paramètres!$A$1:$I$89,3,0)*VLOOKUP('Données projet'!$B$12,Paramètres!$A$1:$I$89,5,0)</f>
        <v>-4.9658410716801891E-14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303.33040062722074</v>
      </c>
      <c r="CE74" s="62">
        <f t="shared" si="94"/>
        <v>425.30058672361548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10.857240953278286</v>
      </c>
      <c r="CM74" s="23">
        <f>EXP(-LN(2)/2)*CM73+(1-EXP(-LN(2)/2))/(LN(2)/2)*CG74*CJ74*VLOOKUP('Données projet'!$B$12,Paramètres!$A$1:$I$89,3,0)*0.475*44/12</f>
        <v>1.0982456715537528E-5</v>
      </c>
      <c r="CN74" s="24">
        <f t="shared" si="66"/>
        <v>10.857251935735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17</v>
      </c>
      <c r="CT74" s="13">
        <f>IF('Données projet'!$A$140&gt;35,CT73+CS74-DB73,IF(A74&lt;'Données projet'!$A$140,$CQ$205^A74,IF(A74='Données projet'!$A$140,'Données projet'!$B$140,CT73+CS74-DB73)))</f>
        <v>468.99999999999989</v>
      </c>
      <c r="CU74" s="18">
        <f>CT74*VLOOKUP('Données projet'!$B$13,Paramètres!$A$1:$I$89,3,0)*VLOOKUP('Données projet'!$B$13,Paramètres!$A$1:$I$89,5,0)</f>
        <v>219.49199999999993</v>
      </c>
      <c r="CV74" s="14">
        <f t="shared" si="95"/>
        <v>54.004459579686618</v>
      </c>
      <c r="CW74" s="22">
        <f t="shared" si="67"/>
        <v>476.33966710128726</v>
      </c>
      <c r="CX74" s="62">
        <f t="shared" si="68"/>
        <v>769.67300043462058</v>
      </c>
      <c r="CY74" s="62">
        <f ca="1">AVERAGE(OFFSET($CX$3,0,0,'Données projet'!$E$13+1,1))-AVERAGE(OFFSET($H$3,0,0,'Données projet'!$E$13+1,1))</f>
        <v>396.92963589781414</v>
      </c>
      <c r="CZ74" s="62">
        <f t="shared" si="96"/>
        <v>294.38852181137639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237.0732000000001</v>
      </c>
      <c r="P75" s="14">
        <f t="shared" si="87"/>
        <v>57.809366223361302</v>
      </c>
      <c r="Q75" s="22">
        <f t="shared" si="54"/>
        <v>513.58713617235435</v>
      </c>
      <c r="R75" s="62">
        <f t="shared" si="55"/>
        <v>806.92046950568761</v>
      </c>
      <c r="S75" s="62">
        <f ca="1">AVERAGE(OFFSET($R$3,0,0,'Données projet'!$E$9+1,1))-AVERAGE(OFFSET($H$3,0,0,'Données projet'!$E$9+1,1))</f>
        <v>411.98877330238821</v>
      </c>
      <c r="T75" s="62">
        <f t="shared" si="88"/>
        <v>256.4377087753457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0.94395288809325151</v>
      </c>
      <c r="AB75" s="23">
        <f>EXP(-LN(2)/2)*AB74+(1-EXP(-LN(2)/2))/(LN(2)/2)*V75*Y75*VLOOKUP('Données projet'!$B$9,Paramètres!$A$1:$I$89,3,0)*0.475*44/12</f>
        <v>6.7062489908814414E-6</v>
      </c>
      <c r="AC75" s="24">
        <f t="shared" si="57"/>
        <v>0.94395959434224241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-5.9412741393316544E-14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356.31271939877655</v>
      </c>
      <c r="AO75" s="62">
        <f t="shared" si="90"/>
        <v>499.70544707812991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12.634703421542461</v>
      </c>
      <c r="AW75" s="23">
        <f>EXP(-LN(2)/2)*AW74+(1-EXP(-LN(2)/2))/(LN(2)/2)*AQ75*AT75*VLOOKUP('Données projet'!$B$10,Paramètres!$A$1:$I$89,3,0)*0.475*44/12</f>
        <v>9.2911886496816064E-6</v>
      </c>
      <c r="AX75" s="23">
        <f t="shared" si="60"/>
        <v>12.634712712731112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</v>
      </c>
      <c r="BD75" s="13">
        <f>IF('Données projet'!$A$88&gt;35,BD74+BC75-BL74,IF(A75&lt;'Données projet'!$A$88,$BA$205^A75,IF(A75='Données projet'!$A$88,'Données projet'!$B$88,BD74+BC75-BL74)))</f>
        <v>148.99999999999991</v>
      </c>
      <c r="BE75" s="14">
        <f>BD75*VLOOKUP('Données projet'!$B$11,Paramètres!$A$1:$I$89,3,0)*VLOOKUP('Données projet'!$B$11,Paramètres!$A$1:$I$89,5,0)</f>
        <v>130.16639999999992</v>
      </c>
      <c r="BF75" s="14">
        <f t="shared" si="91"/>
        <v>34.034806623706274</v>
      </c>
      <c r="BG75" s="22">
        <f t="shared" si="61"/>
        <v>285.98376820295493</v>
      </c>
      <c r="BH75" s="62">
        <f t="shared" si="62"/>
        <v>579.31710153628819</v>
      </c>
      <c r="BI75" s="62">
        <f ca="1">AVERAGE(OFFSET($BH$3,0,0,'Données projet'!$E$11+1,1))-AVERAGE(OFFSET($H$3,0,0,'Données projet'!$E$11+1,1))</f>
        <v>195.30963433439501</v>
      </c>
      <c r="BJ75" s="62">
        <f t="shared" si="92"/>
        <v>185.00219255324504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-5.6843418860808015E-14</v>
      </c>
      <c r="BZ75" s="14">
        <f>BY75*VLOOKUP('Données projet'!$B$12,Paramètres!$A$1:$I$89,3,0)*VLOOKUP('Données projet'!$B$12,Paramètres!$A$1:$I$89,5,0)</f>
        <v>-4.9658410716801891E-14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303.33040062722074</v>
      </c>
      <c r="CE75" s="62">
        <f t="shared" si="94"/>
        <v>425.30058672361548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10.560349128453403</v>
      </c>
      <c r="CM75" s="23">
        <f>EXP(-LN(2)/2)*CM74+(1-EXP(-LN(2)/2))/(LN(2)/2)*CG75*CJ75*VLOOKUP('Données projet'!$B$12,Paramètres!$A$1:$I$89,3,0)*0.475*44/12</f>
        <v>7.765769617644324E-6</v>
      </c>
      <c r="CN75" s="24">
        <f t="shared" si="66"/>
        <v>10.560356894223021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17</v>
      </c>
      <c r="CT75" s="13">
        <f>IF('Données projet'!$A$140&gt;35,CT74+CS75-DB74,IF(A75&lt;'Données projet'!$A$140,$CQ$205^A75,IF(A75='Données projet'!$A$140,'Données projet'!$B$140,CT74+CS75-DB74)))</f>
        <v>485.99999999999989</v>
      </c>
      <c r="CU75" s="18">
        <f>CT75*VLOOKUP('Données projet'!$B$13,Paramètres!$A$1:$I$89,3,0)*VLOOKUP('Données projet'!$B$13,Paramètres!$A$1:$I$89,5,0)</f>
        <v>227.44799999999995</v>
      </c>
      <c r="CV75" s="14">
        <f t="shared" si="95"/>
        <v>55.730521649800686</v>
      </c>
      <c r="CW75" s="22">
        <f t="shared" si="67"/>
        <v>493.20259187340275</v>
      </c>
      <c r="CX75" s="62">
        <f t="shared" si="68"/>
        <v>786.53592520673601</v>
      </c>
      <c r="CY75" s="62">
        <f ca="1">AVERAGE(OFFSET($CX$3,0,0,'Données projet'!$E$13+1,1))-AVERAGE(OFFSET($H$3,0,0,'Données projet'!$E$13+1,1))</f>
        <v>396.92963589781414</v>
      </c>
      <c r="CZ75" s="62">
        <f t="shared" si="96"/>
        <v>294.38852181137639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243.56280000000012</v>
      </c>
      <c r="P76" s="14">
        <f t="shared" si="87"/>
        <v>59.205425601852873</v>
      </c>
      <c r="Q76" s="22">
        <f t="shared" si="54"/>
        <v>527.32132625656061</v>
      </c>
      <c r="R76" s="62">
        <f t="shared" si="55"/>
        <v>820.65465958989398</v>
      </c>
      <c r="S76" s="62">
        <f ca="1">AVERAGE(OFFSET($R$3,0,0,'Données projet'!$E$9+1,1))-AVERAGE(OFFSET($H$3,0,0,'Données projet'!$E$9+1,1))</f>
        <v>411.98877330238821</v>
      </c>
      <c r="T76" s="62">
        <f t="shared" si="88"/>
        <v>256.4377087753457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0.91814044672801665</v>
      </c>
      <c r="AB76" s="23">
        <f>EXP(-LN(2)/2)*AB75+(1-EXP(-LN(2)/2))/(LN(2)/2)*V76*Y76*VLOOKUP('Données projet'!$B$9,Paramètres!$A$1:$I$89,3,0)*0.475*44/12</f>
        <v>4.7420341377777085E-6</v>
      </c>
      <c r="AC76" s="24">
        <f t="shared" si="57"/>
        <v>0.91814518876215445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-5.9412741393316544E-14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356.31271939877655</v>
      </c>
      <c r="AO76" s="62">
        <f t="shared" si="90"/>
        <v>499.70544707812991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12.289206792050207</v>
      </c>
      <c r="AW76" s="23">
        <f>EXP(-LN(2)/2)*AW75+(1-EXP(-LN(2)/2))/(LN(2)/2)*AQ76*AT76*VLOOKUP('Données projet'!$B$10,Paramètres!$A$1:$I$89,3,0)*0.475*44/12</f>
        <v>6.5698624994733457E-6</v>
      </c>
      <c r="AX76" s="23">
        <f t="shared" si="60"/>
        <v>12.289213361912706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</v>
      </c>
      <c r="BD76" s="13">
        <f>IF('Données projet'!$A$88&gt;35,BD75+BC76-BL75,IF(A76&lt;'Données projet'!$A$88,$BA$205^A76,IF(A76='Données projet'!$A$88,'Données projet'!$B$88,BD75+BC76-BL75)))</f>
        <v>150.99999999999991</v>
      </c>
      <c r="BE76" s="14">
        <f>BD76*VLOOKUP('Données projet'!$B$11,Paramètres!$A$1:$I$89,3,0)*VLOOKUP('Données projet'!$B$11,Paramètres!$A$1:$I$89,5,0)</f>
        <v>131.91359999999995</v>
      </c>
      <c r="BF76" s="14">
        <f t="shared" si="91"/>
        <v>34.438159352115974</v>
      </c>
      <c r="BG76" s="22">
        <f t="shared" si="61"/>
        <v>289.72931420493518</v>
      </c>
      <c r="BH76" s="62">
        <f t="shared" si="62"/>
        <v>583.06264753826849</v>
      </c>
      <c r="BI76" s="62">
        <f ca="1">AVERAGE(OFFSET($BH$3,0,0,'Données projet'!$E$11+1,1))-AVERAGE(OFFSET($H$3,0,0,'Données projet'!$E$11+1,1))</f>
        <v>195.30963433439501</v>
      </c>
      <c r="BJ76" s="62">
        <f t="shared" si="92"/>
        <v>185.00219255324504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-5.6843418860808015E-14</v>
      </c>
      <c r="BZ76" s="14">
        <f>BY76*VLOOKUP('Données projet'!$B$12,Paramètres!$A$1:$I$89,3,0)*VLOOKUP('Données projet'!$B$12,Paramètres!$A$1:$I$89,5,0)</f>
        <v>-4.9658410716801891E-14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303.33040062722074</v>
      </c>
      <c r="CE76" s="62">
        <f t="shared" si="94"/>
        <v>425.30058672361548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10.271575826191221</v>
      </c>
      <c r="CM76" s="23">
        <f>EXP(-LN(2)/2)*CM75+(1-EXP(-LN(2)/2))/(LN(2)/2)*CG76*CJ76*VLOOKUP('Données projet'!$B$12,Paramètres!$A$1:$I$89,3,0)*0.475*44/12</f>
        <v>5.491228357768764E-6</v>
      </c>
      <c r="CN76" s="24">
        <f t="shared" si="66"/>
        <v>10.271581317419578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17</v>
      </c>
      <c r="CT76" s="13">
        <f>IF('Données projet'!$A$140&gt;35,CT75+CS76-DB75,IF(A76&lt;'Données projet'!$A$140,$CQ$205^A76,IF(A76='Données projet'!$A$140,'Données projet'!$B$140,CT75+CS76-DB75)))</f>
        <v>502.99999999999989</v>
      </c>
      <c r="CU76" s="18">
        <f>CT76*VLOOKUP('Données projet'!$B$13,Paramètres!$A$1:$I$89,3,0)*VLOOKUP('Données projet'!$B$13,Paramètres!$A$1:$I$89,5,0)</f>
        <v>235.40399999999994</v>
      </c>
      <c r="CV76" s="14">
        <f t="shared" si="95"/>
        <v>57.449568653781753</v>
      </c>
      <c r="CW76" s="22">
        <f t="shared" si="67"/>
        <v>510.05329873866975</v>
      </c>
      <c r="CX76" s="62">
        <f t="shared" si="68"/>
        <v>803.38663207200307</v>
      </c>
      <c r="CY76" s="62">
        <f ca="1">AVERAGE(OFFSET($CX$3,0,0,'Données projet'!$E$13+1,1))-AVERAGE(OFFSET($H$3,0,0,'Données projet'!$E$13+1,1))</f>
        <v>396.92963589781414</v>
      </c>
      <c r="CZ76" s="62">
        <f t="shared" si="96"/>
        <v>294.38852181137639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250.05240000000012</v>
      </c>
      <c r="P77" s="14">
        <f t="shared" si="87"/>
        <v>60.597161386823522</v>
      </c>
      <c r="Q77" s="22">
        <f t="shared" si="54"/>
        <v>541.04798608205112</v>
      </c>
      <c r="R77" s="62">
        <f t="shared" si="55"/>
        <v>834.3813194153845</v>
      </c>
      <c r="S77" s="62">
        <f ca="1">AVERAGE(OFFSET($R$3,0,0,'Données projet'!$E$9+1,1))-AVERAGE(OFFSET($H$3,0,0,'Données projet'!$E$9+1,1))</f>
        <v>411.98877330238821</v>
      </c>
      <c r="T77" s="62">
        <f t="shared" si="88"/>
        <v>256.4377087753457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0.89303384792933138</v>
      </c>
      <c r="AB77" s="23">
        <f>EXP(-LN(2)/2)*AB76+(1-EXP(-LN(2)/2))/(LN(2)/2)*V77*Y77*VLOOKUP('Données projet'!$B$9,Paramètres!$A$1:$I$89,3,0)*0.475*44/12</f>
        <v>3.3531244954407207E-6</v>
      </c>
      <c r="AC77" s="24">
        <f t="shared" si="57"/>
        <v>0.89303720105382678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-5.9412741393316544E-14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356.31271939877655</v>
      </c>
      <c r="AO77" s="62">
        <f t="shared" si="90"/>
        <v>499.70544707812991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11.953157786060297</v>
      </c>
      <c r="AW77" s="23">
        <f>EXP(-LN(2)/2)*AW76+(1-EXP(-LN(2)/2))/(LN(2)/2)*AQ77*AT77*VLOOKUP('Données projet'!$B$10,Paramètres!$A$1:$I$89,3,0)*0.475*44/12</f>
        <v>4.6455943248408032E-6</v>
      </c>
      <c r="AX77" s="23">
        <f t="shared" si="60"/>
        <v>11.953162431654622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</v>
      </c>
      <c r="BD77" s="13">
        <f>IF('Données projet'!$A$88&gt;35,BD76+BC77-BL76,IF(A77&lt;'Données projet'!$A$88,$BA$205^A77,IF(A77='Données projet'!$A$88,'Données projet'!$B$88,BD76+BC77-BL76)))</f>
        <v>152.99999999999991</v>
      </c>
      <c r="BE77" s="14">
        <f>BD77*VLOOKUP('Données projet'!$B$11,Paramètres!$A$1:$I$89,3,0)*VLOOKUP('Données projet'!$B$11,Paramètres!$A$1:$I$89,5,0)</f>
        <v>133.66079999999994</v>
      </c>
      <c r="BF77" s="14">
        <f t="shared" si="91"/>
        <v>34.840890682716719</v>
      </c>
      <c r="BG77" s="22">
        <f t="shared" si="61"/>
        <v>293.47377793906486</v>
      </c>
      <c r="BH77" s="62">
        <f t="shared" si="62"/>
        <v>586.80711127239817</v>
      </c>
      <c r="BI77" s="62">
        <f ca="1">AVERAGE(OFFSET($BH$3,0,0,'Données projet'!$E$11+1,1))-AVERAGE(OFFSET($H$3,0,0,'Données projet'!$E$11+1,1))</f>
        <v>195.30963433439501</v>
      </c>
      <c r="BJ77" s="62">
        <f t="shared" si="92"/>
        <v>185.00219255324504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-5.6843418860808015E-14</v>
      </c>
      <c r="BZ77" s="14">
        <f>BY77*VLOOKUP('Données projet'!$B$12,Paramètres!$A$1:$I$89,3,0)*VLOOKUP('Données projet'!$B$12,Paramètres!$A$1:$I$89,5,0)</f>
        <v>-4.9658410716801891E-14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303.33040062722074</v>
      </c>
      <c r="CE77" s="62">
        <f t="shared" si="94"/>
        <v>425.30058672361548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9.990699045065325</v>
      </c>
      <c r="CM77" s="23">
        <f>EXP(-LN(2)/2)*CM76+(1-EXP(-LN(2)/2))/(LN(2)/2)*CG77*CJ77*VLOOKUP('Données projet'!$B$12,Paramètres!$A$1:$I$89,3,0)*0.475*44/12</f>
        <v>3.882884808822162E-6</v>
      </c>
      <c r="CN77" s="24">
        <f t="shared" si="66"/>
        <v>9.9907029279501334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17</v>
      </c>
      <c r="CT77" s="13">
        <f>IF('Données projet'!$A$140&gt;35,CT76+CS77-DB76,IF(A77&lt;'Données projet'!$A$140,$CQ$205^A77,IF(A77='Données projet'!$A$140,'Données projet'!$B$140,CT76+CS77-DB76)))</f>
        <v>519.99999999999989</v>
      </c>
      <c r="CU77" s="18">
        <f>CT77*VLOOKUP('Données projet'!$B$13,Paramètres!$A$1:$I$89,3,0)*VLOOKUP('Données projet'!$B$13,Paramètres!$A$1:$I$89,5,0)</f>
        <v>243.35999999999996</v>
      </c>
      <c r="CV77" s="14">
        <f t="shared" si="95"/>
        <v>59.161864860837127</v>
      </c>
      <c r="CW77" s="22">
        <f t="shared" si="67"/>
        <v>526.89224796595784</v>
      </c>
      <c r="CX77" s="62">
        <f t="shared" si="68"/>
        <v>820.22558129929121</v>
      </c>
      <c r="CY77" s="62">
        <f ca="1">AVERAGE(OFFSET($CX$3,0,0,'Données projet'!$E$13+1,1))-AVERAGE(OFFSET($H$3,0,0,'Données projet'!$E$13+1,1))</f>
        <v>396.92963589781414</v>
      </c>
      <c r="CZ77" s="62">
        <f t="shared" si="96"/>
        <v>294.38852181137639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256.54200000000014</v>
      </c>
      <c r="P78" s="14">
        <f t="shared" si="87"/>
        <v>61.984698688972557</v>
      </c>
      <c r="Q78" s="22">
        <f t="shared" si="54"/>
        <v>554.76733354996077</v>
      </c>
      <c r="R78" s="62">
        <f t="shared" si="55"/>
        <v>848.10066688329402</v>
      </c>
      <c r="S78" s="62">
        <f ca="1">AVERAGE(OFFSET($R$3,0,0,'Données projet'!$E$9+1,1))-AVERAGE(OFFSET($H$3,0,0,'Données projet'!$E$9+1,1))</f>
        <v>411.98877330238821</v>
      </c>
      <c r="T78" s="62">
        <f t="shared" si="88"/>
        <v>256.4377087753457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0.86861379039509479</v>
      </c>
      <c r="AB78" s="23">
        <f>EXP(-LN(2)/2)*AB77+(1-EXP(-LN(2)/2))/(LN(2)/2)*V78*Y78*VLOOKUP('Données projet'!$B$9,Paramètres!$A$1:$I$89,3,0)*0.475*44/12</f>
        <v>2.3710170688888543E-6</v>
      </c>
      <c r="AC78" s="24">
        <f t="shared" si="57"/>
        <v>0.86861616141216369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-5.9412741393316544E-14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356.31271939877655</v>
      </c>
      <c r="AO78" s="62">
        <f t="shared" si="90"/>
        <v>499.70544707812991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11.62629805781123</v>
      </c>
      <c r="AW78" s="23">
        <f>EXP(-LN(2)/2)*AW77+(1-EXP(-LN(2)/2))/(LN(2)/2)*AQ78*AT78*VLOOKUP('Données projet'!$B$10,Paramètres!$A$1:$I$89,3,0)*0.475*44/12</f>
        <v>3.2849312497366729E-6</v>
      </c>
      <c r="AX78" s="23">
        <f t="shared" si="60"/>
        <v>11.62630134274248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155</v>
      </c>
      <c r="BB78" s="13">
        <f>VLOOKUP(A78,'Données projet'!$A$87:$I$107,9,0)</f>
        <v>2</v>
      </c>
      <c r="BC78" s="13">
        <f t="array" ref="BC78">INDEX(BB:BB,MIN(IF(ISNUMBER(BB78:BB274),ROW(BB78:BB274),"")))</f>
        <v>2</v>
      </c>
      <c r="BD78" s="13">
        <f>IF('Données projet'!$A$88&gt;35,BD77+BC78-BL77,IF(A78&lt;'Données projet'!$A$88,$BA$205^A78,IF(A78='Données projet'!$A$88,'Données projet'!$B$88,BD77+BC78-BL77)))</f>
        <v>154.99999999999991</v>
      </c>
      <c r="BE78" s="14">
        <f>BD78*VLOOKUP('Données projet'!$B$11,Paramètres!$A$1:$I$89,3,0)*VLOOKUP('Données projet'!$B$11,Paramètres!$A$1:$I$89,5,0)</f>
        <v>135.40799999999993</v>
      </c>
      <c r="BF78" s="14">
        <f t="shared" si="91"/>
        <v>35.243009677478732</v>
      </c>
      <c r="BG78" s="22">
        <f t="shared" si="61"/>
        <v>297.21717518827535</v>
      </c>
      <c r="BH78" s="62">
        <f t="shared" si="62"/>
        <v>590.55050852160866</v>
      </c>
      <c r="BI78" s="62">
        <f ca="1">AVERAGE(OFFSET($BH$3,0,0,'Données projet'!$E$11+1,1))-AVERAGE(OFFSET($H$3,0,0,'Données projet'!$E$11+1,1))</f>
        <v>195.30963433439501</v>
      </c>
      <c r="BJ78" s="62">
        <f t="shared" si="92"/>
        <v>185.00219255324504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-5.6843418860808015E-14</v>
      </c>
      <c r="BZ78" s="14">
        <f>BY78*VLOOKUP('Données projet'!$B$12,Paramètres!$A$1:$I$89,3,0)*VLOOKUP('Données projet'!$B$12,Paramètres!$A$1:$I$89,5,0)</f>
        <v>-4.9658410716801891E-14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303.33040062722074</v>
      </c>
      <c r="CE78" s="62">
        <f t="shared" si="94"/>
        <v>425.30058672361548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9.7175028542899842</v>
      </c>
      <c r="CM78" s="23">
        <f>EXP(-LN(2)/2)*CM77+(1-EXP(-LN(2)/2))/(LN(2)/2)*CG78*CJ78*VLOOKUP('Données projet'!$B$12,Paramètres!$A$1:$I$89,3,0)*0.475*44/12</f>
        <v>2.745614178884382E-6</v>
      </c>
      <c r="CN78" s="24">
        <f t="shared" si="66"/>
        <v>9.7175055999041628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17</v>
      </c>
      <c r="CT78" s="13">
        <f>IF('Données projet'!$A$140&gt;35,CT77+CS78-DB77,IF(A78&lt;'Données projet'!$A$140,$CQ$205^A78,IF(A78='Données projet'!$A$140,'Données projet'!$B$140,CT77+CS78-DB77)))</f>
        <v>536.99999999999989</v>
      </c>
      <c r="CU78" s="18">
        <f>CT78*VLOOKUP('Données projet'!$B$13,Paramètres!$A$1:$I$89,3,0)*VLOOKUP('Données projet'!$B$13,Paramètres!$A$1:$I$89,5,0)</f>
        <v>251.31599999999997</v>
      </c>
      <c r="CV78" s="14">
        <f t="shared" si="95"/>
        <v>60.86765628024984</v>
      </c>
      <c r="CW78" s="22">
        <f t="shared" si="67"/>
        <v>543.71986802143499</v>
      </c>
      <c r="CX78" s="62">
        <f t="shared" si="68"/>
        <v>837.05320135476836</v>
      </c>
      <c r="CY78" s="62">
        <f ca="1">AVERAGE(OFFSET($CX$3,0,0,'Données projet'!$E$13+1,1))-AVERAGE(OFFSET($H$3,0,0,'Données projet'!$E$13+1,1))</f>
        <v>396.92963589781414</v>
      </c>
      <c r="CZ78" s="62">
        <f t="shared" si="96"/>
        <v>294.38852181137639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241.33200000000014</v>
      </c>
      <c r="P79" s="14">
        <f t="shared" si="87"/>
        <v>58.726024391301159</v>
      </c>
      <c r="Q79" s="22">
        <f t="shared" si="54"/>
        <v>522.60105914818303</v>
      </c>
      <c r="R79" s="62">
        <f t="shared" si="55"/>
        <v>815.9343924815164</v>
      </c>
      <c r="S79" s="62">
        <f ca="1">AVERAGE(OFFSET($R$3,0,0,'Données projet'!$E$9+1,1))-AVERAGE(OFFSET($H$3,0,0,'Données projet'!$E$9+1,1))</f>
        <v>411.98877330238821</v>
      </c>
      <c r="T79" s="62">
        <f t="shared" si="88"/>
        <v>256.4377087753457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0.84486150061832688</v>
      </c>
      <c r="AB79" s="23">
        <f>EXP(-LN(2)/2)*AB78+(1-EXP(-LN(2)/2))/(LN(2)/2)*V79*Y79*VLOOKUP('Données projet'!$B$9,Paramètres!$A$1:$I$89,3,0)*0.475*44/12</f>
        <v>1.6765622477203604E-6</v>
      </c>
      <c r="AC79" s="24">
        <f t="shared" si="57"/>
        <v>0.84486317718057458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-5.9412741393316544E-14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356.31271939877655</v>
      </c>
      <c r="AO79" s="62">
        <f t="shared" si="90"/>
        <v>499.70544707812991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11.308376326019939</v>
      </c>
      <c r="AW79" s="23">
        <f>EXP(-LN(2)/2)*AW78+(1-EXP(-LN(2)/2))/(LN(2)/2)*AQ79*AT79*VLOOKUP('Données projet'!$B$10,Paramètres!$A$1:$I$89,3,0)*0.475*44/12</f>
        <v>2.3227971624204016E-6</v>
      </c>
      <c r="AX79" s="23">
        <f t="shared" si="60"/>
        <v>11.308378648817101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1.6</v>
      </c>
      <c r="BD79" s="13">
        <f>IF('Données projet'!$A$88&gt;35,BD78+BC79-BL78,IF(A79&lt;'Données projet'!$A$88,$BA$205^A79,IF(A79='Données projet'!$A$88,'Données projet'!$B$88,BD78+BC79-BL78)))</f>
        <v>152.59999999999991</v>
      </c>
      <c r="BE79" s="14">
        <f>BD79*VLOOKUP('Données projet'!$B$11,Paramètres!$A$1:$I$89,3,0)*VLOOKUP('Données projet'!$B$11,Paramètres!$A$1:$I$89,5,0)</f>
        <v>133.31135999999995</v>
      </c>
      <c r="BF79" s="14">
        <f t="shared" si="91"/>
        <v>34.760393689821598</v>
      </c>
      <c r="BG79" s="22">
        <f t="shared" si="61"/>
        <v>292.72497100977256</v>
      </c>
      <c r="BH79" s="62">
        <f t="shared" si="62"/>
        <v>586.05830434310587</v>
      </c>
      <c r="BI79" s="62">
        <f ca="1">AVERAGE(OFFSET($BH$3,0,0,'Données projet'!$E$11+1,1))-AVERAGE(OFFSET($H$3,0,0,'Données projet'!$E$11+1,1))</f>
        <v>195.30963433439501</v>
      </c>
      <c r="BJ79" s="62">
        <f t="shared" si="92"/>
        <v>185.00219255324504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-5.6843418860808015E-14</v>
      </c>
      <c r="BZ79" s="14">
        <f>BY79*VLOOKUP('Données projet'!$B$12,Paramètres!$A$1:$I$89,3,0)*VLOOKUP('Données projet'!$B$12,Paramètres!$A$1:$I$89,5,0)</f>
        <v>-4.9658410716801891E-14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303.33040062722074</v>
      </c>
      <c r="CE79" s="62">
        <f t="shared" si="94"/>
        <v>425.30058672361548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9.4517772277181589</v>
      </c>
      <c r="CM79" s="23">
        <f>EXP(-LN(2)/2)*CM78+(1-EXP(-LN(2)/2))/(LN(2)/2)*CG79*CJ79*VLOOKUP('Données projet'!$B$12,Paramètres!$A$1:$I$89,3,0)*0.475*44/12</f>
        <v>1.941442404411081E-6</v>
      </c>
      <c r="CN79" s="24">
        <f t="shared" si="66"/>
        <v>9.451779169160563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17</v>
      </c>
      <c r="CT79" s="13">
        <f>IF('Données projet'!$A$140&gt;35,CT78+CS79-DB78,IF(A79&lt;'Données projet'!$A$140,$CQ$205^A79,IF(A79='Données projet'!$A$140,'Données projet'!$B$140,CT78+CS79-DB78)))</f>
        <v>553.99999999999989</v>
      </c>
      <c r="CU79" s="18">
        <f>CT79*VLOOKUP('Données projet'!$B$13,Paramètres!$A$1:$I$89,3,0)*VLOOKUP('Données projet'!$B$13,Paramètres!$A$1:$I$89,5,0)</f>
        <v>259.27199999999993</v>
      </c>
      <c r="CV79" s="14">
        <f t="shared" si="95"/>
        <v>62.567172460757938</v>
      </c>
      <c r="CW79" s="22">
        <f t="shared" si="67"/>
        <v>560.53655870248667</v>
      </c>
      <c r="CX79" s="62">
        <f t="shared" si="68"/>
        <v>853.86989203581993</v>
      </c>
      <c r="CY79" s="62">
        <f ca="1">AVERAGE(OFFSET($CX$3,0,0,'Données projet'!$E$13+1,1))-AVERAGE(OFFSET($H$3,0,0,'Données projet'!$E$13+1,1))</f>
        <v>396.92963589781414</v>
      </c>
      <c r="CZ79" s="62">
        <f t="shared" si="96"/>
        <v>294.38852181137639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247.41600000000014</v>
      </c>
      <c r="P80" s="14">
        <f t="shared" si="87"/>
        <v>60.032282000540242</v>
      </c>
      <c r="Q80" s="22">
        <f t="shared" si="54"/>
        <v>535.47242448427448</v>
      </c>
      <c r="R80" s="62">
        <f t="shared" si="55"/>
        <v>828.80575781760786</v>
      </c>
      <c r="S80" s="62">
        <f ca="1">AVERAGE(OFFSET($R$3,0,0,'Données projet'!$E$9+1,1))-AVERAGE(OFFSET($H$3,0,0,'Données projet'!$E$9+1,1))</f>
        <v>411.98877330238821</v>
      </c>
      <c r="T80" s="62">
        <f t="shared" si="88"/>
        <v>256.4377087753457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0.82175871845458337</v>
      </c>
      <c r="AB80" s="23">
        <f>EXP(-LN(2)/2)*AB79+(1-EXP(-LN(2)/2))/(LN(2)/2)*V80*Y80*VLOOKUP('Données projet'!$B$9,Paramètres!$A$1:$I$89,3,0)*0.475*44/12</f>
        <v>1.1855085344444271E-6</v>
      </c>
      <c r="AC80" s="24">
        <f t="shared" si="57"/>
        <v>0.82175990396311782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-5.9412741393316544E-14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356.31271939877655</v>
      </c>
      <c r="AO80" s="62">
        <f t="shared" si="90"/>
        <v>499.70544707812991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10.999148180703259</v>
      </c>
      <c r="AW80" s="23">
        <f>EXP(-LN(2)/2)*AW79+(1-EXP(-LN(2)/2))/(LN(2)/2)*AQ80*AT80*VLOOKUP('Données projet'!$B$10,Paramètres!$A$1:$I$89,3,0)*0.475*44/12</f>
        <v>1.6424656248683364E-6</v>
      </c>
      <c r="AX80" s="23">
        <f t="shared" si="60"/>
        <v>10.999149823168883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1.6</v>
      </c>
      <c r="BD80" s="13">
        <f>IF('Données projet'!$A$88&gt;35,BD79+BC80-BL79,IF(A80&lt;'Données projet'!$A$88,$BA$205^A80,IF(A80='Données projet'!$A$88,'Données projet'!$B$88,BD79+BC80-BL79)))</f>
        <v>154.1999999999999</v>
      </c>
      <c r="BE80" s="14">
        <f>BD80*VLOOKUP('Données projet'!$B$11,Paramètres!$A$1:$I$89,3,0)*VLOOKUP('Données projet'!$B$11,Paramètres!$A$1:$I$89,5,0)</f>
        <v>134.70911999999993</v>
      </c>
      <c r="BF80" s="14">
        <f t="shared" si="91"/>
        <v>35.082234990312983</v>
      </c>
      <c r="BG80" s="22">
        <f t="shared" si="61"/>
        <v>295.71994327479496</v>
      </c>
      <c r="BH80" s="62">
        <f t="shared" si="62"/>
        <v>589.05327660812827</v>
      </c>
      <c r="BI80" s="62">
        <f ca="1">AVERAGE(OFFSET($BH$3,0,0,'Données projet'!$E$11+1,1))-AVERAGE(OFFSET($H$3,0,0,'Données projet'!$E$11+1,1))</f>
        <v>195.30963433439501</v>
      </c>
      <c r="BJ80" s="62">
        <f t="shared" si="92"/>
        <v>185.00219255324504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-5.6843418860808015E-14</v>
      </c>
      <c r="BZ80" s="14">
        <f>BY80*VLOOKUP('Données projet'!$B$12,Paramètres!$A$1:$I$89,3,0)*VLOOKUP('Données projet'!$B$12,Paramètres!$A$1:$I$89,5,0)</f>
        <v>-4.9658410716801891E-14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303.33040062722074</v>
      </c>
      <c r="CE80" s="62">
        <f t="shared" si="94"/>
        <v>425.30058672361548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9.1933178823788442</v>
      </c>
      <c r="CM80" s="23">
        <f>EXP(-LN(2)/2)*CM79+(1-EXP(-LN(2)/2))/(LN(2)/2)*CG80*CJ80*VLOOKUP('Données projet'!$B$12,Paramètres!$A$1:$I$89,3,0)*0.475*44/12</f>
        <v>1.372807089442191E-6</v>
      </c>
      <c r="CN80" s="24">
        <f t="shared" si="66"/>
        <v>9.1933192551859335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17</v>
      </c>
      <c r="CT80" s="13">
        <f>IF('Données projet'!$A$140&gt;35,CT79+CS80-DB79,IF(A80&lt;'Données projet'!$A$140,$CQ$205^A80,IF(A80='Données projet'!$A$140,'Données projet'!$B$140,CT79+CS80-DB79)))</f>
        <v>570.99999999999989</v>
      </c>
      <c r="CU80" s="18">
        <f>CT80*VLOOKUP('Données projet'!$B$13,Paramètres!$A$1:$I$89,3,0)*VLOOKUP('Données projet'!$B$13,Paramètres!$A$1:$I$89,5,0)</f>
        <v>267.22799999999995</v>
      </c>
      <c r="CV80" s="14">
        <f t="shared" si="95"/>
        <v>64.260628062866161</v>
      </c>
      <c r="CW80" s="22">
        <f t="shared" si="67"/>
        <v>577.34269387615848</v>
      </c>
      <c r="CX80" s="62">
        <f t="shared" si="68"/>
        <v>870.67602720949185</v>
      </c>
      <c r="CY80" s="62">
        <f ca="1">AVERAGE(OFFSET($CX$3,0,0,'Données projet'!$E$13+1,1))-AVERAGE(OFFSET($H$3,0,0,'Données projet'!$E$13+1,1))</f>
        <v>396.92963589781414</v>
      </c>
      <c r="CZ80" s="62">
        <f t="shared" si="96"/>
        <v>294.38852181137639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253.50000000000014</v>
      </c>
      <c r="P81" s="14">
        <f t="shared" si="87"/>
        <v>61.334805663162555</v>
      </c>
      <c r="Q81" s="22">
        <f t="shared" si="54"/>
        <v>548.33728653000833</v>
      </c>
      <c r="R81" s="62">
        <f t="shared" si="55"/>
        <v>841.6706198633417</v>
      </c>
      <c r="S81" s="62">
        <f ca="1">AVERAGE(OFFSET($R$3,0,0,'Données projet'!$E$9+1,1))-AVERAGE(OFFSET($H$3,0,0,'Données projet'!$E$9+1,1))</f>
        <v>411.98877330238821</v>
      </c>
      <c r="T81" s="62">
        <f t="shared" si="88"/>
        <v>256.4377087753457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0.79928768308402998</v>
      </c>
      <c r="AB81" s="23">
        <f>EXP(-LN(2)/2)*AB80+(1-EXP(-LN(2)/2))/(LN(2)/2)*V81*Y81*VLOOKUP('Données projet'!$B$9,Paramètres!$A$1:$I$89,3,0)*0.475*44/12</f>
        <v>8.3828112386018018E-7</v>
      </c>
      <c r="AC81" s="24">
        <f t="shared" si="57"/>
        <v>0.79928852136515383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-5.9412741393316544E-14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356.31271939877655</v>
      </c>
      <c r="AO81" s="62">
        <f t="shared" si="90"/>
        <v>499.70544707812991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10.698375895281863</v>
      </c>
      <c r="AW81" s="23">
        <f>EXP(-LN(2)/2)*AW80+(1-EXP(-LN(2)/2))/(LN(2)/2)*AQ81*AT81*VLOOKUP('Données projet'!$B$10,Paramètres!$A$1:$I$89,3,0)*0.475*44/12</f>
        <v>1.1613985812102008E-6</v>
      </c>
      <c r="AX81" s="23">
        <f t="shared" si="60"/>
        <v>10.698377056680444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1.6</v>
      </c>
      <c r="BD81" s="13">
        <f>IF('Données projet'!$A$88&gt;35,BD80+BC81-BL80,IF(A81&lt;'Données projet'!$A$88,$BA$205^A81,IF(A81='Données projet'!$A$88,'Données projet'!$B$88,BD80+BC81-BL80)))</f>
        <v>155.7999999999999</v>
      </c>
      <c r="BE81" s="14">
        <f>BD81*VLOOKUP('Données projet'!$B$11,Paramètres!$A$1:$I$89,3,0)*VLOOKUP('Données projet'!$B$11,Paramètres!$A$1:$I$89,5,0)</f>
        <v>136.10687999999993</v>
      </c>
      <c r="BF81" s="14">
        <f t="shared" si="91"/>
        <v>35.403687803916242</v>
      </c>
      <c r="BG81" s="22">
        <f t="shared" si="61"/>
        <v>298.71423892515395</v>
      </c>
      <c r="BH81" s="62">
        <f t="shared" si="62"/>
        <v>592.04757225848721</v>
      </c>
      <c r="BI81" s="62">
        <f ca="1">AVERAGE(OFFSET($BH$3,0,0,'Données projet'!$E$11+1,1))-AVERAGE(OFFSET($H$3,0,0,'Données projet'!$E$11+1,1))</f>
        <v>195.30963433439501</v>
      </c>
      <c r="BJ81" s="62">
        <f t="shared" si="92"/>
        <v>185.00219255324504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-5.6843418860808015E-14</v>
      </c>
      <c r="BZ81" s="14">
        <f>BY81*VLOOKUP('Données projet'!$B$12,Paramètres!$A$1:$I$89,3,0)*VLOOKUP('Données projet'!$B$12,Paramètres!$A$1:$I$89,5,0)</f>
        <v>-4.9658410716801891E-14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303.33040062722074</v>
      </c>
      <c r="CE81" s="62">
        <f t="shared" si="94"/>
        <v>425.30058672361548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8.9419261214296188</v>
      </c>
      <c r="CM81" s="23">
        <f>EXP(-LN(2)/2)*CM80+(1-EXP(-LN(2)/2))/(LN(2)/2)*CG81*CJ81*VLOOKUP('Données projet'!$B$12,Paramètres!$A$1:$I$89,3,0)*0.475*44/12</f>
        <v>9.707212022055405E-7</v>
      </c>
      <c r="CN81" s="24">
        <f t="shared" si="66"/>
        <v>8.9419270921508218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17</v>
      </c>
      <c r="CT81" s="13">
        <f>IF('Données projet'!$A$140&gt;35,CT80+CS81-DB80,IF(A81&lt;'Données projet'!$A$140,$CQ$205^A81,IF(A81='Données projet'!$A$140,'Données projet'!$B$140,CT80+CS81-DB80)))</f>
        <v>587.99999999999989</v>
      </c>
      <c r="CU81" s="18">
        <f>CT81*VLOOKUP('Données projet'!$B$13,Paramètres!$A$1:$I$89,3,0)*VLOOKUP('Données projet'!$B$13,Paramètres!$A$1:$I$89,5,0)</f>
        <v>275.18399999999997</v>
      </c>
      <c r="CV81" s="14">
        <f t="shared" si="95"/>
        <v>65.948224238651079</v>
      </c>
      <c r="CW81" s="22">
        <f t="shared" si="67"/>
        <v>594.13862388231712</v>
      </c>
      <c r="CX81" s="62">
        <f t="shared" si="68"/>
        <v>887.47195721565049</v>
      </c>
      <c r="CY81" s="62">
        <f ca="1">AVERAGE(OFFSET($CX$3,0,0,'Données projet'!$E$13+1,1))-AVERAGE(OFFSET($H$3,0,0,'Données projet'!$E$13+1,1))</f>
        <v>396.92963589781414</v>
      </c>
      <c r="CZ81" s="62">
        <f t="shared" si="96"/>
        <v>294.38852181137639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259.58400000000017</v>
      </c>
      <c r="P82" s="14">
        <f t="shared" si="87"/>
        <v>62.63369530482359</v>
      </c>
      <c r="Q82" s="22">
        <f t="shared" si="54"/>
        <v>561.19581932256801</v>
      </c>
      <c r="R82" s="62">
        <f t="shared" si="55"/>
        <v>854.52915265590127</v>
      </c>
      <c r="S82" s="62">
        <f ca="1">AVERAGE(OFFSET($R$3,0,0,'Données projet'!$E$9+1,1))-AVERAGE(OFFSET($H$3,0,0,'Données projet'!$E$9+1,1))</f>
        <v>411.98877330238821</v>
      </c>
      <c r="T82" s="62">
        <f t="shared" si="88"/>
        <v>256.4377087753457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0.77743111935738474</v>
      </c>
      <c r="AB82" s="23">
        <f>EXP(-LN(2)/2)*AB81+(1-EXP(-LN(2)/2))/(LN(2)/2)*V82*Y82*VLOOKUP('Données projet'!$B$9,Paramètres!$A$1:$I$89,3,0)*0.475*44/12</f>
        <v>5.9275426722221357E-7</v>
      </c>
      <c r="AC82" s="24">
        <f t="shared" si="57"/>
        <v>0.77743171211165196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-5.9412741393316544E-14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356.31271939877655</v>
      </c>
      <c r="AO82" s="62">
        <f t="shared" si="90"/>
        <v>499.70544707812991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10.405828243822244</v>
      </c>
      <c r="AW82" s="23">
        <f>EXP(-LN(2)/2)*AW81+(1-EXP(-LN(2)/2))/(LN(2)/2)*AQ82*AT82*VLOOKUP('Données projet'!$B$10,Paramètres!$A$1:$I$89,3,0)*0.475*44/12</f>
        <v>8.2123281243416822E-7</v>
      </c>
      <c r="AX82" s="23">
        <f t="shared" si="60"/>
        <v>10.405829065055057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1.6</v>
      </c>
      <c r="BD82" s="13">
        <f>IF('Données projet'!$A$88&gt;35,BD81+BC82-BL81,IF(A82&lt;'Données projet'!$A$88,$BA$205^A82,IF(A82='Données projet'!$A$88,'Données projet'!$B$88,BD81+BC82-BL81)))</f>
        <v>157.39999999999989</v>
      </c>
      <c r="BE82" s="14">
        <f>BD82*VLOOKUP('Données projet'!$B$11,Paramètres!$A$1:$I$89,3,0)*VLOOKUP('Données projet'!$B$11,Paramètres!$A$1:$I$89,5,0)</f>
        <v>137.50463999999994</v>
      </c>
      <c r="BF82" s="14">
        <f t="shared" si="91"/>
        <v>35.724756582112299</v>
      </c>
      <c r="BG82" s="22">
        <f t="shared" si="61"/>
        <v>301.70786571384548</v>
      </c>
      <c r="BH82" s="62">
        <f t="shared" si="62"/>
        <v>595.04119904717879</v>
      </c>
      <c r="BI82" s="62">
        <f ca="1">AVERAGE(OFFSET($BH$3,0,0,'Données projet'!$E$11+1,1))-AVERAGE(OFFSET($H$3,0,0,'Données projet'!$E$11+1,1))</f>
        <v>195.30963433439501</v>
      </c>
      <c r="BJ82" s="62">
        <f t="shared" si="92"/>
        <v>185.00219255324504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-5.6843418860808015E-14</v>
      </c>
      <c r="BZ82" s="14">
        <f>BY82*VLOOKUP('Données projet'!$B$12,Paramètres!$A$1:$I$89,3,0)*VLOOKUP('Données projet'!$B$12,Paramètres!$A$1:$I$89,5,0)</f>
        <v>-4.9658410716801891E-14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303.33040062722074</v>
      </c>
      <c r="CE82" s="62">
        <f t="shared" si="94"/>
        <v>425.30058672361548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8.6974086814036689</v>
      </c>
      <c r="CM82" s="23">
        <f>EXP(-LN(2)/2)*CM81+(1-EXP(-LN(2)/2))/(LN(2)/2)*CG82*CJ82*VLOOKUP('Données projet'!$B$12,Paramètres!$A$1:$I$89,3,0)*0.475*44/12</f>
        <v>6.864035447210955E-7</v>
      </c>
      <c r="CN82" s="24">
        <f t="shared" si="66"/>
        <v>8.6974093678072144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17</v>
      </c>
      <c r="CT82" s="13">
        <f>IF('Données projet'!$A$140&gt;35,CT81+CS82-DB81,IF(A82&lt;'Données projet'!$A$140,$CQ$205^A82,IF(A82='Données projet'!$A$140,'Données projet'!$B$140,CT81+CS82-DB81)))</f>
        <v>604.99999999999989</v>
      </c>
      <c r="CU82" s="18">
        <f>CT82*VLOOKUP('Données projet'!$B$13,Paramètres!$A$1:$I$89,3,0)*VLOOKUP('Données projet'!$B$13,Paramètres!$A$1:$I$89,5,0)</f>
        <v>283.13999999999993</v>
      </c>
      <c r="CV82" s="14">
        <f t="shared" si="95"/>
        <v>67.630149847511944</v>
      </c>
      <c r="CW82" s="22">
        <f t="shared" si="67"/>
        <v>610.92467765108313</v>
      </c>
      <c r="CX82" s="62">
        <f t="shared" si="68"/>
        <v>904.25801098441639</v>
      </c>
      <c r="CY82" s="62">
        <f ca="1">AVERAGE(OFFSET($CX$3,0,0,'Données projet'!$E$13+1,1))-AVERAGE(OFFSET($H$3,0,0,'Données projet'!$E$13+1,1))</f>
        <v>396.92963589781414</v>
      </c>
      <c r="CZ82" s="62">
        <f t="shared" si="96"/>
        <v>294.38852181137639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265.66800000000012</v>
      </c>
      <c r="P83" s="14">
        <f t="shared" si="87"/>
        <v>63.929045899944406</v>
      </c>
      <c r="Q83" s="22">
        <f t="shared" si="54"/>
        <v>574.04818827573672</v>
      </c>
      <c r="R83" s="62">
        <f t="shared" si="55"/>
        <v>867.38152160906998</v>
      </c>
      <c r="S83" s="62">
        <f ca="1">AVERAGE(OFFSET($R$3,0,0,'Données projet'!$E$9+1,1))-AVERAGE(OFFSET($H$3,0,0,'Données projet'!$E$9+1,1))</f>
        <v>411.98877330238821</v>
      </c>
      <c r="T83" s="62">
        <f t="shared" si="88"/>
        <v>256.4377087753457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0.75617222451523136</v>
      </c>
      <c r="AB83" s="23">
        <f>EXP(-LN(2)/2)*AB82+(1-EXP(-LN(2)/2))/(LN(2)/2)*V83*Y83*VLOOKUP('Données projet'!$B$9,Paramètres!$A$1:$I$89,3,0)*0.475*44/12</f>
        <v>4.1914056193009009E-7</v>
      </c>
      <c r="AC83" s="24">
        <f t="shared" si="57"/>
        <v>0.75617264365579329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-5.9412741393316544E-14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356.31271939877655</v>
      </c>
      <c r="AO83" s="62">
        <f t="shared" si="90"/>
        <v>499.70544707812991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10.121280323276199</v>
      </c>
      <c r="AW83" s="23">
        <f>EXP(-LN(2)/2)*AW82+(1-EXP(-LN(2)/2))/(LN(2)/2)*AQ83*AT83*VLOOKUP('Données projet'!$B$10,Paramètres!$A$1:$I$89,3,0)*0.475*44/12</f>
        <v>5.806992906051004E-7</v>
      </c>
      <c r="AX83" s="23">
        <f t="shared" si="60"/>
        <v>10.121280903975491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159</v>
      </c>
      <c r="BB83" s="13">
        <f>VLOOKUP(A83,'Données projet'!$A$87:$I$107,9,0)</f>
        <v>1.6</v>
      </c>
      <c r="BC83" s="13">
        <f t="array" ref="BC83">INDEX(BB:BB,MIN(IF(ISNUMBER(BB83:BB279),ROW(BB83:BB279),"")))</f>
        <v>1.6</v>
      </c>
      <c r="BD83" s="13">
        <f>IF('Données projet'!$A$88&gt;35,BD82+BC83-BL82,IF(A83&lt;'Données projet'!$A$88,$BA$205^A83,IF(A83='Données projet'!$A$88,'Données projet'!$B$88,BD82+BC83-BL82)))</f>
        <v>158.99999999999989</v>
      </c>
      <c r="BE83" s="14">
        <f>BD83*VLOOKUP('Données projet'!$B$11,Paramètres!$A$1:$I$89,3,0)*VLOOKUP('Données projet'!$B$11,Paramètres!$A$1:$I$89,5,0)</f>
        <v>138.90239999999991</v>
      </c>
      <c r="BF83" s="14">
        <f t="shared" si="91"/>
        <v>36.045445680666425</v>
      </c>
      <c r="BG83" s="22">
        <f t="shared" si="61"/>
        <v>304.70083122716051</v>
      </c>
      <c r="BH83" s="62">
        <f t="shared" si="62"/>
        <v>598.03416456049376</v>
      </c>
      <c r="BI83" s="62">
        <f ca="1">AVERAGE(OFFSET($BH$3,0,0,'Données projet'!$E$11+1,1))-AVERAGE(OFFSET($H$3,0,0,'Données projet'!$E$11+1,1))</f>
        <v>195.30963433439501</v>
      </c>
      <c r="BJ83" s="62">
        <f t="shared" si="92"/>
        <v>185.00219255324504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159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-5.6843418860808015E-14</v>
      </c>
      <c r="BZ83" s="14">
        <f>BY83*VLOOKUP('Données projet'!$B$12,Paramètres!$A$1:$I$89,3,0)*VLOOKUP('Données projet'!$B$12,Paramètres!$A$1:$I$89,5,0)</f>
        <v>-4.9658410716801891E-14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303.33040062722074</v>
      </c>
      <c r="CE83" s="62">
        <f t="shared" si="94"/>
        <v>425.30058672361548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8.4595775836338412</v>
      </c>
      <c r="CM83" s="23">
        <f>EXP(-LN(2)/2)*CM82+(1-EXP(-LN(2)/2))/(LN(2)/2)*CG83*CJ83*VLOOKUP('Données projet'!$B$12,Paramètres!$A$1:$I$89,3,0)*0.475*44/12</f>
        <v>4.8536060110277025E-7</v>
      </c>
      <c r="CN83" s="24">
        <f t="shared" si="66"/>
        <v>8.4595780689944426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622</v>
      </c>
      <c r="CR83" s="13">
        <f>VLOOKUP(A83,'Données projet'!$A$139:$I$159,9,0)</f>
        <v>17</v>
      </c>
      <c r="CS83" s="13">
        <f t="array" ref="CS83">INDEX(CR:CR,MIN(IF(ISNUMBER(CR83:CR279),ROW(CR83:CR279),"")))</f>
        <v>17</v>
      </c>
      <c r="CT83" s="13">
        <f>IF('Données projet'!$A$140&gt;35,CT82+CS83-DB82,IF(A83&lt;'Données projet'!$A$140,$CQ$205^A83,IF(A83='Données projet'!$A$140,'Données projet'!$B$140,CT82+CS83-DB82)))</f>
        <v>621.99999999999989</v>
      </c>
      <c r="CU83" s="18">
        <f>CT83*VLOOKUP('Données projet'!$B$13,Paramètres!$A$1:$I$89,3,0)*VLOOKUP('Données projet'!$B$13,Paramètres!$A$1:$I$89,5,0)</f>
        <v>291.09599999999995</v>
      </c>
      <c r="CV83" s="14">
        <f t="shared" si="95"/>
        <v>69.306582531434373</v>
      </c>
      <c r="CW83" s="22">
        <f t="shared" si="67"/>
        <v>627.7011645755814</v>
      </c>
      <c r="CX83" s="62">
        <f t="shared" si="68"/>
        <v>921.03449790891477</v>
      </c>
      <c r="CY83" s="62">
        <f ca="1">AVERAGE(OFFSET($CX$3,0,0,'Données projet'!$E$13+1,1))-AVERAGE(OFFSET($H$3,0,0,'Données projet'!$E$13+1,1))</f>
        <v>396.92963589781414</v>
      </c>
      <c r="CZ83" s="62">
        <f t="shared" si="96"/>
        <v>294.38852181137639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124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250.05240000000018</v>
      </c>
      <c r="P84" s="14">
        <f t="shared" si="87"/>
        <v>60.597161386823522</v>
      </c>
      <c r="Q84" s="22">
        <f t="shared" si="54"/>
        <v>541.04798608205112</v>
      </c>
      <c r="R84" s="62">
        <f t="shared" si="55"/>
        <v>834.3813194153845</v>
      </c>
      <c r="S84" s="62">
        <f ca="1">AVERAGE(OFFSET($R$3,0,0,'Données projet'!$E$9+1,1))-AVERAGE(OFFSET($H$3,0,0,'Données projet'!$E$9+1,1))</f>
        <v>411.98877330238821</v>
      </c>
      <c r="T84" s="62">
        <f t="shared" si="88"/>
        <v>256.4377087753457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0.73549465527049329</v>
      </c>
      <c r="AB84" s="23">
        <f>EXP(-LN(2)/2)*AB83+(1-EXP(-LN(2)/2))/(LN(2)/2)*V84*Y84*VLOOKUP('Données projet'!$B$9,Paramètres!$A$1:$I$89,3,0)*0.475*44/12</f>
        <v>2.9637713361110678E-7</v>
      </c>
      <c r="AC84" s="24">
        <f t="shared" si="57"/>
        <v>0.7354949516476269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-5.9412741393316544E-14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356.31271939877655</v>
      </c>
      <c r="AO84" s="62">
        <f t="shared" si="90"/>
        <v>499.70544707812991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9.8445133805812119</v>
      </c>
      <c r="AW84" s="23">
        <f>EXP(-LN(2)/2)*AW83+(1-EXP(-LN(2)/2))/(LN(2)/2)*AQ84*AT84*VLOOKUP('Données projet'!$B$10,Paramètres!$A$1:$I$89,3,0)*0.475*44/12</f>
        <v>4.1061640621708411E-7</v>
      </c>
      <c r="AX84" s="23">
        <f t="shared" si="60"/>
        <v>9.8445137911976186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-9.9316821433603781E-14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195.30963433439501</v>
      </c>
      <c r="BJ84" s="62">
        <f t="shared" si="92"/>
        <v>185.00219255324504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-4.9658410716801891E-14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303.33040062722074</v>
      </c>
      <c r="CE84" s="62">
        <f t="shared" si="94"/>
        <v>425.30058672361548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8.228249989739524</v>
      </c>
      <c r="CM84" s="23">
        <f>EXP(-LN(2)/2)*CM83+(1-EXP(-LN(2)/2))/(LN(2)/2)*CG84*CJ84*VLOOKUP('Données projet'!$B$12,Paramètres!$A$1:$I$89,3,0)*0.475*44/12</f>
        <v>3.4320177236054775E-7</v>
      </c>
      <c r="CN84" s="24">
        <f t="shared" si="66"/>
        <v>8.2282503329412968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17.5</v>
      </c>
      <c r="CT84" s="13">
        <f>IF('Données projet'!$A$140&gt;35,CT83+CS84-DB83,IF(A84&lt;'Données projet'!$A$140,$CQ$205^A84,IF(A84='Données projet'!$A$140,'Données projet'!$B$140,CT83+CS84-DB83)))</f>
        <v>515.49999999999989</v>
      </c>
      <c r="CU84" s="18">
        <f>CT84*VLOOKUP('Données projet'!$B$13,Paramètres!$A$1:$I$89,3,0)*VLOOKUP('Données projet'!$B$13,Paramètres!$A$1:$I$89,5,0)</f>
        <v>241.25399999999996</v>
      </c>
      <c r="CV84" s="14">
        <f t="shared" si="95"/>
        <v>58.70925280391986</v>
      </c>
      <c r="CW84" s="22">
        <f t="shared" si="67"/>
        <v>522.43599863349357</v>
      </c>
      <c r="CX84" s="62">
        <f t="shared" si="68"/>
        <v>815.76933196682694</v>
      </c>
      <c r="CY84" s="62">
        <f ca="1">AVERAGE(OFFSET($CX$3,0,0,'Données projet'!$E$13+1,1))-AVERAGE(OFFSET($H$3,0,0,'Données projet'!$E$13+1,1))</f>
        <v>396.92963589781414</v>
      </c>
      <c r="CZ84" s="62">
        <f t="shared" si="96"/>
        <v>294.38852181137639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255.73080000000016</v>
      </c>
      <c r="P85" s="14">
        <f t="shared" si="87"/>
        <v>61.811482021795285</v>
      </c>
      <c r="Q85" s="22">
        <f t="shared" si="54"/>
        <v>553.05280785462708</v>
      </c>
      <c r="R85" s="62">
        <f t="shared" si="55"/>
        <v>846.38614118796045</v>
      </c>
      <c r="S85" s="62">
        <f ca="1">AVERAGE(OFFSET($R$3,0,0,'Données projet'!$E$9+1,1))-AVERAGE(OFFSET($H$3,0,0,'Données projet'!$E$9+1,1))</f>
        <v>411.98877330238821</v>
      </c>
      <c r="T85" s="62">
        <f t="shared" si="88"/>
        <v>256.4377087753457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0.71538251524413876</v>
      </c>
      <c r="AB85" s="23">
        <f>EXP(-LN(2)/2)*AB84+(1-EXP(-LN(2)/2))/(LN(2)/2)*V85*Y85*VLOOKUP('Données projet'!$B$9,Paramètres!$A$1:$I$89,3,0)*0.475*44/12</f>
        <v>2.0957028096504504E-7</v>
      </c>
      <c r="AC85" s="24">
        <f t="shared" si="57"/>
        <v>0.71538272481441978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-5.9412741393316544E-14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356.31271939877655</v>
      </c>
      <c r="AO85" s="62">
        <f t="shared" si="90"/>
        <v>499.70544707812991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9.5753146444887598</v>
      </c>
      <c r="AW85" s="23">
        <f>EXP(-LN(2)/2)*AW84+(1-EXP(-LN(2)/2))/(LN(2)/2)*AQ85*AT85*VLOOKUP('Données projet'!$B$10,Paramètres!$A$1:$I$89,3,0)*0.475*44/12</f>
        <v>2.903496453025502E-7</v>
      </c>
      <c r="AX85" s="23">
        <f t="shared" si="60"/>
        <v>9.5753149348384046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-9.9316821433603781E-14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195.30963433439501</v>
      </c>
      <c r="BJ85" s="62">
        <f t="shared" si="92"/>
        <v>185.00219255324504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-4.9658410716801891E-14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303.33040062722074</v>
      </c>
      <c r="CE85" s="62">
        <f t="shared" si="94"/>
        <v>425.30058672361548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8.0032480610652357</v>
      </c>
      <c r="CM85" s="23">
        <f>EXP(-LN(2)/2)*CM84+(1-EXP(-LN(2)/2))/(LN(2)/2)*CG85*CJ85*VLOOKUP('Données projet'!$B$12,Paramètres!$A$1:$I$89,3,0)*0.475*44/12</f>
        <v>2.4268030055138513E-7</v>
      </c>
      <c r="CN85" s="24">
        <f t="shared" si="66"/>
        <v>8.0032483037455364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17.5</v>
      </c>
      <c r="CT85" s="13">
        <f>IF('Données projet'!$A$140&gt;35,CT84+CS85-DB84,IF(A85&lt;'Données projet'!$A$140,$CQ$205^A85,IF(A85='Données projet'!$A$140,'Données projet'!$B$140,CT84+CS85-DB84)))</f>
        <v>532.99999999999989</v>
      </c>
      <c r="CU85" s="18">
        <f>CT85*VLOOKUP('Données projet'!$B$13,Paramètres!$A$1:$I$89,3,0)*VLOOKUP('Données projet'!$B$13,Paramètres!$A$1:$I$89,5,0)</f>
        <v>249.44399999999993</v>
      </c>
      <c r="CV85" s="14">
        <f t="shared" si="95"/>
        <v>60.466866397117599</v>
      </c>
      <c r="CW85" s="22">
        <f t="shared" si="67"/>
        <v>539.76142564164627</v>
      </c>
      <c r="CX85" s="62">
        <f t="shared" si="68"/>
        <v>833.09475897497964</v>
      </c>
      <c r="CY85" s="62">
        <f ca="1">AVERAGE(OFFSET($CX$3,0,0,'Données projet'!$E$13+1,1))-AVERAGE(OFFSET($H$3,0,0,'Données projet'!$E$13+1,1))</f>
        <v>396.92963589781414</v>
      </c>
      <c r="CZ85" s="62">
        <f t="shared" si="96"/>
        <v>294.38852181137639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261.40920000000011</v>
      </c>
      <c r="P86" s="14">
        <f t="shared" si="87"/>
        <v>63.022667885185157</v>
      </c>
      <c r="Q86" s="22">
        <f t="shared" si="54"/>
        <v>565.052169900031</v>
      </c>
      <c r="R86" s="62">
        <f t="shared" si="55"/>
        <v>858.38550323336426</v>
      </c>
      <c r="S86" s="62">
        <f ca="1">AVERAGE(OFFSET($R$3,0,0,'Données projet'!$E$9+1,1))-AVERAGE(OFFSET($H$3,0,0,'Données projet'!$E$9+1,1))</f>
        <v>411.98877330238821</v>
      </c>
      <c r="T86" s="62">
        <f t="shared" si="88"/>
        <v>256.4377087753457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0.69582034274445637</v>
      </c>
      <c r="AB86" s="23">
        <f>EXP(-LN(2)/2)*AB85+(1-EXP(-LN(2)/2))/(LN(2)/2)*V86*Y86*VLOOKUP('Données projet'!$B$9,Paramètres!$A$1:$I$89,3,0)*0.475*44/12</f>
        <v>1.4818856680555339E-7</v>
      </c>
      <c r="AC86" s="24">
        <f t="shared" si="57"/>
        <v>0.69582049093302312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-5.9412741393316544E-14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356.31271939877655</v>
      </c>
      <c r="AO86" s="62">
        <f t="shared" si="90"/>
        <v>499.70544707812991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9.3134771619913028</v>
      </c>
      <c r="AW86" s="23">
        <f>EXP(-LN(2)/2)*AW85+(1-EXP(-LN(2)/2))/(LN(2)/2)*AQ86*AT86*VLOOKUP('Données projet'!$B$10,Paramètres!$A$1:$I$89,3,0)*0.475*44/12</f>
        <v>2.0530820310854205E-7</v>
      </c>
      <c r="AX86" s="23">
        <f t="shared" si="60"/>
        <v>9.3134773672995053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-9.9316821433603781E-14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195.30963433439501</v>
      </c>
      <c r="BJ86" s="62">
        <f t="shared" si="92"/>
        <v>185.00219255324504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-4.9658410716801891E-14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303.33040062722074</v>
      </c>
      <c r="CE86" s="62">
        <f t="shared" si="94"/>
        <v>425.30058672361548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7.784398821962883</v>
      </c>
      <c r="CM86" s="23">
        <f>EXP(-LN(2)/2)*CM85+(1-EXP(-LN(2)/2))/(LN(2)/2)*CG86*CJ86*VLOOKUP('Données projet'!$B$12,Paramètres!$A$1:$I$89,3,0)*0.475*44/12</f>
        <v>1.7160088618027388E-7</v>
      </c>
      <c r="CN86" s="24">
        <f t="shared" si="66"/>
        <v>7.7843989935637694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17.5</v>
      </c>
      <c r="CT86" s="13">
        <f>IF('Données projet'!$A$140&gt;35,CT85+CS86-DB85,IF(A86&lt;'Données projet'!$A$140,$CQ$205^A86,IF(A86='Données projet'!$A$140,'Données projet'!$B$140,CT85+CS86-DB85)))</f>
        <v>550.49999999999989</v>
      </c>
      <c r="CU86" s="18">
        <f>CT86*VLOOKUP('Données projet'!$B$13,Paramètres!$A$1:$I$89,3,0)*VLOOKUP('Données projet'!$B$13,Paramètres!$A$1:$I$89,5,0)</f>
        <v>257.63399999999996</v>
      </c>
      <c r="CV86" s="14">
        <f t="shared" si="95"/>
        <v>62.217774353261795</v>
      </c>
      <c r="CW86" s="22">
        <f t="shared" si="67"/>
        <v>557.07517366526417</v>
      </c>
      <c r="CX86" s="62">
        <f t="shared" si="68"/>
        <v>850.40850699859743</v>
      </c>
      <c r="CY86" s="62">
        <f ca="1">AVERAGE(OFFSET($CX$3,0,0,'Données projet'!$E$13+1,1))-AVERAGE(OFFSET($H$3,0,0,'Données projet'!$E$13+1,1))</f>
        <v>396.92963589781414</v>
      </c>
      <c r="CZ86" s="62">
        <f t="shared" si="96"/>
        <v>294.38852181137639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267.08760000000018</v>
      </c>
      <c r="P87" s="14">
        <f t="shared" si="87"/>
        <v>64.230794913549914</v>
      </c>
      <c r="Q87" s="22">
        <f t="shared" si="54"/>
        <v>577.04620447443301</v>
      </c>
      <c r="R87" s="62">
        <f t="shared" si="55"/>
        <v>870.37953780776638</v>
      </c>
      <c r="S87" s="62">
        <f ca="1">AVERAGE(OFFSET($R$3,0,0,'Données projet'!$E$9+1,1))-AVERAGE(OFFSET($H$3,0,0,'Données projet'!$E$9+1,1))</f>
        <v>411.98877330238821</v>
      </c>
      <c r="T87" s="62">
        <f t="shared" si="88"/>
        <v>256.4377087753457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0.67679309888050765</v>
      </c>
      <c r="AB87" s="23">
        <f>EXP(-LN(2)/2)*AB86+(1-EXP(-LN(2)/2))/(LN(2)/2)*V87*Y87*VLOOKUP('Données projet'!$B$9,Paramètres!$A$1:$I$89,3,0)*0.475*44/12</f>
        <v>1.0478514048252252E-7</v>
      </c>
      <c r="AC87" s="24">
        <f t="shared" si="57"/>
        <v>0.6767932036656481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-5.9412741393316544E-14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356.31271939877655</v>
      </c>
      <c r="AO87" s="62">
        <f t="shared" si="90"/>
        <v>499.70544707812991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9.0587996392221726</v>
      </c>
      <c r="AW87" s="23">
        <f>EXP(-LN(2)/2)*AW86+(1-EXP(-LN(2)/2))/(LN(2)/2)*AQ87*AT87*VLOOKUP('Données projet'!$B$10,Paramètres!$A$1:$I$89,3,0)*0.475*44/12</f>
        <v>1.451748226512751E-7</v>
      </c>
      <c r="AX87" s="23">
        <f t="shared" si="60"/>
        <v>9.0587997843969958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-9.9316821433603781E-14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195.30963433439501</v>
      </c>
      <c r="BJ87" s="62">
        <f t="shared" si="92"/>
        <v>185.00219255324504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-4.9658410716801891E-14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303.33040062722074</v>
      </c>
      <c r="CE87" s="62">
        <f t="shared" si="94"/>
        <v>425.30058672361548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7.5715340268125653</v>
      </c>
      <c r="CM87" s="23">
        <f>EXP(-LN(2)/2)*CM86+(1-EXP(-LN(2)/2))/(LN(2)/2)*CG87*CJ87*VLOOKUP('Données projet'!$B$12,Paramètres!$A$1:$I$89,3,0)*0.475*44/12</f>
        <v>1.2134015027569256E-7</v>
      </c>
      <c r="CN87" s="24">
        <f t="shared" si="66"/>
        <v>7.5715341481527156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17.5</v>
      </c>
      <c r="CT87" s="13">
        <f>IF('Données projet'!$A$140&gt;35,CT86+CS87-DB86,IF(A87&lt;'Données projet'!$A$140,$CQ$205^A87,IF(A87='Données projet'!$A$140,'Données projet'!$B$140,CT86+CS87-DB86)))</f>
        <v>567.99999999999989</v>
      </c>
      <c r="CU87" s="18">
        <f>CT87*VLOOKUP('Données projet'!$B$13,Paramètres!$A$1:$I$89,3,0)*VLOOKUP('Données projet'!$B$13,Paramètres!$A$1:$I$89,5,0)</f>
        <v>265.82399999999996</v>
      </c>
      <c r="CV87" s="14">
        <f t="shared" si="95"/>
        <v>63.962214293903529</v>
      </c>
      <c r="CW87" s="22">
        <f t="shared" si="67"/>
        <v>574.37765656188185</v>
      </c>
      <c r="CX87" s="62">
        <f t="shared" si="68"/>
        <v>867.71098989521511</v>
      </c>
      <c r="CY87" s="62">
        <f ca="1">AVERAGE(OFFSET($CX$3,0,0,'Données projet'!$E$13+1,1))-AVERAGE(OFFSET($H$3,0,0,'Données projet'!$E$13+1,1))</f>
        <v>396.92963589781414</v>
      </c>
      <c r="CZ87" s="62">
        <f t="shared" si="96"/>
        <v>294.38852181137639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272.76600000000019</v>
      </c>
      <c r="P88" s="14">
        <f t="shared" si="87"/>
        <v>65.435935630087627</v>
      </c>
      <c r="Q88" s="22">
        <f t="shared" si="54"/>
        <v>589.03503788906949</v>
      </c>
      <c r="R88" s="62">
        <f t="shared" si="55"/>
        <v>882.36837122240286</v>
      </c>
      <c r="S88" s="62">
        <f ca="1">AVERAGE(OFFSET($R$3,0,0,'Données projet'!$E$9+1,1))-AVERAGE(OFFSET($H$3,0,0,'Données projet'!$E$9+1,1))</f>
        <v>411.98877330238821</v>
      </c>
      <c r="T88" s="62">
        <f t="shared" si="88"/>
        <v>256.4377087753457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0.65828615600061791</v>
      </c>
      <c r="AB88" s="23">
        <f>EXP(-LN(2)/2)*AB87+(1-EXP(-LN(2)/2))/(LN(2)/2)*V88*Y88*VLOOKUP('Données projet'!$B$9,Paramètres!$A$1:$I$89,3,0)*0.475*44/12</f>
        <v>7.4094283402776696E-8</v>
      </c>
      <c r="AC88" s="24">
        <f t="shared" si="57"/>
        <v>0.65828623009490128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-5.9412741393316544E-14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356.31271939877655</v>
      </c>
      <c r="AO88" s="62">
        <f t="shared" si="90"/>
        <v>499.70544707812991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8.8110862867060735</v>
      </c>
      <c r="AW88" s="23">
        <f>EXP(-LN(2)/2)*AW87+(1-EXP(-LN(2)/2))/(LN(2)/2)*AQ88*AT88*VLOOKUP('Données projet'!$B$10,Paramètres!$A$1:$I$89,3,0)*0.475*44/12</f>
        <v>1.0265410155427103E-7</v>
      </c>
      <c r="AX88" s="23">
        <f t="shared" si="60"/>
        <v>8.8110863893601756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-9.9316821433603781E-14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195.30963433439501</v>
      </c>
      <c r="BJ88" s="62">
        <f t="shared" si="92"/>
        <v>185.00219255324504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-4.9658410716801891E-14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303.33040062722074</v>
      </c>
      <c r="CE88" s="62">
        <f t="shared" si="94"/>
        <v>425.30058672361548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7.3644900306797059</v>
      </c>
      <c r="CM88" s="23">
        <f>EXP(-LN(2)/2)*CM87+(1-EXP(-LN(2)/2))/(LN(2)/2)*CG88*CJ88*VLOOKUP('Données projet'!$B$12,Paramètres!$A$1:$I$89,3,0)*0.475*44/12</f>
        <v>8.5800443090136938E-8</v>
      </c>
      <c r="CN88" s="24">
        <f t="shared" si="66"/>
        <v>7.3644901164801491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17.5</v>
      </c>
      <c r="CT88" s="13">
        <f>IF('Données projet'!$A$140&gt;35,CT87+CS88-DB87,IF(A88&lt;'Données projet'!$A$140,$CQ$205^A88,IF(A88='Données projet'!$A$140,'Données projet'!$B$140,CT87+CS88-DB87)))</f>
        <v>585.49999999999989</v>
      </c>
      <c r="CU88" s="18">
        <f>CT88*VLOOKUP('Données projet'!$B$13,Paramètres!$A$1:$I$89,3,0)*VLOOKUP('Données projet'!$B$13,Paramètres!$A$1:$I$89,5,0)</f>
        <v>274.01399999999995</v>
      </c>
      <c r="CV88" s="14">
        <f t="shared" si="95"/>
        <v>65.700408366571935</v>
      </c>
      <c r="CW88" s="22">
        <f t="shared" si="67"/>
        <v>591.66926123844598</v>
      </c>
      <c r="CX88" s="62">
        <f t="shared" si="68"/>
        <v>885.00259457177935</v>
      </c>
      <c r="CY88" s="62">
        <f ca="1">AVERAGE(OFFSET($CX$3,0,0,'Données projet'!$E$13+1,1))-AVERAGE(OFFSET($H$3,0,0,'Données projet'!$E$13+1,1))</f>
        <v>396.92963589781414</v>
      </c>
      <c r="CZ88" s="62">
        <f t="shared" si="96"/>
        <v>294.38852181137639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256.94760000000014</v>
      </c>
      <c r="P89" s="14">
        <f t="shared" si="87"/>
        <v>62.071283104858303</v>
      </c>
      <c r="Q89" s="22">
        <f t="shared" si="54"/>
        <v>555.6245547409618</v>
      </c>
      <c r="R89" s="62">
        <f t="shared" si="55"/>
        <v>848.95788807429517</v>
      </c>
      <c r="S89" s="62">
        <f ca="1">AVERAGE(OFFSET($R$3,0,0,'Données projet'!$E$9+1,1))-AVERAGE(OFFSET($H$3,0,0,'Données projet'!$E$9+1,1))</f>
        <v>411.98877330238821</v>
      </c>
      <c r="T89" s="62">
        <f t="shared" si="88"/>
        <v>256.4377087753457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0.64028528644701654</v>
      </c>
      <c r="AB89" s="23">
        <f>EXP(-LN(2)/2)*AB88+(1-EXP(-LN(2)/2))/(LN(2)/2)*V89*Y89*VLOOKUP('Données projet'!$B$9,Paramètres!$A$1:$I$89,3,0)*0.475*44/12</f>
        <v>5.2392570241261261E-8</v>
      </c>
      <c r="AC89" s="24">
        <f t="shared" si="57"/>
        <v>0.64028533883958683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-5.9412741393316544E-14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356.31271939877655</v>
      </c>
      <c r="AO89" s="62">
        <f t="shared" si="90"/>
        <v>499.70544707812991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8.5701466688412058</v>
      </c>
      <c r="AW89" s="23">
        <f>EXP(-LN(2)/2)*AW88+(1-EXP(-LN(2)/2))/(LN(2)/2)*AQ89*AT89*VLOOKUP('Données projet'!$B$10,Paramètres!$A$1:$I$89,3,0)*0.475*44/12</f>
        <v>7.258741132563755E-8</v>
      </c>
      <c r="AX89" s="23">
        <f t="shared" si="60"/>
        <v>8.5701467414286174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-9.9316821433603781E-14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195.30963433439501</v>
      </c>
      <c r="BJ89" s="62">
        <f t="shared" si="92"/>
        <v>185.00219255324504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-4.9658410716801891E-14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303.33040062722074</v>
      </c>
      <c r="CE89" s="62">
        <f t="shared" si="94"/>
        <v>425.30058672361548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7.16310766350907</v>
      </c>
      <c r="CM89" s="23">
        <f>EXP(-LN(2)/2)*CM88+(1-EXP(-LN(2)/2))/(LN(2)/2)*CG89*CJ89*VLOOKUP('Données projet'!$B$12,Paramètres!$A$1:$I$89,3,0)*0.475*44/12</f>
        <v>6.0670075137846282E-8</v>
      </c>
      <c r="CN89" s="24">
        <f t="shared" si="66"/>
        <v>7.1631077241791452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17.5</v>
      </c>
      <c r="CT89" s="13">
        <f>IF('Données projet'!$A$140&gt;35,CT88+CS89-DB88,IF(A89&lt;'Données projet'!$A$140,$CQ$205^A89,IF(A89='Données projet'!$A$140,'Données projet'!$B$140,CT88+CS89-DB88)))</f>
        <v>602.99999999999989</v>
      </c>
      <c r="CU89" s="18">
        <f>CT89*VLOOKUP('Données projet'!$B$13,Paramètres!$A$1:$I$89,3,0)*VLOOKUP('Données projet'!$B$13,Paramètres!$A$1:$I$89,5,0)</f>
        <v>282.20399999999995</v>
      </c>
      <c r="CV89" s="14">
        <f t="shared" si="95"/>
        <v>67.432564684485186</v>
      </c>
      <c r="CW89" s="22">
        <f t="shared" si="67"/>
        <v>608.9503501588116</v>
      </c>
      <c r="CX89" s="62">
        <f t="shared" si="68"/>
        <v>902.28368349214497</v>
      </c>
      <c r="CY89" s="62">
        <f ca="1">AVERAGE(OFFSET($CX$3,0,0,'Données projet'!$E$13+1,1))-AVERAGE(OFFSET($H$3,0,0,'Données projet'!$E$13+1,1))</f>
        <v>396.92963589781414</v>
      </c>
      <c r="CZ89" s="62">
        <f t="shared" si="96"/>
        <v>294.38852181137639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262.42320000000012</v>
      </c>
      <c r="P90" s="14">
        <f t="shared" si="87"/>
        <v>63.23862706204779</v>
      </c>
      <c r="Q90" s="22">
        <f t="shared" si="54"/>
        <v>567.19434879973335</v>
      </c>
      <c r="R90" s="62">
        <f t="shared" si="55"/>
        <v>860.52768213306672</v>
      </c>
      <c r="S90" s="62">
        <f ca="1">AVERAGE(OFFSET($R$3,0,0,'Données projet'!$E$9+1,1))-AVERAGE(OFFSET($H$3,0,0,'Données projet'!$E$9+1,1))</f>
        <v>411.98877330238821</v>
      </c>
      <c r="T90" s="62">
        <f t="shared" si="88"/>
        <v>256.4377087753457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0.62277665161798301</v>
      </c>
      <c r="AB90" s="23">
        <f>EXP(-LN(2)/2)*AB89+(1-EXP(-LN(2)/2))/(LN(2)/2)*V90*Y90*VLOOKUP('Données projet'!$B$9,Paramètres!$A$1:$I$89,3,0)*0.475*44/12</f>
        <v>3.7047141701388348E-8</v>
      </c>
      <c r="AC90" s="24">
        <f t="shared" si="57"/>
        <v>0.6227766886651247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-5.9412741393316544E-14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356.31271939877655</v>
      </c>
      <c r="AO90" s="62">
        <f t="shared" si="90"/>
        <v>499.70544707812991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8.3357955574973168</v>
      </c>
      <c r="AW90" s="23">
        <f>EXP(-LN(2)/2)*AW89+(1-EXP(-LN(2)/2))/(LN(2)/2)*AQ90*AT90*VLOOKUP('Données projet'!$B$10,Paramètres!$A$1:$I$89,3,0)*0.475*44/12</f>
        <v>5.1327050777135514E-8</v>
      </c>
      <c r="AX90" s="23">
        <f t="shared" si="60"/>
        <v>8.3357956088243679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-9.9316821433603781E-14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195.30963433439501</v>
      </c>
      <c r="BJ90" s="62">
        <f t="shared" si="92"/>
        <v>185.00219255324504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-4.9658410716801891E-14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303.33040062722074</v>
      </c>
      <c r="CE90" s="62">
        <f t="shared" si="94"/>
        <v>425.30058672361548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6.9672321077589539</v>
      </c>
      <c r="CM90" s="23">
        <f>EXP(-LN(2)/2)*CM89+(1-EXP(-LN(2)/2))/(LN(2)/2)*CG90*CJ90*VLOOKUP('Données projet'!$B$12,Paramètres!$A$1:$I$89,3,0)*0.475*44/12</f>
        <v>4.2900221545068469E-8</v>
      </c>
      <c r="CN90" s="24">
        <f t="shared" si="66"/>
        <v>6.967232150659175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17.5</v>
      </c>
      <c r="CT90" s="13">
        <f>IF('Données projet'!$A$140&gt;35,CT89+CS90-DB89,IF(A90&lt;'Données projet'!$A$140,$CQ$205^A90,IF(A90='Données projet'!$A$140,'Données projet'!$B$140,CT89+CS90-DB89)))</f>
        <v>620.49999999999989</v>
      </c>
      <c r="CU90" s="18">
        <f>CT90*VLOOKUP('Données projet'!$B$13,Paramètres!$A$1:$I$89,3,0)*VLOOKUP('Données projet'!$B$13,Paramètres!$A$1:$I$89,5,0)</f>
        <v>290.39399999999995</v>
      </c>
      <c r="CV90" s="14">
        <f t="shared" si="95"/>
        <v>69.158878594433091</v>
      </c>
      <c r="CW90" s="22">
        <f t="shared" si="67"/>
        <v>626.22126355197076</v>
      </c>
      <c r="CX90" s="62">
        <f t="shared" si="68"/>
        <v>919.55459688530414</v>
      </c>
      <c r="CY90" s="62">
        <f ca="1">AVERAGE(OFFSET($CX$3,0,0,'Données projet'!$E$13+1,1))-AVERAGE(OFFSET($H$3,0,0,'Données projet'!$E$13+1,1))</f>
        <v>396.92963589781414</v>
      </c>
      <c r="CZ90" s="62">
        <f t="shared" si="96"/>
        <v>294.38852181137639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267.89880000000011</v>
      </c>
      <c r="P91" s="14">
        <f t="shared" si="87"/>
        <v>64.403139057834565</v>
      </c>
      <c r="Q91" s="22">
        <f t="shared" si="54"/>
        <v>578.75921052572869</v>
      </c>
      <c r="R91" s="62">
        <f t="shared" si="55"/>
        <v>872.09254385906206</v>
      </c>
      <c r="S91" s="62">
        <f ca="1">AVERAGE(OFFSET($R$3,0,0,'Données projet'!$E$9+1,1))-AVERAGE(OFFSET($H$3,0,0,'Données projet'!$E$9+1,1))</f>
        <v>411.98877330238821</v>
      </c>
      <c r="T91" s="62">
        <f t="shared" si="88"/>
        <v>256.4377087753457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0.60574679132908849</v>
      </c>
      <c r="AB91" s="23">
        <f>EXP(-LN(2)/2)*AB90+(1-EXP(-LN(2)/2))/(LN(2)/2)*V91*Y91*VLOOKUP('Données projet'!$B$9,Paramètres!$A$1:$I$89,3,0)*0.475*44/12</f>
        <v>2.6196285120630631E-8</v>
      </c>
      <c r="AC91" s="24">
        <f t="shared" si="57"/>
        <v>0.60574681752537363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-5.9412741393316544E-14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356.31271939877655</v>
      </c>
      <c r="AO91" s="62">
        <f t="shared" si="90"/>
        <v>499.70544707812991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8.107852789617116</v>
      </c>
      <c r="AW91" s="23">
        <f>EXP(-LN(2)/2)*AW90+(1-EXP(-LN(2)/2))/(LN(2)/2)*AQ91*AT91*VLOOKUP('Données projet'!$B$10,Paramètres!$A$1:$I$89,3,0)*0.475*44/12</f>
        <v>3.6293705662818775E-8</v>
      </c>
      <c r="AX91" s="23">
        <f t="shared" si="60"/>
        <v>8.1078528259108218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-9.9316821433603781E-14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195.30963433439501</v>
      </c>
      <c r="BJ91" s="62">
        <f t="shared" si="92"/>
        <v>185.00219255324504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-4.9658410716801891E-14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303.33040062722074</v>
      </c>
      <c r="CE91" s="62">
        <f t="shared" si="94"/>
        <v>425.30058672361548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6.7767127793814721</v>
      </c>
      <c r="CM91" s="23">
        <f>EXP(-LN(2)/2)*CM90+(1-EXP(-LN(2)/2))/(LN(2)/2)*CG91*CJ91*VLOOKUP('Données projet'!$B$12,Paramètres!$A$1:$I$89,3,0)*0.475*44/12</f>
        <v>3.0335037568923141E-8</v>
      </c>
      <c r="CN91" s="24">
        <f t="shared" si="66"/>
        <v>6.7767128097165097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17.5</v>
      </c>
      <c r="CT91" s="13">
        <f>IF('Données projet'!$A$140&gt;35,CT90+CS91-DB90,IF(A91&lt;'Données projet'!$A$140,$CQ$205^A91,IF(A91='Données projet'!$A$140,'Données projet'!$B$140,CT90+CS91-DB90)))</f>
        <v>637.99999999999989</v>
      </c>
      <c r="CU91" s="18">
        <f>CT91*VLOOKUP('Données projet'!$B$13,Paramètres!$A$1:$I$89,3,0)*VLOOKUP('Données projet'!$B$13,Paramètres!$A$1:$I$89,5,0)</f>
        <v>298.58399999999995</v>
      </c>
      <c r="CV91" s="14">
        <f t="shared" si="95"/>
        <v>70.879533797607607</v>
      </c>
      <c r="CW91" s="22">
        <f t="shared" si="67"/>
        <v>643.48232136416652</v>
      </c>
      <c r="CX91" s="62">
        <f t="shared" si="68"/>
        <v>936.81565469749989</v>
      </c>
      <c r="CY91" s="62">
        <f ca="1">AVERAGE(OFFSET($CX$3,0,0,'Données projet'!$E$13+1,1))-AVERAGE(OFFSET($H$3,0,0,'Données projet'!$E$13+1,1))</f>
        <v>396.92963589781414</v>
      </c>
      <c r="CZ91" s="62">
        <f t="shared" si="96"/>
        <v>294.38852181137639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273.37440000000009</v>
      </c>
      <c r="P92" s="14">
        <f t="shared" si="87"/>
        <v>65.564883644654444</v>
      </c>
      <c r="Q92" s="22">
        <f t="shared" si="54"/>
        <v>590.31925234777327</v>
      </c>
      <c r="R92" s="62">
        <f t="shared" si="55"/>
        <v>883.65258568110653</v>
      </c>
      <c r="S92" s="62">
        <f ca="1">AVERAGE(OFFSET($R$3,0,0,'Données projet'!$E$9+1,1))-AVERAGE(OFFSET($H$3,0,0,'Données projet'!$E$9+1,1))</f>
        <v>411.98877330238821</v>
      </c>
      <c r="T92" s="62">
        <f t="shared" si="88"/>
        <v>256.4377087753457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0.58918261346535528</v>
      </c>
      <c r="AB92" s="23">
        <f>EXP(-LN(2)/2)*AB91+(1-EXP(-LN(2)/2))/(LN(2)/2)*V92*Y92*VLOOKUP('Données projet'!$B$9,Paramètres!$A$1:$I$89,3,0)*0.475*44/12</f>
        <v>1.8523570850694174E-8</v>
      </c>
      <c r="AC92" s="24">
        <f t="shared" si="57"/>
        <v>0.58918263198892618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-5.9412741393316544E-14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356.31271939877655</v>
      </c>
      <c r="AO92" s="62">
        <f t="shared" si="90"/>
        <v>499.70544707812991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7.8861431287115886</v>
      </c>
      <c r="AW92" s="23">
        <f>EXP(-LN(2)/2)*AW91+(1-EXP(-LN(2)/2))/(LN(2)/2)*AQ92*AT92*VLOOKUP('Données projet'!$B$10,Paramètres!$A$1:$I$89,3,0)*0.475*44/12</f>
        <v>2.5663525388567757E-8</v>
      </c>
      <c r="AX92" s="23">
        <f t="shared" si="60"/>
        <v>7.8861431543751142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-9.9316821433603781E-14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195.30963433439501</v>
      </c>
      <c r="BJ92" s="62">
        <f t="shared" si="92"/>
        <v>185.00219255324504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-4.9658410716801891E-14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303.33040062722074</v>
      </c>
      <c r="CE92" s="62">
        <f t="shared" si="94"/>
        <v>425.30058672361548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6.5914032120574495</v>
      </c>
      <c r="CM92" s="23">
        <f>EXP(-LN(2)/2)*CM91+(1-EXP(-LN(2)/2))/(LN(2)/2)*CG92*CJ92*VLOOKUP('Données projet'!$B$12,Paramètres!$A$1:$I$89,3,0)*0.475*44/12</f>
        <v>2.1450110772534234E-8</v>
      </c>
      <c r="CN92" s="24">
        <f t="shared" si="66"/>
        <v>6.5914032335075605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17.5</v>
      </c>
      <c r="CT92" s="13">
        <f>IF('Données projet'!$A$140&gt;35,CT91+CS92-DB91,IF(A92&lt;'Données projet'!$A$140,$CQ$205^A92,IF(A92='Données projet'!$A$140,'Données projet'!$B$140,CT91+CS92-DB91)))</f>
        <v>655.49999999999989</v>
      </c>
      <c r="CU92" s="18">
        <f>CT92*VLOOKUP('Données projet'!$B$13,Paramètres!$A$1:$I$89,3,0)*VLOOKUP('Données projet'!$B$13,Paramètres!$A$1:$I$89,5,0)</f>
        <v>306.77399999999994</v>
      </c>
      <c r="CV92" s="14">
        <f t="shared" si="95"/>
        <v>72.594703343999058</v>
      </c>
      <c r="CW92" s="22">
        <f t="shared" si="67"/>
        <v>660.73382499079833</v>
      </c>
      <c r="CX92" s="62">
        <f t="shared" si="68"/>
        <v>954.0671583241317</v>
      </c>
      <c r="CY92" s="62">
        <f ca="1">AVERAGE(OFFSET($CX$3,0,0,'Données projet'!$E$13+1,1))-AVERAGE(OFFSET($H$3,0,0,'Données projet'!$E$13+1,1))</f>
        <v>396.92963589781414</v>
      </c>
      <c r="CZ92" s="62">
        <f t="shared" si="96"/>
        <v>294.38852181137639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278.85000000000008</v>
      </c>
      <c r="P93" s="14">
        <f t="shared" si="87"/>
        <v>66.723922641152967</v>
      </c>
      <c r="Q93" s="22">
        <f t="shared" si="54"/>
        <v>601.87458193334146</v>
      </c>
      <c r="R93" s="62">
        <f t="shared" si="55"/>
        <v>895.20791526667472</v>
      </c>
      <c r="S93" s="62">
        <f ca="1">AVERAGE(OFFSET($R$3,0,0,'Données projet'!$E$9+1,1))-AVERAGE(OFFSET($H$3,0,0,'Données projet'!$E$9+1,1))</f>
        <v>411.98877330238821</v>
      </c>
      <c r="T93" s="62">
        <f t="shared" si="88"/>
        <v>256.4377087753457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0.57307138391637813</v>
      </c>
      <c r="AB93" s="23">
        <f>EXP(-LN(2)/2)*AB92+(1-EXP(-LN(2)/2))/(LN(2)/2)*V93*Y93*VLOOKUP('Données projet'!$B$9,Paramètres!$A$1:$I$89,3,0)*0.475*44/12</f>
        <v>1.3098142560315315E-8</v>
      </c>
      <c r="AC93" s="24">
        <f t="shared" si="57"/>
        <v>0.5730713970145207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-5.9412741393316544E-14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356.31271939877655</v>
      </c>
      <c r="AO93" s="62">
        <f t="shared" si="90"/>
        <v>499.70544707812991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7.6704961301427268</v>
      </c>
      <c r="AW93" s="23">
        <f>EXP(-LN(2)/2)*AW92+(1-EXP(-LN(2)/2))/(LN(2)/2)*AQ93*AT93*VLOOKUP('Données projet'!$B$10,Paramètres!$A$1:$I$89,3,0)*0.475*44/12</f>
        <v>1.8146852831409388E-8</v>
      </c>
      <c r="AX93" s="23">
        <f t="shared" si="60"/>
        <v>7.6704961482895797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-9.9316821433603781E-14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195.30963433439501</v>
      </c>
      <c r="BJ93" s="62">
        <f t="shared" si="92"/>
        <v>185.00219255324504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-4.9658410716801891E-14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303.33040062722074</v>
      </c>
      <c r="CE93" s="62">
        <f t="shared" si="94"/>
        <v>425.30058672361548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6.4111609445969089</v>
      </c>
      <c r="CM93" s="23">
        <f>EXP(-LN(2)/2)*CM92+(1-EXP(-LN(2)/2))/(LN(2)/2)*CG93*CJ93*VLOOKUP('Données projet'!$B$12,Paramètres!$A$1:$I$89,3,0)*0.475*44/12</f>
        <v>1.516751878446157E-8</v>
      </c>
      <c r="CN93" s="24">
        <f t="shared" si="66"/>
        <v>6.4111609597644277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673</v>
      </c>
      <c r="CR93" s="13">
        <f>VLOOKUP(A93,'Données projet'!$A$139:$I$159,9,0)</f>
        <v>17.5</v>
      </c>
      <c r="CS93" s="13">
        <f t="array" ref="CS93">INDEX(CR:CR,MIN(IF(ISNUMBER(CR93:CR289),ROW(CR93:CR289),"")))</f>
        <v>17.5</v>
      </c>
      <c r="CT93" s="13">
        <f>IF('Données projet'!$A$140&gt;35,CT92+CS93-DB92,IF(A93&lt;'Données projet'!$A$140,$CQ$205^A93,IF(A93='Données projet'!$A$140,'Données projet'!$B$140,CT92+CS93-DB92)))</f>
        <v>672.99999999999989</v>
      </c>
      <c r="CU93" s="18">
        <f>CT93*VLOOKUP('Données projet'!$B$13,Paramètres!$A$1:$I$89,3,0)*VLOOKUP('Données projet'!$B$13,Paramètres!$A$1:$I$89,5,0)</f>
        <v>314.96399999999994</v>
      </c>
      <c r="CV93" s="14">
        <f t="shared" si="95"/>
        <v>74.304550517616548</v>
      </c>
      <c r="CW93" s="22">
        <f t="shared" si="67"/>
        <v>677.97605881818208</v>
      </c>
      <c r="CX93" s="62">
        <f t="shared" si="68"/>
        <v>971.30939215151534</v>
      </c>
      <c r="CY93" s="62">
        <f ca="1">AVERAGE(OFFSET($CX$3,0,0,'Données projet'!$E$13+1,1))-AVERAGE(OFFSET($H$3,0,0,'Données projet'!$E$13+1,1))</f>
        <v>396.92963589781414</v>
      </c>
      <c r="CZ93" s="62">
        <f t="shared" si="96"/>
        <v>294.38852181137639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135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262.62600000000009</v>
      </c>
      <c r="P94" s="14">
        <f t="shared" si="87"/>
        <v>63.281807230823453</v>
      </c>
      <c r="Q94" s="22">
        <f t="shared" si="54"/>
        <v>567.622764260351</v>
      </c>
      <c r="R94" s="62">
        <f t="shared" si="55"/>
        <v>860.95609759368426</v>
      </c>
      <c r="S94" s="62">
        <f ca="1">AVERAGE(OFFSET($R$3,0,0,'Données projet'!$E$9+1,1))-AVERAGE(OFFSET($H$3,0,0,'Données projet'!$E$9+1,1))</f>
        <v>411.98877330238821</v>
      </c>
      <c r="T94" s="62">
        <f t="shared" si="88"/>
        <v>256.4377087753457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0.55740071678667047</v>
      </c>
      <c r="AB94" s="23">
        <f>EXP(-LN(2)/2)*AB93+(1-EXP(-LN(2)/2))/(LN(2)/2)*V94*Y94*VLOOKUP('Données projet'!$B$9,Paramètres!$A$1:$I$89,3,0)*0.475*44/12</f>
        <v>9.261785425347087E-9</v>
      </c>
      <c r="AC94" s="24">
        <f t="shared" si="57"/>
        <v>0.55740072604845592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-5.9412741393316544E-14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356.31271939877655</v>
      </c>
      <c r="AO94" s="62">
        <f t="shared" si="90"/>
        <v>499.70544707812991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7.460746010090114</v>
      </c>
      <c r="AW94" s="23">
        <f>EXP(-LN(2)/2)*AW93+(1-EXP(-LN(2)/2))/(LN(2)/2)*AQ94*AT94*VLOOKUP('Données projet'!$B$10,Paramètres!$A$1:$I$89,3,0)*0.475*44/12</f>
        <v>1.2831762694283878E-8</v>
      </c>
      <c r="AX94" s="23">
        <f t="shared" si="60"/>
        <v>7.4607460229218763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195.30963433439501</v>
      </c>
      <c r="BJ94" s="62">
        <f t="shared" si="92"/>
        <v>185.00219255324504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-4.9658410716801891E-14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303.33040062722074</v>
      </c>
      <c r="CE94" s="62">
        <f t="shared" si="94"/>
        <v>425.30058672361548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6.2358474114186055</v>
      </c>
      <c r="CM94" s="23">
        <f>EXP(-LN(2)/2)*CM93+(1-EXP(-LN(2)/2))/(LN(2)/2)*CG94*CJ94*VLOOKUP('Données projet'!$B$12,Paramètres!$A$1:$I$89,3,0)*0.475*44/12</f>
        <v>1.0725055386267117E-8</v>
      </c>
      <c r="CN94" s="24">
        <f t="shared" si="66"/>
        <v>6.2358474221436611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18.5</v>
      </c>
      <c r="CT94" s="13">
        <f>IF('Données projet'!$A$140&gt;35,CT93+CS94-DB93,IF(A94&lt;'Données projet'!$A$140,$CQ$205^A94,IF(A94='Données projet'!$A$140,'Données projet'!$B$140,CT93+CS94-DB93)))</f>
        <v>556.49999999999989</v>
      </c>
      <c r="CU94" s="18">
        <f>CT94*VLOOKUP('Données projet'!$B$13,Paramètres!$A$1:$I$89,3,0)*VLOOKUP('Données projet'!$B$13,Paramètres!$A$1:$I$89,5,0)</f>
        <v>260.44199999999995</v>
      </c>
      <c r="CV94" s="14">
        <f t="shared" si="95"/>
        <v>62.816585178645781</v>
      </c>
      <c r="CW94" s="22">
        <f t="shared" si="67"/>
        <v>563.00870251947458</v>
      </c>
      <c r="CX94" s="62">
        <f t="shared" si="68"/>
        <v>856.34203585280784</v>
      </c>
      <c r="CY94" s="62">
        <f ca="1">AVERAGE(OFFSET($CX$3,0,0,'Données projet'!$E$13+1,1))-AVERAGE(OFFSET($H$3,0,0,'Données projet'!$E$13+1,1))</f>
        <v>396.92963589781414</v>
      </c>
      <c r="CZ94" s="62">
        <f t="shared" si="96"/>
        <v>294.38852181137639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267.69600000000008</v>
      </c>
      <c r="P95" s="14">
        <f t="shared" si="87"/>
        <v>64.360058723585496</v>
      </c>
      <c r="Q95" s="22">
        <f t="shared" si="54"/>
        <v>578.33096894357823</v>
      </c>
      <c r="R95" s="62">
        <f t="shared" si="55"/>
        <v>871.66430227691149</v>
      </c>
      <c r="S95" s="62">
        <f ca="1">AVERAGE(OFFSET($R$3,0,0,'Données projet'!$E$9+1,1))-AVERAGE(OFFSET($H$3,0,0,'Données projet'!$E$9+1,1))</f>
        <v>411.98877330238821</v>
      </c>
      <c r="T95" s="62">
        <f t="shared" si="88"/>
        <v>256.4377087753457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0.54215856487370928</v>
      </c>
      <c r="AB95" s="23">
        <f>EXP(-LN(2)/2)*AB94+(1-EXP(-LN(2)/2))/(LN(2)/2)*V95*Y95*VLOOKUP('Données projet'!$B$9,Paramètres!$A$1:$I$89,3,0)*0.475*44/12</f>
        <v>6.5490712801576577E-9</v>
      </c>
      <c r="AC95" s="24">
        <f t="shared" si="57"/>
        <v>0.54215857142278057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-5.9412741393316544E-14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356.31271939877655</v>
      </c>
      <c r="AO95" s="62">
        <f t="shared" si="90"/>
        <v>499.70544707812991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7.2567315181006187</v>
      </c>
      <c r="AW95" s="23">
        <f>EXP(-LN(2)/2)*AW94+(1-EXP(-LN(2)/2))/(LN(2)/2)*AQ95*AT95*VLOOKUP('Données projet'!$B$10,Paramètres!$A$1:$I$89,3,0)*0.475*44/12</f>
        <v>9.0734264157046938E-9</v>
      </c>
      <c r="AX95" s="23">
        <f t="shared" si="60"/>
        <v>7.2567315271740451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195.30963433439501</v>
      </c>
      <c r="BJ95" s="62">
        <f t="shared" si="92"/>
        <v>185.00219255324504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-4.9658410716801891E-14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303.33040062722074</v>
      </c>
      <c r="CE95" s="62">
        <f t="shared" si="94"/>
        <v>425.30058672361548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6.0653278360244007</v>
      </c>
      <c r="CM95" s="23">
        <f>EXP(-LN(2)/2)*CM94+(1-EXP(-LN(2)/2))/(LN(2)/2)*CG95*CJ95*VLOOKUP('Données projet'!$B$12,Paramètres!$A$1:$I$89,3,0)*0.475*44/12</f>
        <v>7.5837593922307852E-9</v>
      </c>
      <c r="CN95" s="24">
        <f t="shared" si="66"/>
        <v>6.0653278436081601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18.5</v>
      </c>
      <c r="CT95" s="13">
        <f>IF('Données projet'!$A$140&gt;35,CT94+CS95-DB94,IF(A95&lt;'Données projet'!$A$140,$CQ$205^A95,IF(A95='Données projet'!$A$140,'Données projet'!$B$140,CT94+CS95-DB94)))</f>
        <v>574.99999999999989</v>
      </c>
      <c r="CU95" s="18">
        <f>CT95*VLOOKUP('Données projet'!$B$13,Paramètres!$A$1:$I$89,3,0)*VLOOKUP('Données projet'!$B$13,Paramètres!$A$1:$I$89,5,0)</f>
        <v>269.09999999999991</v>
      </c>
      <c r="CV95" s="14">
        <f t="shared" si="95"/>
        <v>64.658229472790993</v>
      </c>
      <c r="CW95" s="22">
        <f t="shared" si="67"/>
        <v>581.29558299844405</v>
      </c>
      <c r="CX95" s="62">
        <f t="shared" si="68"/>
        <v>874.62891633177742</v>
      </c>
      <c r="CY95" s="62">
        <f ca="1">AVERAGE(OFFSET($CX$3,0,0,'Données projet'!$E$13+1,1))-AVERAGE(OFFSET($H$3,0,0,'Données projet'!$E$13+1,1))</f>
        <v>396.92963589781414</v>
      </c>
      <c r="CZ95" s="62">
        <f t="shared" si="96"/>
        <v>294.38852181137639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272.76600000000008</v>
      </c>
      <c r="P96" s="14">
        <f t="shared" si="87"/>
        <v>65.435935630087627</v>
      </c>
      <c r="Q96" s="22">
        <f t="shared" si="54"/>
        <v>589.03503788906926</v>
      </c>
      <c r="R96" s="62">
        <f t="shared" si="55"/>
        <v>882.36837122240263</v>
      </c>
      <c r="S96" s="62">
        <f ca="1">AVERAGE(OFFSET($R$3,0,0,'Données projet'!$E$9+1,1))-AVERAGE(OFFSET($H$3,0,0,'Données projet'!$E$9+1,1))</f>
        <v>411.98877330238821</v>
      </c>
      <c r="T96" s="62">
        <f t="shared" si="88"/>
        <v>256.4377087753457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0.52733321040635794</v>
      </c>
      <c r="AB96" s="23">
        <f>EXP(-LN(2)/2)*AB95+(1-EXP(-LN(2)/2))/(LN(2)/2)*V96*Y96*VLOOKUP('Données projet'!$B$9,Paramètres!$A$1:$I$89,3,0)*0.475*44/12</f>
        <v>4.6308927126735435E-9</v>
      </c>
      <c r="AC96" s="24">
        <f t="shared" si="57"/>
        <v>0.52733321503725061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-5.9412741393316544E-14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356.31271939877655</v>
      </c>
      <c r="AO96" s="62">
        <f t="shared" si="90"/>
        <v>499.70544707812991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7.0582958131232321</v>
      </c>
      <c r="AW96" s="23">
        <f>EXP(-LN(2)/2)*AW95+(1-EXP(-LN(2)/2))/(LN(2)/2)*AQ96*AT96*VLOOKUP('Données projet'!$B$10,Paramètres!$A$1:$I$89,3,0)*0.475*44/12</f>
        <v>6.4158813471419392E-9</v>
      </c>
      <c r="AX96" s="23">
        <f t="shared" si="60"/>
        <v>7.0582958195391132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195.30963433439501</v>
      </c>
      <c r="BJ96" s="62">
        <f t="shared" si="92"/>
        <v>185.00219255324504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-4.9658410716801891E-14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303.33040062722074</v>
      </c>
      <c r="CE96" s="62">
        <f t="shared" si="94"/>
        <v>425.30058672361548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5.899471127386585</v>
      </c>
      <c r="CM96" s="23">
        <f>EXP(-LN(2)/2)*CM95+(1-EXP(-LN(2)/2))/(LN(2)/2)*CG96*CJ96*VLOOKUP('Données projet'!$B$12,Paramètres!$A$1:$I$89,3,0)*0.475*44/12</f>
        <v>5.3625276931335586E-9</v>
      </c>
      <c r="CN96" s="24">
        <f t="shared" si="66"/>
        <v>5.8994711327491123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18.5</v>
      </c>
      <c r="CT96" s="13">
        <f>IF('Données projet'!$A$140&gt;35,CT95+CS96-DB95,IF(A96&lt;'Données projet'!$A$140,$CQ$205^A96,IF(A96='Données projet'!$A$140,'Données projet'!$B$140,CT95+CS96-DB95)))</f>
        <v>593.49999999999989</v>
      </c>
      <c r="CU96" s="18">
        <f>CT96*VLOOKUP('Données projet'!$B$13,Paramètres!$A$1:$I$89,3,0)*VLOOKUP('Données projet'!$B$13,Paramètres!$A$1:$I$89,5,0)</f>
        <v>277.75799999999992</v>
      </c>
      <c r="CV96" s="14">
        <f t="shared" si="95"/>
        <v>66.492988372715388</v>
      </c>
      <c r="CW96" s="22">
        <f t="shared" si="67"/>
        <v>599.57047141581245</v>
      </c>
      <c r="CX96" s="62">
        <f t="shared" si="68"/>
        <v>892.90380474914582</v>
      </c>
      <c r="CY96" s="62">
        <f ca="1">AVERAGE(OFFSET($CX$3,0,0,'Données projet'!$E$13+1,1))-AVERAGE(OFFSET($H$3,0,0,'Données projet'!$E$13+1,1))</f>
        <v>396.92963589781414</v>
      </c>
      <c r="CZ96" s="62">
        <f t="shared" si="96"/>
        <v>294.38852181137639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277.83600000000007</v>
      </c>
      <c r="P97" s="14">
        <f t="shared" si="87"/>
        <v>66.509487177652318</v>
      </c>
      <c r="Q97" s="22">
        <f t="shared" si="54"/>
        <v>599.73505683441124</v>
      </c>
      <c r="R97" s="62">
        <f t="shared" si="55"/>
        <v>893.06839016774461</v>
      </c>
      <c r="S97" s="62">
        <f ca="1">AVERAGE(OFFSET($R$3,0,0,'Données projet'!$E$9+1,1))-AVERAGE(OFFSET($H$3,0,0,'Données projet'!$E$9+1,1))</f>
        <v>411.98877330238821</v>
      </c>
      <c r="T97" s="62">
        <f t="shared" si="88"/>
        <v>256.4377087753457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0.5129132560365478</v>
      </c>
      <c r="AB97" s="23">
        <f>EXP(-LN(2)/2)*AB96+(1-EXP(-LN(2)/2))/(LN(2)/2)*V97*Y97*VLOOKUP('Données projet'!$B$9,Paramètres!$A$1:$I$89,3,0)*0.475*44/12</f>
        <v>3.2745356400788288E-9</v>
      </c>
      <c r="AC97" s="24">
        <f t="shared" si="57"/>
        <v>0.51291325931108345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-5.9412741393316544E-14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356.31271939877655</v>
      </c>
      <c r="AO97" s="62">
        <f t="shared" si="90"/>
        <v>499.70544707812991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6.8652863429337323</v>
      </c>
      <c r="AW97" s="23">
        <f>EXP(-LN(2)/2)*AW96+(1-EXP(-LN(2)/2))/(LN(2)/2)*AQ97*AT97*VLOOKUP('Données projet'!$B$10,Paramètres!$A$1:$I$89,3,0)*0.475*44/12</f>
        <v>4.5367132078523469E-9</v>
      </c>
      <c r="AX97" s="23">
        <f t="shared" si="60"/>
        <v>6.8652863474704455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195.30963433439501</v>
      </c>
      <c r="BJ97" s="62">
        <f t="shared" si="92"/>
        <v>185.00219255324504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-4.9658410716801891E-14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303.33040062722074</v>
      </c>
      <c r="CE97" s="62">
        <f t="shared" si="94"/>
        <v>425.30058672361548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5.7381497791684959</v>
      </c>
      <c r="CM97" s="23">
        <f>EXP(-LN(2)/2)*CM96+(1-EXP(-LN(2)/2))/(LN(2)/2)*CG97*CJ97*VLOOKUP('Données projet'!$B$12,Paramètres!$A$1:$I$89,3,0)*0.475*44/12</f>
        <v>3.7918796961153926E-9</v>
      </c>
      <c r="CN97" s="24">
        <f t="shared" si="66"/>
        <v>5.7381497829603756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18.5</v>
      </c>
      <c r="CT97" s="13">
        <f>IF('Données projet'!$A$140&gt;35,CT96+CS97-DB96,IF(A97&lt;'Données projet'!$A$140,$CQ$205^A97,IF(A97='Données projet'!$A$140,'Données projet'!$B$140,CT96+CS97-DB96)))</f>
        <v>611.99999999999989</v>
      </c>
      <c r="CU97" s="18">
        <f>CT97*VLOOKUP('Données projet'!$B$13,Paramètres!$A$1:$I$89,3,0)*VLOOKUP('Données projet'!$B$13,Paramètres!$A$1:$I$89,5,0)</f>
        <v>286.41599999999994</v>
      </c>
      <c r="CV97" s="14">
        <f t="shared" si="95"/>
        <v>68.321101129951188</v>
      </c>
      <c r="CW97" s="22">
        <f t="shared" si="67"/>
        <v>617.83378446799827</v>
      </c>
      <c r="CX97" s="62">
        <f t="shared" si="68"/>
        <v>911.16711780133164</v>
      </c>
      <c r="CY97" s="62">
        <f ca="1">AVERAGE(OFFSET($CX$3,0,0,'Données projet'!$E$13+1,1))-AVERAGE(OFFSET($H$3,0,0,'Données projet'!$E$13+1,1))</f>
        <v>396.92963589781414</v>
      </c>
      <c r="CZ97" s="62">
        <f t="shared" si="96"/>
        <v>294.38852181137639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282.90600000000006</v>
      </c>
      <c r="P98" s="14">
        <f t="shared" si="87"/>
        <v>67.580760694123512</v>
      </c>
      <c r="Q98" s="22">
        <f t="shared" si="54"/>
        <v>610.43110820893185</v>
      </c>
      <c r="R98" s="62">
        <f t="shared" si="55"/>
        <v>903.7644415422651</v>
      </c>
      <c r="S98" s="62">
        <f ca="1">AVERAGE(OFFSET($R$3,0,0,'Données projet'!$E$9+1,1))-AVERAGE(OFFSET($H$3,0,0,'Données projet'!$E$9+1,1))</f>
        <v>411.98877330238821</v>
      </c>
      <c r="T98" s="62">
        <f t="shared" si="88"/>
        <v>256.4377087753457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0.49888761607729254</v>
      </c>
      <c r="AB98" s="23">
        <f>EXP(-LN(2)/2)*AB97+(1-EXP(-LN(2)/2))/(LN(2)/2)*V98*Y98*VLOOKUP('Données projet'!$B$9,Paramètres!$A$1:$I$89,3,0)*0.475*44/12</f>
        <v>2.3154463563367717E-9</v>
      </c>
      <c r="AC98" s="24">
        <f t="shared" si="57"/>
        <v>0.49888761839273887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-5.9412741393316544E-14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356.31271939877655</v>
      </c>
      <c r="AO98" s="62">
        <f t="shared" si="90"/>
        <v>499.70544707812991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6.6775547268564912</v>
      </c>
      <c r="AW98" s="23">
        <f>EXP(-LN(2)/2)*AW97+(1-EXP(-LN(2)/2))/(LN(2)/2)*AQ98*AT98*VLOOKUP('Données projet'!$B$10,Paramètres!$A$1:$I$89,3,0)*0.475*44/12</f>
        <v>3.2079406735709696E-9</v>
      </c>
      <c r="AX98" s="23">
        <f t="shared" si="60"/>
        <v>6.6775547300644318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195.30963433439501</v>
      </c>
      <c r="BJ98" s="62">
        <f t="shared" si="92"/>
        <v>185.00219255324504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-4.9658410716801891E-14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303.33040062722074</v>
      </c>
      <c r="CE98" s="62">
        <f t="shared" si="94"/>
        <v>425.30058672361548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5.5812397717009512</v>
      </c>
      <c r="CM98" s="23">
        <f>EXP(-LN(2)/2)*CM97+(1-EXP(-LN(2)/2))/(LN(2)/2)*CG98*CJ98*VLOOKUP('Données projet'!$B$12,Paramètres!$A$1:$I$89,3,0)*0.475*44/12</f>
        <v>2.6812638465667793E-9</v>
      </c>
      <c r="CN98" s="24">
        <f t="shared" si="66"/>
        <v>5.5812397743822153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18.5</v>
      </c>
      <c r="CT98" s="13">
        <f>IF('Données projet'!$A$140&gt;35,CT97+CS98-DB97,IF(A98&lt;'Données projet'!$A$140,$CQ$205^A98,IF(A98='Données projet'!$A$140,'Données projet'!$B$140,CT97+CS98-DB97)))</f>
        <v>630.49999999999989</v>
      </c>
      <c r="CU98" s="18">
        <f>CT98*VLOOKUP('Données projet'!$B$13,Paramètres!$A$1:$I$89,3,0)*VLOOKUP('Données projet'!$B$13,Paramètres!$A$1:$I$89,5,0)</f>
        <v>295.07399999999996</v>
      </c>
      <c r="CV98" s="14">
        <f t="shared" si="95"/>
        <v>70.142791709481173</v>
      </c>
      <c r="CW98" s="22">
        <f t="shared" si="67"/>
        <v>636.08591222734628</v>
      </c>
      <c r="CX98" s="62">
        <f t="shared" si="68"/>
        <v>929.41924556067966</v>
      </c>
      <c r="CY98" s="62">
        <f ca="1">AVERAGE(OFFSET($CX$3,0,0,'Données projet'!$E$13+1,1))-AVERAGE(OFFSET($H$3,0,0,'Données projet'!$E$13+1,1))</f>
        <v>396.92963589781414</v>
      </c>
      <c r="CZ98" s="62">
        <f t="shared" si="96"/>
        <v>294.38852181137639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266.47920000000011</v>
      </c>
      <c r="P99" s="14">
        <f t="shared" si="87"/>
        <v>64.101496824889679</v>
      </c>
      <c r="Q99" s="22">
        <f t="shared" ref="Q99:Q130" si="107">(O99+P99)*0.475*44/12</f>
        <v>575.76138030334971</v>
      </c>
      <c r="R99" s="62">
        <f t="shared" si="55"/>
        <v>869.09471363668308</v>
      </c>
      <c r="S99" s="62">
        <f ca="1">AVERAGE(OFFSET($R$3,0,0,'Données projet'!$E$9+1,1))-AVERAGE(OFFSET($H$3,0,0,'Données projet'!$E$9+1,1))</f>
        <v>411.98877330238821</v>
      </c>
      <c r="T99" s="62">
        <f t="shared" si="88"/>
        <v>256.4377087753457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0.48524550798029947</v>
      </c>
      <c r="AB99" s="23">
        <f>EXP(-LN(2)/2)*AB98+(1-EXP(-LN(2)/2))/(LN(2)/2)*V99*Y99*VLOOKUP('Données projet'!$B$9,Paramètres!$A$1:$I$89,3,0)*0.475*44/12</f>
        <v>1.6372678200394144E-9</v>
      </c>
      <c r="AC99" s="24">
        <f t="shared" si="57"/>
        <v>0.48524550961756729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-5.9412741393316544E-14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356.31271939877655</v>
      </c>
      <c r="AO99" s="62">
        <f t="shared" si="90"/>
        <v>499.70544707812991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6.4949566416932587</v>
      </c>
      <c r="AW99" s="23">
        <f>EXP(-LN(2)/2)*AW98+(1-EXP(-LN(2)/2))/(LN(2)/2)*AQ99*AT99*VLOOKUP('Données projet'!$B$10,Paramètres!$A$1:$I$89,3,0)*0.475*44/12</f>
        <v>2.2683566039261734E-9</v>
      </c>
      <c r="AX99" s="23">
        <f t="shared" si="60"/>
        <v>6.4949566439616149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195.30963433439501</v>
      </c>
      <c r="BJ99" s="62">
        <f t="shared" si="92"/>
        <v>185.00219255324504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-4.9658410716801891E-14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303.33040062722074</v>
      </c>
      <c r="CE99" s="62">
        <f t="shared" si="94"/>
        <v>425.30058672361548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5.4286204766391455</v>
      </c>
      <c r="CM99" s="23">
        <f>EXP(-LN(2)/2)*CM98+(1-EXP(-LN(2)/2))/(LN(2)/2)*CG99*CJ99*VLOOKUP('Données projet'!$B$12,Paramètres!$A$1:$I$89,3,0)*0.475*44/12</f>
        <v>1.8959398480576963E-9</v>
      </c>
      <c r="CN99" s="24">
        <f t="shared" si="66"/>
        <v>5.4286204785350849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18.5</v>
      </c>
      <c r="CT99" s="13">
        <f>IF('Données projet'!$A$140&gt;35,CT98+CS99-DB98,IF(A99&lt;'Données projet'!$A$140,$CQ$205^A99,IF(A99='Données projet'!$A$140,'Données projet'!$B$140,CT98+CS99-DB98)))</f>
        <v>648.99999999999989</v>
      </c>
      <c r="CU99" s="18">
        <f>CT99*VLOOKUP('Données projet'!$B$13,Paramètres!$A$1:$I$89,3,0)*VLOOKUP('Données projet'!$B$13,Paramètres!$A$1:$I$89,5,0)</f>
        <v>303.73199999999997</v>
      </c>
      <c r="CV99" s="14">
        <f t="shared" si="95"/>
        <v>71.958270185981476</v>
      </c>
      <c r="CW99" s="22">
        <f t="shared" si="67"/>
        <v>654.32722057391766</v>
      </c>
      <c r="CX99" s="62">
        <f t="shared" si="68"/>
        <v>947.66055390725091</v>
      </c>
      <c r="CY99" s="62">
        <f ca="1">AVERAGE(OFFSET($CX$3,0,0,'Données projet'!$E$13+1,1))-AVERAGE(OFFSET($H$3,0,0,'Données projet'!$E$13+1,1))</f>
        <v>396.92963589781414</v>
      </c>
      <c r="CZ99" s="62">
        <f t="shared" si="96"/>
        <v>294.38852181137639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271.34640000000007</v>
      </c>
      <c r="P100" s="14">
        <f t="shared" si="87"/>
        <v>65.134926573557365</v>
      </c>
      <c r="Q100" s="22">
        <f t="shared" si="107"/>
        <v>586.03831044894594</v>
      </c>
      <c r="R100" s="62">
        <f t="shared" si="55"/>
        <v>879.37164378227931</v>
      </c>
      <c r="S100" s="62">
        <f ca="1">AVERAGE(OFFSET($R$3,0,0,'Données projet'!$E$9+1,1))-AVERAGE(OFFSET($H$3,0,0,'Données projet'!$E$9+1,1))</f>
        <v>411.98877330238821</v>
      </c>
      <c r="T100" s="62">
        <f t="shared" si="88"/>
        <v>256.4377087753457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0.47197644404662598</v>
      </c>
      <c r="AB100" s="23">
        <f>EXP(-LN(2)/2)*AB99+(1-EXP(-LN(2)/2))/(LN(2)/2)*V100*Y100*VLOOKUP('Données projet'!$B$9,Paramètres!$A$1:$I$89,3,0)*0.475*44/12</f>
        <v>1.1577231781683859E-9</v>
      </c>
      <c r="AC100" s="24">
        <f t="shared" si="57"/>
        <v>0.47197644520434917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-5.9412741393316544E-14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356.31271939877655</v>
      </c>
      <c r="AO100" s="62">
        <f t="shared" si="90"/>
        <v>499.70544707812991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6.3173517107712316</v>
      </c>
      <c r="AW100" s="23">
        <f>EXP(-LN(2)/2)*AW99+(1-EXP(-LN(2)/2))/(LN(2)/2)*AQ100*AT100*VLOOKUP('Données projet'!$B$10,Paramètres!$A$1:$I$89,3,0)*0.475*44/12</f>
        <v>1.6039703367854848E-9</v>
      </c>
      <c r="AX100" s="23">
        <f t="shared" si="60"/>
        <v>6.3173517123752019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195.30963433439501</v>
      </c>
      <c r="BJ100" s="62">
        <f t="shared" si="92"/>
        <v>185.00219255324504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-4.9658410716801891E-14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303.33040062722074</v>
      </c>
      <c r="CE100" s="62">
        <f t="shared" si="94"/>
        <v>425.30058672361548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5.2801745642267042</v>
      </c>
      <c r="CM100" s="23">
        <f>EXP(-LN(2)/2)*CM99+(1-EXP(-LN(2)/2))/(LN(2)/2)*CG100*CJ100*VLOOKUP('Données projet'!$B$12,Paramètres!$A$1:$I$89,3,0)*0.475*44/12</f>
        <v>1.3406319232833897E-9</v>
      </c>
      <c r="CN100" s="24">
        <f t="shared" si="66"/>
        <v>5.2801745655673358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18.5</v>
      </c>
      <c r="CT100" s="13">
        <f>IF('Données projet'!$A$140&gt;35,CT99+CS100-DB99,IF(A100&lt;'Données projet'!$A$140,$CQ$205^A100,IF(A100='Données projet'!$A$140,'Données projet'!$B$140,CT99+CS100-DB99)))</f>
        <v>667.49999999999989</v>
      </c>
      <c r="CU100" s="18">
        <f>CT100*VLOOKUP('Données projet'!$B$13,Paramètres!$A$1:$I$89,3,0)*VLOOKUP('Données projet'!$B$13,Paramètres!$A$1:$I$89,5,0)</f>
        <v>312.38999999999993</v>
      </c>
      <c r="CV100" s="14">
        <f t="shared" si="95"/>
        <v>73.767733976388286</v>
      </c>
      <c r="CW100" s="22">
        <f t="shared" si="67"/>
        <v>672.55805334220952</v>
      </c>
      <c r="CX100" s="62">
        <f t="shared" si="68"/>
        <v>965.89138667554289</v>
      </c>
      <c r="CY100" s="62">
        <f ca="1">AVERAGE(OFFSET($CX$3,0,0,'Données projet'!$E$13+1,1))-AVERAGE(OFFSET($H$3,0,0,'Données projet'!$E$13+1,1))</f>
        <v>396.92963589781414</v>
      </c>
      <c r="CZ100" s="62">
        <f t="shared" si="96"/>
        <v>294.38852181137639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276.2136000000001</v>
      </c>
      <c r="P101" s="14">
        <f t="shared" si="87"/>
        <v>66.166200760877473</v>
      </c>
      <c r="Q101" s="22">
        <f t="shared" si="107"/>
        <v>596.31148632519512</v>
      </c>
      <c r="R101" s="62">
        <f t="shared" si="55"/>
        <v>889.64481965852838</v>
      </c>
      <c r="S101" s="62">
        <f ca="1">AVERAGE(OFFSET($R$3,0,0,'Données projet'!$E$9+1,1))-AVERAGE(OFFSET($H$3,0,0,'Données projet'!$E$9+1,1))</f>
        <v>411.98877330238821</v>
      </c>
      <c r="T101" s="62">
        <f t="shared" si="88"/>
        <v>256.4377087753457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0.45907022336400849</v>
      </c>
      <c r="AB101" s="23">
        <f>EXP(-LN(2)/2)*AB100+(1-EXP(-LN(2)/2))/(LN(2)/2)*V101*Y101*VLOOKUP('Données projet'!$B$9,Paramètres!$A$1:$I$89,3,0)*0.475*44/12</f>
        <v>8.1863391001970721E-10</v>
      </c>
      <c r="AC101" s="24">
        <f t="shared" si="57"/>
        <v>0.45907022418264237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-5.9412741393316544E-14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356.31271939877655</v>
      </c>
      <c r="AO101" s="62">
        <f t="shared" si="90"/>
        <v>499.70544707812991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6.1446033960251043</v>
      </c>
      <c r="AW101" s="23">
        <f>EXP(-LN(2)/2)*AW100+(1-EXP(-LN(2)/2))/(LN(2)/2)*AQ101*AT101*VLOOKUP('Données projet'!$B$10,Paramètres!$A$1:$I$89,3,0)*0.475*44/12</f>
        <v>1.1341783019630867E-9</v>
      </c>
      <c r="AX101" s="23">
        <f t="shared" si="60"/>
        <v>6.1446033971592824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195.30963433439501</v>
      </c>
      <c r="BJ101" s="62">
        <f t="shared" si="92"/>
        <v>185.00219255324504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-4.9658410716801891E-14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303.33040062722074</v>
      </c>
      <c r="CE101" s="62">
        <f t="shared" si="94"/>
        <v>425.30058672361548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5.135787913095613</v>
      </c>
      <c r="CM101" s="23">
        <f>EXP(-LN(2)/2)*CM100+(1-EXP(-LN(2)/2))/(LN(2)/2)*CG101*CJ101*VLOOKUP('Données projet'!$B$12,Paramètres!$A$1:$I$89,3,0)*0.475*44/12</f>
        <v>9.4796992402884815E-10</v>
      </c>
      <c r="CN101" s="24">
        <f t="shared" si="66"/>
        <v>5.1357879140435827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18.5</v>
      </c>
      <c r="CT101" s="13">
        <f>IF('Données projet'!$A$140&gt;35,CT100+CS101-DB100,IF(A101&lt;'Données projet'!$A$140,$CQ$205^A101,IF(A101='Données projet'!$A$140,'Données projet'!$B$140,CT100+CS101-DB100)))</f>
        <v>685.99999999999989</v>
      </c>
      <c r="CU101" s="18">
        <f>CT101*VLOOKUP('Données projet'!$B$13,Paramètres!$A$1:$I$89,3,0)*VLOOKUP('Données projet'!$B$13,Paramètres!$A$1:$I$89,5,0)</f>
        <v>321.04799999999994</v>
      </c>
      <c r="CV101" s="14">
        <f t="shared" si="95"/>
        <v>75.571368931978697</v>
      </c>
      <c r="CW101" s="22">
        <f t="shared" si="67"/>
        <v>690.77873422319624</v>
      </c>
      <c r="CX101" s="62">
        <f t="shared" si="68"/>
        <v>984.11206755652961</v>
      </c>
      <c r="CY101" s="62">
        <f ca="1">AVERAGE(OFFSET($CX$3,0,0,'Données projet'!$E$13+1,1))-AVERAGE(OFFSET($H$3,0,0,'Données projet'!$E$13+1,1))</f>
        <v>396.92963589781414</v>
      </c>
      <c r="CZ101" s="62">
        <f t="shared" si="96"/>
        <v>294.38852181137639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281.08080000000012</v>
      </c>
      <c r="P102" s="14">
        <f t="shared" si="87"/>
        <v>67.195361752546177</v>
      </c>
      <c r="Q102" s="22">
        <f t="shared" si="107"/>
        <v>606.58098171901804</v>
      </c>
      <c r="R102" s="62">
        <f t="shared" si="55"/>
        <v>899.91431505235141</v>
      </c>
      <c r="S102" s="62">
        <f ca="1">AVERAGE(OFFSET($R$3,0,0,'Données projet'!$E$9+1,1))-AVERAGE(OFFSET($H$3,0,0,'Données projet'!$E$9+1,1))</f>
        <v>411.98877330238821</v>
      </c>
      <c r="T102" s="62">
        <f t="shared" si="88"/>
        <v>256.4377087753457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0.44651692396466586</v>
      </c>
      <c r="AB102" s="23">
        <f>EXP(-LN(2)/2)*AB101+(1-EXP(-LN(2)/2))/(LN(2)/2)*V102*Y102*VLOOKUP('Données projet'!$B$9,Paramètres!$A$1:$I$89,3,0)*0.475*44/12</f>
        <v>5.7886158908419294E-10</v>
      </c>
      <c r="AC102" s="24">
        <f t="shared" si="57"/>
        <v>0.44651692454352743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-5.9412741393316544E-14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356.31271939877655</v>
      </c>
      <c r="AO102" s="62">
        <f t="shared" si="90"/>
        <v>499.70544707812991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5.9765788930301493</v>
      </c>
      <c r="AW102" s="23">
        <f>EXP(-LN(2)/2)*AW101+(1-EXP(-LN(2)/2))/(LN(2)/2)*AQ102*AT102*VLOOKUP('Données projet'!$B$10,Paramètres!$A$1:$I$89,3,0)*0.475*44/12</f>
        <v>8.019851683927424E-10</v>
      </c>
      <c r="AX102" s="23">
        <f t="shared" si="60"/>
        <v>5.9765788938321345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195.30963433439501</v>
      </c>
      <c r="BJ102" s="62">
        <f t="shared" si="92"/>
        <v>185.00219255324504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-4.9658410716801891E-14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303.33040062722074</v>
      </c>
      <c r="CE102" s="62">
        <f t="shared" si="94"/>
        <v>425.30058672361548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4.9953495225326652</v>
      </c>
      <c r="CM102" s="23">
        <f>EXP(-LN(2)/2)*CM101+(1-EXP(-LN(2)/2))/(LN(2)/2)*CG102*CJ102*VLOOKUP('Données projet'!$B$12,Paramètres!$A$1:$I$89,3,0)*0.475*44/12</f>
        <v>6.7031596164169483E-10</v>
      </c>
      <c r="CN102" s="24">
        <f t="shared" si="66"/>
        <v>4.9953495232029814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18.5</v>
      </c>
      <c r="CT102" s="13">
        <f>IF('Données projet'!$A$140&gt;35,CT101+CS102-DB101,IF(A102&lt;'Données projet'!$A$140,$CQ$205^A102,IF(A102='Données projet'!$A$140,'Données projet'!$B$140,CT101+CS102-DB101)))</f>
        <v>704.49999999999989</v>
      </c>
      <c r="CU102" s="18">
        <f>CT102*VLOOKUP('Données projet'!$B$13,Paramètres!$A$1:$I$89,3,0)*VLOOKUP('Données projet'!$B$13,Paramètres!$A$1:$I$89,5,0)</f>
        <v>329.70599999999996</v>
      </c>
      <c r="CV102" s="14">
        <f t="shared" si="95"/>
        <v>77.369350309333612</v>
      </c>
      <c r="CW102" s="22">
        <f t="shared" si="67"/>
        <v>708.98956845542261</v>
      </c>
      <c r="CX102" s="62">
        <f t="shared" si="68"/>
        <v>1002.3229017887559</v>
      </c>
      <c r="CY102" s="62">
        <f ca="1">AVERAGE(OFFSET($CX$3,0,0,'Données projet'!$E$13+1,1))-AVERAGE(OFFSET($H$3,0,0,'Données projet'!$E$13+1,1))</f>
        <v>396.92963589781414</v>
      </c>
      <c r="CZ102" s="62">
        <f t="shared" si="96"/>
        <v>294.38852181137639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285.94800000000009</v>
      </c>
      <c r="P103" s="14">
        <f t="shared" si="87"/>
        <v>68.222450362989363</v>
      </c>
      <c r="Q103" s="22">
        <f t="shared" si="107"/>
        <v>616.84686771553993</v>
      </c>
      <c r="R103" s="62">
        <f t="shared" si="55"/>
        <v>910.18020104887319</v>
      </c>
      <c r="S103" s="62">
        <f ca="1">AVERAGE(OFFSET($R$3,0,0,'Données projet'!$E$9+1,1))-AVERAGE(OFFSET($H$3,0,0,'Données projet'!$E$9+1,1))</f>
        <v>411.98877330238821</v>
      </c>
      <c r="T103" s="62">
        <f t="shared" si="88"/>
        <v>256.4377087753457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0.43430689519754756</v>
      </c>
      <c r="AB103" s="23">
        <f>EXP(-LN(2)/2)*AB102+(1-EXP(-LN(2)/2))/(LN(2)/2)*V103*Y103*VLOOKUP('Données projet'!$B$9,Paramètres!$A$1:$I$89,3,0)*0.475*44/12</f>
        <v>4.093169550098536E-10</v>
      </c>
      <c r="AC103" s="24">
        <f t="shared" si="57"/>
        <v>0.43430689560686453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-5.9412741393316544E-14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356.31271939877655</v>
      </c>
      <c r="AO103" s="62">
        <f t="shared" si="90"/>
        <v>499.70544707812991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5.8131490289056158</v>
      </c>
      <c r="AW103" s="23">
        <f>EXP(-LN(2)/2)*AW102+(1-EXP(-LN(2)/2))/(LN(2)/2)*AQ103*AT103*VLOOKUP('Données projet'!$B$10,Paramètres!$A$1:$I$89,3,0)*0.475*44/12</f>
        <v>5.6708915098154336E-10</v>
      </c>
      <c r="AX103" s="23">
        <f t="shared" si="60"/>
        <v>5.8131490294727053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195.30963433439501</v>
      </c>
      <c r="BJ103" s="62">
        <f t="shared" si="92"/>
        <v>185.00219255324504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-4.9658410716801891E-14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303.33040062722074</v>
      </c>
      <c r="CE103" s="62">
        <f t="shared" si="94"/>
        <v>425.30058672361548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4.8587514271449948</v>
      </c>
      <c r="CM103" s="23">
        <f>EXP(-LN(2)/2)*CM102+(1-EXP(-LN(2)/2))/(LN(2)/2)*CG103*CJ103*VLOOKUP('Données projet'!$B$12,Paramètres!$A$1:$I$89,3,0)*0.475*44/12</f>
        <v>4.7398496201442407E-10</v>
      </c>
      <c r="CN103" s="24">
        <f t="shared" si="66"/>
        <v>4.85875142761898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723</v>
      </c>
      <c r="CR103" s="13">
        <f>VLOOKUP(A103,'Données projet'!$A$139:$I$159,9,0)</f>
        <v>18.5</v>
      </c>
      <c r="CS103" s="13">
        <f t="array" ref="CS103">INDEX(CR:CR,MIN(IF(ISNUMBER(CR103:CR299),ROW(CR103:CR299),"")))</f>
        <v>18.5</v>
      </c>
      <c r="CT103" s="13">
        <f>IF('Données projet'!$A$140&gt;35,CT102+CS103-DB102,IF(A103&lt;'Données projet'!$A$140,$CQ$205^A103,IF(A103='Données projet'!$A$140,'Données projet'!$B$140,CT102+CS103-DB102)))</f>
        <v>722.99999999999989</v>
      </c>
      <c r="CU103" s="18">
        <f>CT103*VLOOKUP('Données projet'!$B$13,Paramètres!$A$1:$I$89,3,0)*VLOOKUP('Données projet'!$B$13,Paramètres!$A$1:$I$89,5,0)</f>
        <v>338.36399999999998</v>
      </c>
      <c r="CV103" s="14">
        <f t="shared" si="95"/>
        <v>79.161843636443024</v>
      </c>
      <c r="CW103" s="22">
        <f t="shared" si="67"/>
        <v>727.19084433347155</v>
      </c>
      <c r="CX103" s="62">
        <f t="shared" si="68"/>
        <v>1020.5241776668049</v>
      </c>
      <c r="CY103" s="62">
        <f ca="1">AVERAGE(OFFSET($CX$3,0,0,'Données projet'!$E$13+1,1))-AVERAGE(OFFSET($H$3,0,0,'Données projet'!$E$13+1,1))</f>
        <v>396.92963589781414</v>
      </c>
      <c r="CZ103" s="62">
        <f t="shared" si="96"/>
        <v>294.38852181137639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723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269.11560000000014</v>
      </c>
      <c r="P104" s="14">
        <f t="shared" si="87"/>
        <v>64.661541462287133</v>
      </c>
      <c r="Q104" s="22">
        <f t="shared" si="107"/>
        <v>581.32852138015028</v>
      </c>
      <c r="R104" s="62">
        <f t="shared" si="55"/>
        <v>874.66185471348354</v>
      </c>
      <c r="S104" s="62">
        <f ca="1">AVERAGE(OFFSET($R$3,0,0,'Données projet'!$E$9+1,1))-AVERAGE(OFFSET($H$3,0,0,'Données projet'!$E$9+1,1))</f>
        <v>411.98877330238821</v>
      </c>
      <c r="T104" s="62">
        <f t="shared" si="88"/>
        <v>256.4377087753457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0.42243075030916361</v>
      </c>
      <c r="AB104" s="23">
        <f>EXP(-LN(2)/2)*AB103+(1-EXP(-LN(2)/2))/(LN(2)/2)*V104*Y104*VLOOKUP('Données projet'!$B$9,Paramètres!$A$1:$I$89,3,0)*0.475*44/12</f>
        <v>2.8943079454209647E-10</v>
      </c>
      <c r="AC104" s="24">
        <f t="shared" si="57"/>
        <v>0.42243075059859442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-5.9412741393316544E-14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356.31271939877655</v>
      </c>
      <c r="AO104" s="62">
        <f t="shared" si="90"/>
        <v>499.70544707812991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5.6541881630099704</v>
      </c>
      <c r="AW104" s="23">
        <f>EXP(-LN(2)/2)*AW103+(1-EXP(-LN(2)/2))/(LN(2)/2)*AQ104*AT104*VLOOKUP('Données projet'!$B$10,Paramètres!$A$1:$I$89,3,0)*0.475*44/12</f>
        <v>4.009925841963712E-10</v>
      </c>
      <c r="AX104" s="23">
        <f t="shared" si="60"/>
        <v>5.6541881634109634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195.30963433439501</v>
      </c>
      <c r="BJ104" s="62">
        <f t="shared" si="92"/>
        <v>185.00219255324504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-4.9658410716801891E-14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303.33040062722074</v>
      </c>
      <c r="CE104" s="62">
        <f t="shared" si="94"/>
        <v>425.30058672361548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4.7258886138590821</v>
      </c>
      <c r="CM104" s="23">
        <f>EXP(-LN(2)/2)*CM103+(1-EXP(-LN(2)/2))/(LN(2)/2)*CG104*CJ104*VLOOKUP('Données projet'!$B$12,Paramètres!$A$1:$I$89,3,0)*0.475*44/12</f>
        <v>3.3515798082084741E-10</v>
      </c>
      <c r="CN104" s="24">
        <f t="shared" si="66"/>
        <v>4.7258886141942398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-5.3205440053716299E-14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396.92963589781414</v>
      </c>
      <c r="CZ104" s="62">
        <f t="shared" si="96"/>
        <v>294.38852181137639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273.57720000000012</v>
      </c>
      <c r="P105" s="14">
        <f t="shared" si="87"/>
        <v>65.607858889915107</v>
      </c>
      <c r="Q105" s="22">
        <f t="shared" si="107"/>
        <v>590.74731089993566</v>
      </c>
      <c r="R105" s="62">
        <f t="shared" si="55"/>
        <v>884.08064423326891</v>
      </c>
      <c r="S105" s="62">
        <f ca="1">AVERAGE(OFFSET($R$3,0,0,'Données projet'!$E$9+1,1))-AVERAGE(OFFSET($H$3,0,0,'Données projet'!$E$9+1,1))</f>
        <v>411.98877330238821</v>
      </c>
      <c r="T105" s="62">
        <f t="shared" si="88"/>
        <v>256.4377087753457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0.41087935922729185</v>
      </c>
      <c r="AB105" s="23">
        <f>EXP(-LN(2)/2)*AB104+(1-EXP(-LN(2)/2))/(LN(2)/2)*V105*Y105*VLOOKUP('Données projet'!$B$9,Paramètres!$A$1:$I$89,3,0)*0.475*44/12</f>
        <v>2.046584775049268E-10</v>
      </c>
      <c r="AC105" s="24">
        <f t="shared" si="57"/>
        <v>0.41087935943195031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-5.9412741393316544E-14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356.31271939877655</v>
      </c>
      <c r="AO105" s="62">
        <f t="shared" si="90"/>
        <v>499.70544707812991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5.4995740903516301</v>
      </c>
      <c r="AW105" s="23">
        <f>EXP(-LN(2)/2)*AW104+(1-EXP(-LN(2)/2))/(LN(2)/2)*AQ105*AT105*VLOOKUP('Données projet'!$B$10,Paramètres!$A$1:$I$89,3,0)*0.475*44/12</f>
        <v>2.8354457549077168E-10</v>
      </c>
      <c r="AX105" s="23">
        <f t="shared" si="60"/>
        <v>5.4995740906351749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195.30963433439501</v>
      </c>
      <c r="BJ105" s="62">
        <f t="shared" si="92"/>
        <v>185.00219255324504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-4.9658410716801891E-14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303.33040062722074</v>
      </c>
      <c r="CE105" s="62">
        <f t="shared" si="94"/>
        <v>425.30058672361548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4.5966589411894248</v>
      </c>
      <c r="CM105" s="23">
        <f>EXP(-LN(2)/2)*CM104+(1-EXP(-LN(2)/2))/(LN(2)/2)*CG105*CJ105*VLOOKUP('Données projet'!$B$12,Paramètres!$A$1:$I$89,3,0)*0.475*44/12</f>
        <v>2.3699248100721204E-10</v>
      </c>
      <c r="CN105" s="24">
        <f t="shared" si="66"/>
        <v>4.5966589414264174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-5.3205440053716299E-14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396.92963589781414</v>
      </c>
      <c r="CZ105" s="62">
        <f t="shared" si="96"/>
        <v>294.38852181137639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278.03880000000009</v>
      </c>
      <c r="P106" s="14">
        <f t="shared" si="87"/>
        <v>66.5523815477178</v>
      </c>
      <c r="Q106" s="22">
        <f t="shared" si="107"/>
        <v>600.16297452894207</v>
      </c>
      <c r="R106" s="62">
        <f t="shared" si="55"/>
        <v>893.49630786227544</v>
      </c>
      <c r="S106" s="62">
        <f ca="1">AVERAGE(OFFSET($R$3,0,0,'Données projet'!$E$9+1,1))-AVERAGE(OFFSET($H$3,0,0,'Données projet'!$E$9+1,1))</f>
        <v>411.98877330238821</v>
      </c>
      <c r="T106" s="62">
        <f t="shared" si="88"/>
        <v>256.4377087753457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0.39964384154201515</v>
      </c>
      <c r="AB106" s="23">
        <f>EXP(-LN(2)/2)*AB105+(1-EXP(-LN(2)/2))/(LN(2)/2)*V106*Y106*VLOOKUP('Données projet'!$B$9,Paramètres!$A$1:$I$89,3,0)*0.475*44/12</f>
        <v>1.4471539727104823E-10</v>
      </c>
      <c r="AC106" s="24">
        <f t="shared" si="57"/>
        <v>0.39964384168673056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-5.9412741393316544E-14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356.31271939877655</v>
      </c>
      <c r="AO106" s="62">
        <f t="shared" si="90"/>
        <v>499.70544707812991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5.3491879476409325</v>
      </c>
      <c r="AW106" s="23">
        <f>EXP(-LN(2)/2)*AW105+(1-EXP(-LN(2)/2))/(LN(2)/2)*AQ106*AT106*VLOOKUP('Données projet'!$B$10,Paramètres!$A$1:$I$89,3,0)*0.475*44/12</f>
        <v>2.004962920981856E-10</v>
      </c>
      <c r="AX106" s="23">
        <f t="shared" si="60"/>
        <v>5.349187947841429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195.30963433439501</v>
      </c>
      <c r="BJ106" s="62">
        <f t="shared" si="92"/>
        <v>185.00219255324504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-4.9658410716801891E-14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303.33040062722074</v>
      </c>
      <c r="CE106" s="62">
        <f t="shared" si="94"/>
        <v>425.30058672361548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4.4709630607148121</v>
      </c>
      <c r="CM106" s="23">
        <f>EXP(-LN(2)/2)*CM105+(1-EXP(-LN(2)/2))/(LN(2)/2)*CG106*CJ106*VLOOKUP('Données projet'!$B$12,Paramètres!$A$1:$I$89,3,0)*0.475*44/12</f>
        <v>1.6757899041042371E-10</v>
      </c>
      <c r="CN106" s="24">
        <f t="shared" si="66"/>
        <v>4.4709630608823909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-5.3205440053716299E-14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396.92963589781414</v>
      </c>
      <c r="CZ106" s="62">
        <f t="shared" si="96"/>
        <v>294.38852181137639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282.50040000000007</v>
      </c>
      <c r="P107" s="14">
        <f t="shared" si="87"/>
        <v>67.495141560894439</v>
      </c>
      <c r="Q107" s="22">
        <f t="shared" si="107"/>
        <v>609.57556821855781</v>
      </c>
      <c r="R107" s="62">
        <f t="shared" si="55"/>
        <v>902.90890155189118</v>
      </c>
      <c r="S107" s="62">
        <f ca="1">AVERAGE(OFFSET($R$3,0,0,'Données projet'!$E$9+1,1))-AVERAGE(OFFSET($H$3,0,0,'Données projet'!$E$9+1,1))</f>
        <v>411.98877330238821</v>
      </c>
      <c r="T107" s="62">
        <f t="shared" si="88"/>
        <v>256.4377087753457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0.38871555967869253</v>
      </c>
      <c r="AB107" s="23">
        <f>EXP(-LN(2)/2)*AB106+(1-EXP(-LN(2)/2))/(LN(2)/2)*V107*Y107*VLOOKUP('Données projet'!$B$9,Paramètres!$A$1:$I$89,3,0)*0.475*44/12</f>
        <v>1.023292387524634E-10</v>
      </c>
      <c r="AC107" s="24">
        <f t="shared" si="57"/>
        <v>0.38871555978102179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-5.9412741393316544E-14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356.31271939877655</v>
      </c>
      <c r="AO107" s="62">
        <f t="shared" si="90"/>
        <v>499.70544707812991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5.2029141219111228</v>
      </c>
      <c r="AW107" s="23">
        <f>EXP(-LN(2)/2)*AW106+(1-EXP(-LN(2)/2))/(LN(2)/2)*AQ107*AT107*VLOOKUP('Données projet'!$B$10,Paramètres!$A$1:$I$89,3,0)*0.475*44/12</f>
        <v>1.4177228774538584E-10</v>
      </c>
      <c r="AX107" s="23">
        <f t="shared" si="60"/>
        <v>5.2029141220528947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195.30963433439501</v>
      </c>
      <c r="BJ107" s="62">
        <f t="shared" si="92"/>
        <v>185.00219255324504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-4.9658410716801891E-14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303.33040062722074</v>
      </c>
      <c r="CE107" s="62">
        <f t="shared" si="94"/>
        <v>425.30058672361548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4.3487043407018371</v>
      </c>
      <c r="CM107" s="23">
        <f>EXP(-LN(2)/2)*CM106+(1-EXP(-LN(2)/2))/(LN(2)/2)*CG107*CJ107*VLOOKUP('Données projet'!$B$12,Paramètres!$A$1:$I$89,3,0)*0.475*44/12</f>
        <v>1.1849624050360602E-10</v>
      </c>
      <c r="CN107" s="24">
        <f t="shared" si="66"/>
        <v>4.3487043408203334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-5.3205440053716299E-14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396.92963589781414</v>
      </c>
      <c r="CZ107" s="62">
        <f t="shared" si="96"/>
        <v>294.38852181137639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286.96200000000005</v>
      </c>
      <c r="P108" s="14">
        <f t="shared" si="87"/>
        <v>68.436169981717853</v>
      </c>
      <c r="Q108" s="22">
        <f t="shared" si="107"/>
        <v>618.98514605149205</v>
      </c>
      <c r="R108" s="62">
        <f t="shared" si="55"/>
        <v>912.31847938482542</v>
      </c>
      <c r="S108" s="62">
        <f ca="1">AVERAGE(OFFSET($R$3,0,0,'Données projet'!$E$9+1,1))-AVERAGE(OFFSET($H$3,0,0,'Données projet'!$E$9+1,1))</f>
        <v>411.98877330238821</v>
      </c>
      <c r="T108" s="62">
        <f t="shared" si="88"/>
        <v>256.4377087753457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0.37808611225761585</v>
      </c>
      <c r="AB108" s="23">
        <f>EXP(-LN(2)/2)*AB107+(1-EXP(-LN(2)/2))/(LN(2)/2)*V108*Y108*VLOOKUP('Données projet'!$B$9,Paramètres!$A$1:$I$89,3,0)*0.475*44/12</f>
        <v>7.2357698635524117E-11</v>
      </c>
      <c r="AC108" s="24">
        <f t="shared" si="57"/>
        <v>0.37808611232997352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-5.9412741393316544E-14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356.31271939877655</v>
      </c>
      <c r="AO108" s="62">
        <f t="shared" si="90"/>
        <v>499.70544707812991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5.0606401616381005</v>
      </c>
      <c r="AW108" s="23">
        <f>EXP(-LN(2)/2)*AW107+(1-EXP(-LN(2)/2))/(LN(2)/2)*AQ108*AT108*VLOOKUP('Données projet'!$B$10,Paramètres!$A$1:$I$89,3,0)*0.475*44/12</f>
        <v>1.002481460490928E-10</v>
      </c>
      <c r="AX108" s="23">
        <f t="shared" si="60"/>
        <v>5.0606401617383483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195.30963433439501</v>
      </c>
      <c r="BJ108" s="62">
        <f t="shared" si="92"/>
        <v>185.00219255324504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-4.9658410716801891E-14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303.33040062722074</v>
      </c>
      <c r="CE108" s="62">
        <f t="shared" si="94"/>
        <v>425.30058672361548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4.2297887918169232</v>
      </c>
      <c r="CM108" s="23">
        <f>EXP(-LN(2)/2)*CM107+(1-EXP(-LN(2)/2))/(LN(2)/2)*CG108*CJ108*VLOOKUP('Données projet'!$B$12,Paramètres!$A$1:$I$89,3,0)*0.475*44/12</f>
        <v>8.3789495205211853E-11</v>
      </c>
      <c r="CN108" s="24">
        <f t="shared" si="66"/>
        <v>4.2297887919007131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-5.3205440053716299E-14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396.92963589781414</v>
      </c>
      <c r="CZ108" s="62">
        <f t="shared" si="96"/>
        <v>294.38852181137639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270.94080000000002</v>
      </c>
      <c r="P109" s="14">
        <f t="shared" si="87"/>
        <v>65.048890354155489</v>
      </c>
      <c r="Q109" s="22">
        <f t="shared" si="107"/>
        <v>585.1820440334875</v>
      </c>
      <c r="R109" s="62">
        <f t="shared" si="55"/>
        <v>878.51537736682076</v>
      </c>
      <c r="S109" s="62">
        <f ca="1">AVERAGE(OFFSET($R$3,0,0,'Données projet'!$E$9+1,1))-AVERAGE(OFFSET($H$3,0,0,'Données projet'!$E$9+1,1))</f>
        <v>411.98877330238821</v>
      </c>
      <c r="T109" s="62">
        <f t="shared" si="88"/>
        <v>256.4377087753457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0.36774732763524681</v>
      </c>
      <c r="AB109" s="23">
        <f>EXP(-LN(2)/2)*AB108+(1-EXP(-LN(2)/2))/(LN(2)/2)*V109*Y109*VLOOKUP('Données projet'!$B$9,Paramètres!$A$1:$I$89,3,0)*0.475*44/12</f>
        <v>5.11646193762317E-11</v>
      </c>
      <c r="AC109" s="24">
        <f t="shared" si="57"/>
        <v>0.36774732768641144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-5.9412741393316544E-14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356.31271939877655</v>
      </c>
      <c r="AO109" s="62">
        <f t="shared" si="90"/>
        <v>499.70544707812991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4.9222566902906069</v>
      </c>
      <c r="AW109" s="23">
        <f>EXP(-LN(2)/2)*AW108+(1-EXP(-LN(2)/2))/(LN(2)/2)*AQ109*AT109*VLOOKUP('Données projet'!$B$10,Paramètres!$A$1:$I$89,3,0)*0.475*44/12</f>
        <v>7.088614387269292E-11</v>
      </c>
      <c r="AX109" s="23">
        <f t="shared" si="60"/>
        <v>4.9222566903614933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195.30963433439501</v>
      </c>
      <c r="BJ109" s="62">
        <f t="shared" si="92"/>
        <v>185.00219255324504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-4.9658410716801891E-14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303.33040062722074</v>
      </c>
      <c r="CE109" s="62">
        <f t="shared" si="94"/>
        <v>425.30058672361548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4.1141249948697638</v>
      </c>
      <c r="CM109" s="23">
        <f>EXP(-LN(2)/2)*CM108+(1-EXP(-LN(2)/2))/(LN(2)/2)*CG109*CJ109*VLOOKUP('Données projet'!$B$12,Paramètres!$A$1:$I$89,3,0)*0.475*44/12</f>
        <v>5.9248120251803009E-11</v>
      </c>
      <c r="CN109" s="24">
        <f t="shared" si="66"/>
        <v>4.1141249949290115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-5.3205440053716299E-14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396.92963589781414</v>
      </c>
      <c r="CZ109" s="62">
        <f t="shared" si="96"/>
        <v>294.38852181137639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275.19960000000003</v>
      </c>
      <c r="P110" s="14">
        <f t="shared" si="87"/>
        <v>65.951527620662617</v>
      </c>
      <c r="Q110" s="22">
        <f t="shared" si="107"/>
        <v>594.17154727265404</v>
      </c>
      <c r="R110" s="62">
        <f t="shared" si="55"/>
        <v>887.50488060598741</v>
      </c>
      <c r="S110" s="62">
        <f ca="1">AVERAGE(OFFSET($R$3,0,0,'Données projet'!$E$9+1,1))-AVERAGE(OFFSET($H$3,0,0,'Données projet'!$E$9+1,1))</f>
        <v>411.98877330238821</v>
      </c>
      <c r="T110" s="62">
        <f t="shared" si="88"/>
        <v>256.4377087753457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0.35769125762206955</v>
      </c>
      <c r="AB110" s="23">
        <f>EXP(-LN(2)/2)*AB109+(1-EXP(-LN(2)/2))/(LN(2)/2)*V110*Y110*VLOOKUP('Données projet'!$B$9,Paramètres!$A$1:$I$89,3,0)*0.475*44/12</f>
        <v>3.6178849317762058E-11</v>
      </c>
      <c r="AC110" s="24">
        <f t="shared" si="57"/>
        <v>0.35769125765824838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-5.9412741393316544E-14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356.31271939877655</v>
      </c>
      <c r="AO110" s="62">
        <f t="shared" si="90"/>
        <v>499.70544707812991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4.7876573222443808</v>
      </c>
      <c r="AW110" s="23">
        <f>EXP(-LN(2)/2)*AW109+(1-EXP(-LN(2)/2))/(LN(2)/2)*AQ110*AT110*VLOOKUP('Données projet'!$B$10,Paramètres!$A$1:$I$89,3,0)*0.475*44/12</f>
        <v>5.01240730245464E-11</v>
      </c>
      <c r="AX110" s="23">
        <f t="shared" si="60"/>
        <v>4.7876573222945051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195.30963433439501</v>
      </c>
      <c r="BJ110" s="62">
        <f t="shared" si="92"/>
        <v>185.00219255324504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-4.9658410716801891E-14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303.33040062722074</v>
      </c>
      <c r="CE110" s="62">
        <f t="shared" si="94"/>
        <v>425.30058672361548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4.0016240305326196</v>
      </c>
      <c r="CM110" s="23">
        <f>EXP(-LN(2)/2)*CM109+(1-EXP(-LN(2)/2))/(LN(2)/2)*CG110*CJ110*VLOOKUP('Données projet'!$B$12,Paramètres!$A$1:$I$89,3,0)*0.475*44/12</f>
        <v>4.1894747602605927E-11</v>
      </c>
      <c r="CN110" s="24">
        <f t="shared" si="66"/>
        <v>4.0016240305745141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-5.3205440053716299E-14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396.92963589781414</v>
      </c>
      <c r="CZ110" s="62">
        <f t="shared" si="96"/>
        <v>294.38852181137639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279.45839999999998</v>
      </c>
      <c r="P111" s="14">
        <f t="shared" si="87"/>
        <v>66.852540337772723</v>
      </c>
      <c r="Q111" s="22">
        <f t="shared" si="107"/>
        <v>603.15822108828741</v>
      </c>
      <c r="R111" s="62">
        <f t="shared" si="55"/>
        <v>896.49155442162078</v>
      </c>
      <c r="S111" s="62">
        <f ca="1">AVERAGE(OFFSET($R$3,0,0,'Données projet'!$E$9+1,1))-AVERAGE(OFFSET($H$3,0,0,'Données projet'!$E$9+1,1))</f>
        <v>411.98877330238821</v>
      </c>
      <c r="T111" s="62">
        <f t="shared" si="88"/>
        <v>256.4377087753457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0.34791017137222835</v>
      </c>
      <c r="AB111" s="23">
        <f>EXP(-LN(2)/2)*AB110+(1-EXP(-LN(2)/2))/(LN(2)/2)*V111*Y111*VLOOKUP('Données projet'!$B$9,Paramètres!$A$1:$I$89,3,0)*0.475*44/12</f>
        <v>2.558230968811585E-11</v>
      </c>
      <c r="AC111" s="24">
        <f t="shared" si="57"/>
        <v>0.34791017139781066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-5.9412741393316544E-14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356.31271939877655</v>
      </c>
      <c r="AO111" s="62">
        <f t="shared" si="90"/>
        <v>499.70544707812991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4.6567385809956523</v>
      </c>
      <c r="AW111" s="23">
        <f>EXP(-LN(2)/2)*AW110+(1-EXP(-LN(2)/2))/(LN(2)/2)*AQ111*AT111*VLOOKUP('Données projet'!$B$10,Paramètres!$A$1:$I$89,3,0)*0.475*44/12</f>
        <v>3.544307193634646E-11</v>
      </c>
      <c r="AX111" s="23">
        <f t="shared" si="60"/>
        <v>4.6567385810310951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195.30963433439501</v>
      </c>
      <c r="BJ111" s="62">
        <f t="shared" si="92"/>
        <v>185.00219255324504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-4.9658410716801891E-14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303.33040062722074</v>
      </c>
      <c r="CE111" s="62">
        <f t="shared" si="94"/>
        <v>425.30058672361548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3.8921994109814433</v>
      </c>
      <c r="CM111" s="23">
        <f>EXP(-LN(2)/2)*CM110+(1-EXP(-LN(2)/2))/(LN(2)/2)*CG111*CJ111*VLOOKUP('Données projet'!$B$12,Paramètres!$A$1:$I$89,3,0)*0.475*44/12</f>
        <v>2.9624060125901505E-11</v>
      </c>
      <c r="CN111" s="24">
        <f t="shared" si="66"/>
        <v>3.8921994110110671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-5.3205440053716299E-14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396.92963589781414</v>
      </c>
      <c r="CZ111" s="62">
        <f t="shared" si="96"/>
        <v>294.38852181137639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283.71719999999999</v>
      </c>
      <c r="P112" s="14">
        <f t="shared" si="87"/>
        <v>67.751956122170697</v>
      </c>
      <c r="Q112" s="22">
        <f t="shared" si="107"/>
        <v>612.14211357944725</v>
      </c>
      <c r="R112" s="62">
        <f t="shared" si="55"/>
        <v>905.47544691278063</v>
      </c>
      <c r="S112" s="62">
        <f ca="1">AVERAGE(OFFSET($R$3,0,0,'Données projet'!$E$9+1,1))-AVERAGE(OFFSET($H$3,0,0,'Données projet'!$E$9+1,1))</f>
        <v>411.98877330238821</v>
      </c>
      <c r="T112" s="62">
        <f t="shared" si="88"/>
        <v>256.4377087753457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0.33839654944025399</v>
      </c>
      <c r="AB112" s="23">
        <f>EXP(-LN(2)/2)*AB111+(1-EXP(-LN(2)/2))/(LN(2)/2)*V112*Y112*VLOOKUP('Données projet'!$B$9,Paramètres!$A$1:$I$89,3,0)*0.475*44/12</f>
        <v>1.8089424658881029E-11</v>
      </c>
      <c r="AC112" s="24">
        <f t="shared" si="57"/>
        <v>0.33839654945834341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-5.9412741393316544E-14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356.31271939877655</v>
      </c>
      <c r="AO112" s="62">
        <f t="shared" si="90"/>
        <v>499.70544707812991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4.5293998196110872</v>
      </c>
      <c r="AW112" s="23">
        <f>EXP(-LN(2)/2)*AW111+(1-EXP(-LN(2)/2))/(LN(2)/2)*AQ112*AT112*VLOOKUP('Données projet'!$B$10,Paramètres!$A$1:$I$89,3,0)*0.475*44/12</f>
        <v>2.50620365122732E-11</v>
      </c>
      <c r="AX112" s="23">
        <f t="shared" si="60"/>
        <v>4.5293998196361489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195.30963433439501</v>
      </c>
      <c r="BJ112" s="62">
        <f t="shared" si="92"/>
        <v>185.00219255324504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-4.9658410716801891E-14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303.33040062722074</v>
      </c>
      <c r="CE112" s="62">
        <f t="shared" si="94"/>
        <v>425.30058672361548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3.7857670134062844</v>
      </c>
      <c r="CM112" s="23">
        <f>EXP(-LN(2)/2)*CM111+(1-EXP(-LN(2)/2))/(LN(2)/2)*CG112*CJ112*VLOOKUP('Données projet'!$B$12,Paramètres!$A$1:$I$89,3,0)*0.475*44/12</f>
        <v>2.0947373801302963E-11</v>
      </c>
      <c r="CN112" s="24">
        <f t="shared" si="66"/>
        <v>3.7857670134272317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-5.3205440053716299E-14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396.92963589781414</v>
      </c>
      <c r="CZ112" s="62">
        <f t="shared" si="96"/>
        <v>294.38852181137639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287.97599999999994</v>
      </c>
      <c r="P113" s="14">
        <f t="shared" si="87"/>
        <v>68.649801713863141</v>
      </c>
      <c r="Q113" s="22">
        <f t="shared" si="107"/>
        <v>621.12327131831148</v>
      </c>
      <c r="R113" s="62">
        <f t="shared" si="55"/>
        <v>914.45660465164474</v>
      </c>
      <c r="S113" s="62">
        <f ca="1">AVERAGE(OFFSET($R$3,0,0,'Données projet'!$E$9+1,1))-AVERAGE(OFFSET($H$3,0,0,'Données projet'!$E$9+1,1))</f>
        <v>411.98877330238821</v>
      </c>
      <c r="T113" s="62">
        <f t="shared" si="88"/>
        <v>256.4377087753457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0.32914307800030912</v>
      </c>
      <c r="AB113" s="23">
        <f>EXP(-LN(2)/2)*AB112+(1-EXP(-LN(2)/2))/(LN(2)/2)*V113*Y113*VLOOKUP('Données projet'!$B$9,Paramètres!$A$1:$I$89,3,0)*0.475*44/12</f>
        <v>1.2791154844057925E-11</v>
      </c>
      <c r="AC113" s="24">
        <f t="shared" si="57"/>
        <v>0.32914307801310028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-5.9412741393316544E-14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356.31271939877655</v>
      </c>
      <c r="AO113" s="62">
        <f t="shared" si="90"/>
        <v>499.70544707812991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4.4055431433530376</v>
      </c>
      <c r="AW113" s="23">
        <f>EXP(-LN(2)/2)*AW112+(1-EXP(-LN(2)/2))/(LN(2)/2)*AQ113*AT113*VLOOKUP('Données projet'!$B$10,Paramètres!$A$1:$I$89,3,0)*0.475*44/12</f>
        <v>1.772153596817323E-11</v>
      </c>
      <c r="AX113" s="23">
        <f t="shared" si="60"/>
        <v>4.4055431433707595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195.30963433439501</v>
      </c>
      <c r="BJ113" s="62">
        <f t="shared" si="92"/>
        <v>185.00219255324504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-4.9658410716801891E-14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303.33040062722074</v>
      </c>
      <c r="CE113" s="62">
        <f t="shared" si="94"/>
        <v>425.30058672361548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3.6822450153398547</v>
      </c>
      <c r="CM113" s="23">
        <f>EXP(-LN(2)/2)*CM112+(1-EXP(-LN(2)/2))/(LN(2)/2)*CG113*CJ113*VLOOKUP('Données projet'!$B$12,Paramètres!$A$1:$I$89,3,0)*0.475*44/12</f>
        <v>1.4812030062950752E-11</v>
      </c>
      <c r="CN113" s="24">
        <f t="shared" si="66"/>
        <v>3.6822450153546669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-5.3205440053716299E-14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396.92963589781414</v>
      </c>
      <c r="CZ113" s="62">
        <f t="shared" si="96"/>
        <v>294.38852181137639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272.56319999999994</v>
      </c>
      <c r="P114" s="14">
        <f t="shared" si="87"/>
        <v>65.392945522034609</v>
      </c>
      <c r="Q114" s="22">
        <f t="shared" si="107"/>
        <v>588.60695345087686</v>
      </c>
      <c r="R114" s="62">
        <f t="shared" si="55"/>
        <v>881.94028678421023</v>
      </c>
      <c r="S114" s="62">
        <f ca="1">AVERAGE(OFFSET($R$3,0,0,'Données projet'!$E$9+1,1))-AVERAGE(OFFSET($H$3,0,0,'Données projet'!$E$9+1,1))</f>
        <v>411.98877330238821</v>
      </c>
      <c r="T114" s="62">
        <f t="shared" si="88"/>
        <v>256.4377087753457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0.32014264322350844</v>
      </c>
      <c r="AB114" s="23">
        <f>EXP(-LN(2)/2)*AB113+(1-EXP(-LN(2)/2))/(LN(2)/2)*V114*Y114*VLOOKUP('Données projet'!$B$9,Paramètres!$A$1:$I$89,3,0)*0.475*44/12</f>
        <v>9.0447123294405146E-12</v>
      </c>
      <c r="AC114" s="24">
        <f t="shared" si="57"/>
        <v>0.32014264323255315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-5.9412741393316544E-14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356.31271939877655</v>
      </c>
      <c r="AO114" s="62">
        <f t="shared" si="90"/>
        <v>499.70544707812991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4.2850733344206038</v>
      </c>
      <c r="AW114" s="23">
        <f>EXP(-LN(2)/2)*AW113+(1-EXP(-LN(2)/2))/(LN(2)/2)*AQ114*AT114*VLOOKUP('Données projet'!$B$10,Paramètres!$A$1:$I$89,3,0)*0.475*44/12</f>
        <v>1.25310182561366E-11</v>
      </c>
      <c r="AX114" s="23">
        <f t="shared" si="60"/>
        <v>4.2850733344331351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195.30963433439501</v>
      </c>
      <c r="BJ114" s="62">
        <f t="shared" si="92"/>
        <v>185.00219255324504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-4.9658410716801891E-14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303.33040062722074</v>
      </c>
      <c r="CE114" s="62">
        <f t="shared" si="94"/>
        <v>425.30058672361548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3.5815538317545368</v>
      </c>
      <c r="CM114" s="23">
        <f>EXP(-LN(2)/2)*CM113+(1-EXP(-LN(2)/2))/(LN(2)/2)*CG114*CJ114*VLOOKUP('Données projet'!$B$12,Paramètres!$A$1:$I$89,3,0)*0.475*44/12</f>
        <v>1.0473686900651482E-11</v>
      </c>
      <c r="CN114" s="24">
        <f t="shared" si="66"/>
        <v>3.5815538317650106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-5.3205440053716299E-14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396.92963589781414</v>
      </c>
      <c r="CZ114" s="62">
        <f t="shared" si="96"/>
        <v>294.38852181137639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276.41640000000001</v>
      </c>
      <c r="P115" s="14">
        <f t="shared" si="87"/>
        <v>66.209124371313408</v>
      </c>
      <c r="Q115" s="22">
        <f t="shared" si="107"/>
        <v>596.7394549467042</v>
      </c>
      <c r="R115" s="62">
        <f t="shared" si="55"/>
        <v>890.07278828003746</v>
      </c>
      <c r="S115" s="62">
        <f ca="1">AVERAGE(OFFSET($R$3,0,0,'Données projet'!$E$9+1,1))-AVERAGE(OFFSET($H$3,0,0,'Données projet'!$E$9+1,1))</f>
        <v>411.98877330238821</v>
      </c>
      <c r="T115" s="62">
        <f t="shared" si="88"/>
        <v>256.4377087753457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0.31138832580899167</v>
      </c>
      <c r="AB115" s="23">
        <f>EXP(-LN(2)/2)*AB114+(1-EXP(-LN(2)/2))/(LN(2)/2)*V115*Y115*VLOOKUP('Données projet'!$B$9,Paramètres!$A$1:$I$89,3,0)*0.475*44/12</f>
        <v>6.3955774220289625E-12</v>
      </c>
      <c r="AC115" s="24">
        <f t="shared" si="57"/>
        <v>0.31138832581538722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-5.9412741393316544E-14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356.31271939877655</v>
      </c>
      <c r="AO115" s="62">
        <f t="shared" si="90"/>
        <v>499.70544707812991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4.1678977787486593</v>
      </c>
      <c r="AW115" s="23">
        <f>EXP(-LN(2)/2)*AW114+(1-EXP(-LN(2)/2))/(LN(2)/2)*AQ115*AT115*VLOOKUP('Données projet'!$B$10,Paramètres!$A$1:$I$89,3,0)*0.475*44/12</f>
        <v>8.860767984086615E-12</v>
      </c>
      <c r="AX115" s="23">
        <f t="shared" si="60"/>
        <v>4.1678977787575198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195.30963433439501</v>
      </c>
      <c r="BJ115" s="62">
        <f t="shared" si="92"/>
        <v>185.00219255324504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-4.9658410716801891E-14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303.33040062722074</v>
      </c>
      <c r="CE115" s="62">
        <f t="shared" si="94"/>
        <v>425.30058672361548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3.4836160538794787</v>
      </c>
      <c r="CM115" s="23">
        <f>EXP(-LN(2)/2)*CM114+(1-EXP(-LN(2)/2))/(LN(2)/2)*CG115*CJ115*VLOOKUP('Données projet'!$B$12,Paramètres!$A$1:$I$89,3,0)*0.475*44/12</f>
        <v>7.4060150314753762E-12</v>
      </c>
      <c r="CN115" s="24">
        <f t="shared" si="66"/>
        <v>3.4836160538868848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-5.3205440053716299E-14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396.92963589781414</v>
      </c>
      <c r="CZ115" s="62">
        <f t="shared" si="96"/>
        <v>294.38852181137639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280.26960000000003</v>
      </c>
      <c r="P116" s="14">
        <f t="shared" si="87"/>
        <v>67.023979919595945</v>
      </c>
      <c r="Q116" s="22">
        <f t="shared" si="107"/>
        <v>604.8696516932963</v>
      </c>
      <c r="R116" s="62">
        <f t="shared" si="55"/>
        <v>898.20298502662968</v>
      </c>
      <c r="S116" s="62">
        <f ca="1">AVERAGE(OFFSET($R$3,0,0,'Données projet'!$E$9+1,1))-AVERAGE(OFFSET($H$3,0,0,'Données projet'!$E$9+1,1))</f>
        <v>411.98877330238821</v>
      </c>
      <c r="T116" s="62">
        <f t="shared" si="88"/>
        <v>256.4377087753457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0.30287339566454441</v>
      </c>
      <c r="AB116" s="23">
        <f>EXP(-LN(2)/2)*AB115+(1-EXP(-LN(2)/2))/(LN(2)/2)*V116*Y116*VLOOKUP('Données projet'!$B$9,Paramètres!$A$1:$I$89,3,0)*0.475*44/12</f>
        <v>4.5223561647202573E-12</v>
      </c>
      <c r="AC116" s="24">
        <f t="shared" si="57"/>
        <v>0.30287339566906679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-5.9412741393316544E-14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356.31271939877655</v>
      </c>
      <c r="AO116" s="62">
        <f t="shared" si="90"/>
        <v>499.70544707812991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4.0539263948085589</v>
      </c>
      <c r="AW116" s="23">
        <f>EXP(-LN(2)/2)*AW115+(1-EXP(-LN(2)/2))/(LN(2)/2)*AQ116*AT116*VLOOKUP('Données projet'!$B$10,Paramètres!$A$1:$I$89,3,0)*0.475*44/12</f>
        <v>6.2655091280683E-12</v>
      </c>
      <c r="AX116" s="23">
        <f t="shared" si="60"/>
        <v>4.0539263948148241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195.30963433439501</v>
      </c>
      <c r="BJ116" s="62">
        <f t="shared" si="92"/>
        <v>185.00219255324504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-4.9658410716801891E-14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303.33040062722074</v>
      </c>
      <c r="CE116" s="62">
        <f t="shared" si="94"/>
        <v>425.30058672361548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3.3883563896907378</v>
      </c>
      <c r="CM116" s="23">
        <f>EXP(-LN(2)/2)*CM115+(1-EXP(-LN(2)/2))/(LN(2)/2)*CG116*CJ116*VLOOKUP('Données projet'!$B$12,Paramètres!$A$1:$I$89,3,0)*0.475*44/12</f>
        <v>5.2368434503257408E-12</v>
      </c>
      <c r="CN116" s="24">
        <f t="shared" si="66"/>
        <v>3.3883563896959745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-5.3205440053716299E-14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396.92963589781414</v>
      </c>
      <c r="CZ116" s="62">
        <f t="shared" si="96"/>
        <v>294.38852181137639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284.12279999999998</v>
      </c>
      <c r="P117" s="14">
        <f t="shared" si="87"/>
        <v>67.837532462585557</v>
      </c>
      <c r="Q117" s="22">
        <f t="shared" si="107"/>
        <v>612.99757903900309</v>
      </c>
      <c r="R117" s="62">
        <f t="shared" si="55"/>
        <v>906.33091237233634</v>
      </c>
      <c r="S117" s="62">
        <f ca="1">AVERAGE(OFFSET($R$3,0,0,'Données projet'!$E$9+1,1))-AVERAGE(OFFSET($H$3,0,0,'Données projet'!$E$9+1,1))</f>
        <v>411.98877330238821</v>
      </c>
      <c r="T117" s="62">
        <f t="shared" si="88"/>
        <v>256.4377087753457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0.2945913067326778</v>
      </c>
      <c r="AB117" s="23">
        <f>EXP(-LN(2)/2)*AB116+(1-EXP(-LN(2)/2))/(LN(2)/2)*V117*Y117*VLOOKUP('Données projet'!$B$9,Paramètres!$A$1:$I$89,3,0)*0.475*44/12</f>
        <v>3.1977887110144813E-12</v>
      </c>
      <c r="AC117" s="24">
        <f t="shared" si="57"/>
        <v>0.29459130673587558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-5.9412741393316544E-14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356.31271939877655</v>
      </c>
      <c r="AO117" s="62">
        <f t="shared" si="90"/>
        <v>499.70544707812991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3.9430715643557952</v>
      </c>
      <c r="AW117" s="23">
        <f>EXP(-LN(2)/2)*AW116+(1-EXP(-LN(2)/2))/(LN(2)/2)*AQ117*AT117*VLOOKUP('Données projet'!$B$10,Paramètres!$A$1:$I$89,3,0)*0.475*44/12</f>
        <v>4.4303839920433075E-12</v>
      </c>
      <c r="AX117" s="23">
        <f t="shared" si="60"/>
        <v>3.9430715643602254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195.30963433439501</v>
      </c>
      <c r="BJ117" s="62">
        <f t="shared" si="92"/>
        <v>185.00219255324504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-4.9658410716801891E-14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303.33040062722074</v>
      </c>
      <c r="CE117" s="62">
        <f t="shared" si="94"/>
        <v>425.30058672361548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3.2957016060287261</v>
      </c>
      <c r="CM117" s="23">
        <f>EXP(-LN(2)/2)*CM116+(1-EXP(-LN(2)/2))/(LN(2)/2)*CG117*CJ117*VLOOKUP('Données projet'!$B$12,Paramètres!$A$1:$I$89,3,0)*0.475*44/12</f>
        <v>3.7030075157376881E-12</v>
      </c>
      <c r="CN117" s="24">
        <f t="shared" si="66"/>
        <v>3.2957016060324289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-5.3205440053716299E-14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396.92963589781414</v>
      </c>
      <c r="CZ117" s="62">
        <f t="shared" si="96"/>
        <v>294.38852181137639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287.976</v>
      </c>
      <c r="P118" s="14">
        <f t="shared" si="87"/>
        <v>68.649801713863141</v>
      </c>
      <c r="Q118" s="22">
        <f t="shared" si="107"/>
        <v>621.12327131831159</v>
      </c>
      <c r="R118" s="62">
        <f t="shared" si="55"/>
        <v>914.45660465164497</v>
      </c>
      <c r="S118" s="62">
        <f ca="1">AVERAGE(OFFSET($R$3,0,0,'Données projet'!$E$9+1,1))-AVERAGE(OFFSET($H$3,0,0,'Données projet'!$E$9+1,1))</f>
        <v>411.98877330238821</v>
      </c>
      <c r="T118" s="62">
        <f t="shared" si="88"/>
        <v>256.4377087753457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0.28653569195818923</v>
      </c>
      <c r="AB118" s="23">
        <f>EXP(-LN(2)/2)*AB117+(1-EXP(-LN(2)/2))/(LN(2)/2)*V118*Y118*VLOOKUP('Données projet'!$B$9,Paramètres!$A$1:$I$89,3,0)*0.475*44/12</f>
        <v>2.2611780823601287E-12</v>
      </c>
      <c r="AC118" s="24">
        <f t="shared" si="57"/>
        <v>0.28653569196045042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-5.9412741393316544E-14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356.31271939877655</v>
      </c>
      <c r="AO118" s="62">
        <f t="shared" si="90"/>
        <v>499.70544707812991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3.8352480650713643</v>
      </c>
      <c r="AW118" s="23">
        <f>EXP(-LN(2)/2)*AW117+(1-EXP(-LN(2)/2))/(LN(2)/2)*AQ118*AT118*VLOOKUP('Données projet'!$B$10,Paramètres!$A$1:$I$89,3,0)*0.475*44/12</f>
        <v>3.13275456403415E-12</v>
      </c>
      <c r="AX118" s="23">
        <f t="shared" si="60"/>
        <v>3.8352480650744969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195.30963433439501</v>
      </c>
      <c r="BJ118" s="62">
        <f t="shared" si="92"/>
        <v>185.00219255324504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-4.9658410716801891E-14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303.33040062722074</v>
      </c>
      <c r="CE118" s="62">
        <f t="shared" si="94"/>
        <v>425.30058672361548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3.2055804722984553</v>
      </c>
      <c r="CM118" s="23">
        <f>EXP(-LN(2)/2)*CM117+(1-EXP(-LN(2)/2))/(LN(2)/2)*CG118*CJ118*VLOOKUP('Données projet'!$B$12,Paramètres!$A$1:$I$89,3,0)*0.475*44/12</f>
        <v>2.6184217251628704E-12</v>
      </c>
      <c r="CN118" s="24">
        <f t="shared" si="66"/>
        <v>3.2055804723010737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-5.3205440053716299E-14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396.92963589781414</v>
      </c>
      <c r="CZ118" s="62">
        <f t="shared" si="96"/>
        <v>294.38852181137639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273.37440000000004</v>
      </c>
      <c r="P119" s="14">
        <f t="shared" si="87"/>
        <v>65.564883644654444</v>
      </c>
      <c r="Q119" s="22">
        <f t="shared" si="107"/>
        <v>590.31925234777316</v>
      </c>
      <c r="R119" s="62">
        <f t="shared" si="55"/>
        <v>883.65258568110653</v>
      </c>
      <c r="S119" s="62">
        <f ca="1">AVERAGE(OFFSET($R$3,0,0,'Données projet'!$E$9+1,1))-AVERAGE(OFFSET($H$3,0,0,'Données projet'!$E$9+1,1))</f>
        <v>411.98877330238821</v>
      </c>
      <c r="T119" s="62">
        <f t="shared" si="88"/>
        <v>256.4377087753457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0.2787003583933354</v>
      </c>
      <c r="AB119" s="23">
        <f>EXP(-LN(2)/2)*AB118+(1-EXP(-LN(2)/2))/(LN(2)/2)*V119*Y119*VLOOKUP('Données projet'!$B$9,Paramètres!$A$1:$I$89,3,0)*0.475*44/12</f>
        <v>1.5988943555072406E-12</v>
      </c>
      <c r="AC119" s="24">
        <f t="shared" si="57"/>
        <v>0.27870035839493429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-5.9412741393316544E-14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356.31271939877655</v>
      </c>
      <c r="AO119" s="62">
        <f t="shared" si="90"/>
        <v>499.70544707812991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3.7303730050450579</v>
      </c>
      <c r="AW119" s="23">
        <f>EXP(-LN(2)/2)*AW118+(1-EXP(-LN(2)/2))/(LN(2)/2)*AQ119*AT119*VLOOKUP('Données projet'!$B$10,Paramètres!$A$1:$I$89,3,0)*0.475*44/12</f>
        <v>2.2151919960216538E-12</v>
      </c>
      <c r="AX119" s="23">
        <f t="shared" si="60"/>
        <v>3.730373005047273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195.30963433439501</v>
      </c>
      <c r="BJ119" s="62">
        <f t="shared" si="92"/>
        <v>185.00219255324504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-4.9658410716801891E-14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303.33040062722074</v>
      </c>
      <c r="CE119" s="62">
        <f t="shared" si="94"/>
        <v>425.30058672361548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3.1179237057093037</v>
      </c>
      <c r="CM119" s="23">
        <f>EXP(-LN(2)/2)*CM118+(1-EXP(-LN(2)/2))/(LN(2)/2)*CG119*CJ119*VLOOKUP('Données projet'!$B$12,Paramètres!$A$1:$I$89,3,0)*0.475*44/12</f>
        <v>1.851503757868844E-12</v>
      </c>
      <c r="CN119" s="24">
        <f t="shared" si="66"/>
        <v>3.1179237057111551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-5.3205440053716299E-14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396.92963589781414</v>
      </c>
      <c r="CZ119" s="62">
        <f t="shared" si="96"/>
        <v>294.38852181137639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277.02480000000008</v>
      </c>
      <c r="P120" s="14">
        <f t="shared" si="87"/>
        <v>66.337873221533528</v>
      </c>
      <c r="Q120" s="22">
        <f t="shared" si="107"/>
        <v>598.02332252750432</v>
      </c>
      <c r="R120" s="62">
        <f t="shared" si="55"/>
        <v>891.35665586083769</v>
      </c>
      <c r="S120" s="62">
        <f ca="1">AVERAGE(OFFSET($R$3,0,0,'Données projet'!$E$9+1,1))-AVERAGE(OFFSET($H$3,0,0,'Données projet'!$E$9+1,1))</f>
        <v>411.98877330238821</v>
      </c>
      <c r="T120" s="62">
        <f t="shared" si="88"/>
        <v>256.4377087753457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0.27107928243685475</v>
      </c>
      <c r="AB120" s="23">
        <f>EXP(-LN(2)/2)*AB119+(1-EXP(-LN(2)/2))/(LN(2)/2)*V120*Y120*VLOOKUP('Données projet'!$B$9,Paramètres!$A$1:$I$89,3,0)*0.475*44/12</f>
        <v>1.1305890411800643E-12</v>
      </c>
      <c r="AC120" s="24">
        <f t="shared" si="57"/>
        <v>0.27107928243798535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-5.9412741393316544E-14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356.31271939877655</v>
      </c>
      <c r="AO120" s="62">
        <f t="shared" si="90"/>
        <v>499.70544707812991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3.6283657590503102</v>
      </c>
      <c r="AW120" s="23">
        <f>EXP(-LN(2)/2)*AW119+(1-EXP(-LN(2)/2))/(LN(2)/2)*AQ120*AT120*VLOOKUP('Données projet'!$B$10,Paramètres!$A$1:$I$89,3,0)*0.475*44/12</f>
        <v>1.566377282017075E-12</v>
      </c>
      <c r="AX120" s="23">
        <f t="shared" si="60"/>
        <v>3.6283657590518765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195.30963433439501</v>
      </c>
      <c r="BJ120" s="62">
        <f t="shared" si="92"/>
        <v>185.00219255324504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-4.9658410716801891E-14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303.33040062722074</v>
      </c>
      <c r="CE120" s="62">
        <f t="shared" si="94"/>
        <v>425.30058672361548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3.0326639180122013</v>
      </c>
      <c r="CM120" s="23">
        <f>EXP(-LN(2)/2)*CM119+(1-EXP(-LN(2)/2))/(LN(2)/2)*CG120*CJ120*VLOOKUP('Données projet'!$B$12,Paramètres!$A$1:$I$89,3,0)*0.475*44/12</f>
        <v>1.3092108625814352E-12</v>
      </c>
      <c r="CN120" s="24">
        <f t="shared" si="66"/>
        <v>3.0326639180135104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-5.3205440053716299E-14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396.92963589781414</v>
      </c>
      <c r="CZ120" s="62">
        <f t="shared" si="96"/>
        <v>294.38852181137639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280.67520000000007</v>
      </c>
      <c r="P121" s="14">
        <f t="shared" si="87"/>
        <v>67.109678043026491</v>
      </c>
      <c r="Q121" s="22">
        <f t="shared" si="107"/>
        <v>605.72532925827124</v>
      </c>
      <c r="R121" s="62">
        <f t="shared" si="55"/>
        <v>899.05866259160462</v>
      </c>
      <c r="S121" s="62">
        <f ca="1">AVERAGE(OFFSET($R$3,0,0,'Données projet'!$E$9+1,1))-AVERAGE(OFFSET($H$3,0,0,'Données projet'!$E$9+1,1))</f>
        <v>411.98877330238821</v>
      </c>
      <c r="T121" s="62">
        <f t="shared" si="88"/>
        <v>256.4377087753457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0.26366660520317903</v>
      </c>
      <c r="AB121" s="23">
        <f>EXP(-LN(2)/2)*AB120+(1-EXP(-LN(2)/2))/(LN(2)/2)*V121*Y121*VLOOKUP('Données projet'!$B$9,Paramètres!$A$1:$I$89,3,0)*0.475*44/12</f>
        <v>7.9944717775362032E-13</v>
      </c>
      <c r="AC121" s="24">
        <f t="shared" si="57"/>
        <v>0.2636666052039785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-5.9412741393316544E-14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356.31271939877655</v>
      </c>
      <c r="AO121" s="62">
        <f t="shared" si="90"/>
        <v>499.70544707812991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3.5291479065616169</v>
      </c>
      <c r="AW121" s="23">
        <f>EXP(-LN(2)/2)*AW120+(1-EXP(-LN(2)/2))/(LN(2)/2)*AQ121*AT121*VLOOKUP('Données projet'!$B$10,Paramètres!$A$1:$I$89,3,0)*0.475*44/12</f>
        <v>1.1075959980108269E-12</v>
      </c>
      <c r="AX121" s="23">
        <f t="shared" si="60"/>
        <v>3.5291479065627245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195.30963433439501</v>
      </c>
      <c r="BJ121" s="62">
        <f t="shared" si="92"/>
        <v>185.00219255324504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-4.9658410716801891E-14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303.33040062722074</v>
      </c>
      <c r="CE121" s="62">
        <f t="shared" si="94"/>
        <v>425.30058672361548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2.9497355636932934</v>
      </c>
      <c r="CM121" s="23">
        <f>EXP(-LN(2)/2)*CM120+(1-EXP(-LN(2)/2))/(LN(2)/2)*CG121*CJ121*VLOOKUP('Données projet'!$B$12,Paramètres!$A$1:$I$89,3,0)*0.475*44/12</f>
        <v>9.2575187893442202E-13</v>
      </c>
      <c r="CN121" s="24">
        <f t="shared" si="66"/>
        <v>2.9497355636942193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-5.3205440053716299E-14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396.92963589781414</v>
      </c>
      <c r="CZ121" s="62">
        <f t="shared" si="96"/>
        <v>294.38852181137639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284.32560000000012</v>
      </c>
      <c r="P122" s="14">
        <f t="shared" si="87"/>
        <v>67.880315299331201</v>
      </c>
      <c r="Q122" s="22">
        <f t="shared" si="107"/>
        <v>613.42530247966863</v>
      </c>
      <c r="R122" s="62">
        <f t="shared" si="55"/>
        <v>906.758635813002</v>
      </c>
      <c r="S122" s="62">
        <f ca="1">AVERAGE(OFFSET($R$3,0,0,'Données projet'!$E$9+1,1))-AVERAGE(OFFSET($H$3,0,0,'Données projet'!$E$9+1,1))</f>
        <v>411.98877330238821</v>
      </c>
      <c r="T122" s="62">
        <f t="shared" si="88"/>
        <v>256.4377087753457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0.25645662801827396</v>
      </c>
      <c r="AB122" s="23">
        <f>EXP(-LN(2)/2)*AB121+(1-EXP(-LN(2)/2))/(LN(2)/2)*V122*Y122*VLOOKUP('Données projet'!$B$9,Paramètres!$A$1:$I$89,3,0)*0.475*44/12</f>
        <v>5.6529452059003216E-13</v>
      </c>
      <c r="AC122" s="24">
        <f t="shared" si="57"/>
        <v>0.25645662801883923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-5.9412741393316544E-14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356.31271939877655</v>
      </c>
      <c r="AO122" s="62">
        <f t="shared" si="90"/>
        <v>499.70544707812991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3.432643171466867</v>
      </c>
      <c r="AW122" s="23">
        <f>EXP(-LN(2)/2)*AW121+(1-EXP(-LN(2)/2))/(LN(2)/2)*AQ122*AT122*VLOOKUP('Données projet'!$B$10,Paramètres!$A$1:$I$89,3,0)*0.475*44/12</f>
        <v>7.831886410085375E-13</v>
      </c>
      <c r="AX122" s="23">
        <f t="shared" si="60"/>
        <v>3.4326431714676504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195.30963433439501</v>
      </c>
      <c r="BJ122" s="62">
        <f t="shared" si="92"/>
        <v>185.00219255324504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-4.9658410716801891E-14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303.33040062722074</v>
      </c>
      <c r="CE122" s="62">
        <f t="shared" si="94"/>
        <v>425.30058672361548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2.8690748895842488</v>
      </c>
      <c r="CM122" s="23">
        <f>EXP(-LN(2)/2)*CM121+(1-EXP(-LN(2)/2))/(LN(2)/2)*CG122*CJ122*VLOOKUP('Données projet'!$B$12,Paramètres!$A$1:$I$89,3,0)*0.475*44/12</f>
        <v>6.546054312907176E-13</v>
      </c>
      <c r="CN122" s="24">
        <f t="shared" si="66"/>
        <v>2.8690748895849034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-5.3205440053716299E-14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396.92963589781414</v>
      </c>
      <c r="CZ122" s="62">
        <f t="shared" si="96"/>
        <v>294.38852181137639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287.97600000000011</v>
      </c>
      <c r="P123" s="14">
        <f t="shared" si="87"/>
        <v>68.649801713863141</v>
      </c>
      <c r="Q123" s="22">
        <f t="shared" si="107"/>
        <v>621.12327131831182</v>
      </c>
      <c r="R123" s="62">
        <f t="shared" si="55"/>
        <v>914.45660465164519</v>
      </c>
      <c r="S123" s="62">
        <f ca="1">AVERAGE(OFFSET($R$3,0,0,'Données projet'!$E$9+1,1))-AVERAGE(OFFSET($H$3,0,0,'Données projet'!$E$9+1,1))</f>
        <v>411.98877330238821</v>
      </c>
      <c r="T123" s="62">
        <f t="shared" si="88"/>
        <v>256.4377087753457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0.24944380803864633</v>
      </c>
      <c r="AB123" s="23">
        <f>EXP(-LN(2)/2)*AB122+(1-EXP(-LN(2)/2))/(LN(2)/2)*V123*Y123*VLOOKUP('Données projet'!$B$9,Paramètres!$A$1:$I$89,3,0)*0.475*44/12</f>
        <v>3.9972358887681016E-13</v>
      </c>
      <c r="AC123" s="24">
        <f t="shared" si="57"/>
        <v>0.24944380803904606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-5.9412741393316544E-14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356.31271939877655</v>
      </c>
      <c r="AO123" s="62">
        <f t="shared" si="90"/>
        <v>499.70544707812991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3.3387773634282465</v>
      </c>
      <c r="AW123" s="23">
        <f>EXP(-LN(2)/2)*AW122+(1-EXP(-LN(2)/2))/(LN(2)/2)*AQ123*AT123*VLOOKUP('Données projet'!$B$10,Paramètres!$A$1:$I$89,3,0)*0.475*44/12</f>
        <v>5.5379799900541344E-13</v>
      </c>
      <c r="AX123" s="23">
        <f t="shared" si="60"/>
        <v>3.3387773634288003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195.30963433439501</v>
      </c>
      <c r="BJ123" s="62">
        <f t="shared" si="92"/>
        <v>185.00219255324504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-4.9658410716801891E-14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303.33040062722074</v>
      </c>
      <c r="CE123" s="62">
        <f t="shared" si="94"/>
        <v>425.30058672361548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2.7906198858504765</v>
      </c>
      <c r="CM123" s="23">
        <f>EXP(-LN(2)/2)*CM122+(1-EXP(-LN(2)/2))/(LN(2)/2)*CG123*CJ123*VLOOKUP('Données projet'!$B$12,Paramètres!$A$1:$I$89,3,0)*0.475*44/12</f>
        <v>4.6287593946721101E-13</v>
      </c>
      <c r="CN123" s="24">
        <f t="shared" si="66"/>
        <v>2.7906198858509392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-5.3205440053716299E-14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396.92963589781414</v>
      </c>
      <c r="CZ123" s="62">
        <f t="shared" si="96"/>
        <v>294.38852181137639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1.1527845344971866E-13</v>
      </c>
      <c r="P124" s="14">
        <f t="shared" si="87"/>
        <v>1.7033846239409443E-12</v>
      </c>
      <c r="Q124" s="22">
        <f t="shared" si="107"/>
        <v>3.1675048597887374E-12</v>
      </c>
      <c r="R124" s="62">
        <f t="shared" si="55"/>
        <v>293.3333333333365</v>
      </c>
      <c r="S124" s="62">
        <f ca="1">AVERAGE(OFFSET($R$3,0,0,'Données projet'!$E$9+1,1))-AVERAGE(OFFSET($H$3,0,0,'Données projet'!$E$9+1,1))</f>
        <v>411.98877330238821</v>
      </c>
      <c r="T124" s="62">
        <f t="shared" si="88"/>
        <v>256.4377087753457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0.24262275399014979</v>
      </c>
      <c r="AB124" s="23">
        <f>EXP(-LN(2)/2)*AB123+(1-EXP(-LN(2)/2))/(LN(2)/2)*V124*Y124*VLOOKUP('Données projet'!$B$9,Paramètres!$A$1:$I$89,3,0)*0.475*44/12</f>
        <v>2.8264726029501608E-13</v>
      </c>
      <c r="AC124" s="24">
        <f t="shared" si="57"/>
        <v>0.24262275399043243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-5.9412741393316544E-14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356.31271939877655</v>
      </c>
      <c r="AO124" s="62">
        <f t="shared" si="90"/>
        <v>499.70544707812991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3.2474783208466302</v>
      </c>
      <c r="AW124" s="23">
        <f>EXP(-LN(2)/2)*AW123+(1-EXP(-LN(2)/2))/(LN(2)/2)*AQ124*AT124*VLOOKUP('Données projet'!$B$10,Paramètres!$A$1:$I$89,3,0)*0.475*44/12</f>
        <v>3.9159432050426875E-13</v>
      </c>
      <c r="AX124" s="23">
        <f t="shared" si="60"/>
        <v>3.2474783208470219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195.30963433439501</v>
      </c>
      <c r="BJ124" s="62">
        <f t="shared" si="92"/>
        <v>185.00219255324504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-4.9658410716801891E-14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303.33040062722074</v>
      </c>
      <c r="CE124" s="62">
        <f t="shared" si="94"/>
        <v>425.30058672361548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2.7143102383195736</v>
      </c>
      <c r="CM124" s="23">
        <f>EXP(-LN(2)/2)*CM123+(1-EXP(-LN(2)/2))/(LN(2)/2)*CG124*CJ124*VLOOKUP('Données projet'!$B$12,Paramètres!$A$1:$I$89,3,0)*0.475*44/12</f>
        <v>3.273027156453588E-13</v>
      </c>
      <c r="CN124" s="24">
        <f t="shared" si="66"/>
        <v>2.7143102383199009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-5.3205440053716299E-14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396.92963589781414</v>
      </c>
      <c r="CZ124" s="62">
        <f t="shared" si="96"/>
        <v>294.38852181137639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1.1527845344971866E-13</v>
      </c>
      <c r="P125" s="14">
        <f t="shared" si="87"/>
        <v>1.7033846239409443E-12</v>
      </c>
      <c r="Q125" s="22">
        <f t="shared" si="107"/>
        <v>3.1675048597887374E-12</v>
      </c>
      <c r="R125" s="62">
        <f t="shared" si="55"/>
        <v>293.3333333333365</v>
      </c>
      <c r="S125" s="62">
        <f ca="1">AVERAGE(OFFSET($R$3,0,0,'Données projet'!$E$9+1,1))-AVERAGE(OFFSET($H$3,0,0,'Données projet'!$E$9+1,1))</f>
        <v>411.98877330238821</v>
      </c>
      <c r="T125" s="62">
        <f t="shared" si="88"/>
        <v>256.4377087753457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0.23598822202331304</v>
      </c>
      <c r="AB125" s="23">
        <f>EXP(-LN(2)/2)*AB124+(1-EXP(-LN(2)/2))/(LN(2)/2)*V125*Y125*VLOOKUP('Données projet'!$B$9,Paramètres!$A$1:$I$89,3,0)*0.475*44/12</f>
        <v>1.9986179443840508E-13</v>
      </c>
      <c r="AC125" s="24">
        <f t="shared" si="57"/>
        <v>0.23598822202351291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-5.9412741393316544E-14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356.31271939877655</v>
      </c>
      <c r="AO125" s="62">
        <f t="shared" si="90"/>
        <v>499.70544707812991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3.1586758553856162</v>
      </c>
      <c r="AW125" s="23">
        <f>EXP(-LN(2)/2)*AW124+(1-EXP(-LN(2)/2))/(LN(2)/2)*AQ125*AT125*VLOOKUP('Données projet'!$B$10,Paramètres!$A$1:$I$89,3,0)*0.475*44/12</f>
        <v>2.7689899950270672E-13</v>
      </c>
      <c r="AX125" s="23">
        <f t="shared" si="60"/>
        <v>3.1586758553858933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195.30963433439501</v>
      </c>
      <c r="BJ125" s="62">
        <f t="shared" si="92"/>
        <v>185.00219255324504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-4.9658410716801891E-14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303.33040062722074</v>
      </c>
      <c r="CE125" s="62">
        <f t="shared" si="94"/>
        <v>425.30058672361548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2.640087282113353</v>
      </c>
      <c r="CM125" s="23">
        <f>EXP(-LN(2)/2)*CM124+(1-EXP(-LN(2)/2))/(LN(2)/2)*CG125*CJ125*VLOOKUP('Données projet'!$B$12,Paramètres!$A$1:$I$89,3,0)*0.475*44/12</f>
        <v>2.3143796973360551E-13</v>
      </c>
      <c r="CN125" s="24">
        <f t="shared" si="66"/>
        <v>2.6400872821135843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-5.3205440053716299E-14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396.92963589781414</v>
      </c>
      <c r="CZ125" s="62">
        <f t="shared" si="96"/>
        <v>294.38852181137639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1.1527845344971866E-13</v>
      </c>
      <c r="P126" s="14">
        <f t="shared" si="87"/>
        <v>1.7033846239409443E-12</v>
      </c>
      <c r="Q126" s="22">
        <f t="shared" si="107"/>
        <v>3.1675048597887374E-12</v>
      </c>
      <c r="R126" s="62">
        <f t="shared" si="55"/>
        <v>293.3333333333365</v>
      </c>
      <c r="S126" s="62">
        <f ca="1">AVERAGE(OFFSET($R$3,0,0,'Données projet'!$E$9+1,1))-AVERAGE(OFFSET($H$3,0,0,'Données projet'!$E$9+1,1))</f>
        <v>411.98877330238821</v>
      </c>
      <c r="T126" s="62">
        <f t="shared" si="88"/>
        <v>256.4377087753457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0.2295351116820043</v>
      </c>
      <c r="AB126" s="23">
        <f>EXP(-LN(2)/2)*AB125+(1-EXP(-LN(2)/2))/(LN(2)/2)*V126*Y126*VLOOKUP('Données projet'!$B$9,Paramètres!$A$1:$I$89,3,0)*0.475*44/12</f>
        <v>1.4132363014750804E-13</v>
      </c>
      <c r="AC126" s="24">
        <f t="shared" si="57"/>
        <v>0.22953511168214563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-5.9412741393316544E-14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356.31271939877655</v>
      </c>
      <c r="AO126" s="62">
        <f t="shared" si="90"/>
        <v>499.70544707812991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3.0723016980125526</v>
      </c>
      <c r="AW126" s="23">
        <f>EXP(-LN(2)/2)*AW125+(1-EXP(-LN(2)/2))/(LN(2)/2)*AQ126*AT126*VLOOKUP('Données projet'!$B$10,Paramètres!$A$1:$I$89,3,0)*0.475*44/12</f>
        <v>1.9579716025213437E-13</v>
      </c>
      <c r="AX126" s="23">
        <f t="shared" si="60"/>
        <v>3.0723016980127484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195.30963433439501</v>
      </c>
      <c r="BJ126" s="62">
        <f t="shared" si="92"/>
        <v>185.00219255324504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-4.9658410716801891E-14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303.33040062722074</v>
      </c>
      <c r="CE126" s="62">
        <f t="shared" si="94"/>
        <v>425.30058672361548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2.5678939565478074</v>
      </c>
      <c r="CM126" s="23">
        <f>EXP(-LN(2)/2)*CM125+(1-EXP(-LN(2)/2))/(LN(2)/2)*CG126*CJ126*VLOOKUP('Données projet'!$B$12,Paramètres!$A$1:$I$89,3,0)*0.475*44/12</f>
        <v>1.636513578226794E-13</v>
      </c>
      <c r="CN126" s="24">
        <f t="shared" si="66"/>
        <v>2.5678939565479713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-5.3205440053716299E-14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396.92963589781414</v>
      </c>
      <c r="CZ126" s="62">
        <f t="shared" si="96"/>
        <v>294.38852181137639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1.1527845344971866E-13</v>
      </c>
      <c r="P127" s="14">
        <f t="shared" si="87"/>
        <v>1.7033846239409443E-12</v>
      </c>
      <c r="Q127" s="22">
        <f t="shared" si="107"/>
        <v>3.1675048597887374E-12</v>
      </c>
      <c r="R127" s="62">
        <f t="shared" si="55"/>
        <v>293.3333333333365</v>
      </c>
      <c r="S127" s="62">
        <f ca="1">AVERAGE(OFFSET($R$3,0,0,'Données projet'!$E$9+1,1))-AVERAGE(OFFSET($H$3,0,0,'Données projet'!$E$9+1,1))</f>
        <v>411.98877330238821</v>
      </c>
      <c r="T127" s="62">
        <f t="shared" si="88"/>
        <v>256.4377087753457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0.22325846198233298</v>
      </c>
      <c r="AB127" s="23">
        <f>EXP(-LN(2)/2)*AB126+(1-EXP(-LN(2)/2))/(LN(2)/2)*V127*Y127*VLOOKUP('Données projet'!$B$9,Paramètres!$A$1:$I$89,3,0)*0.475*44/12</f>
        <v>9.993089721920254E-14</v>
      </c>
      <c r="AC127" s="24">
        <f t="shared" si="57"/>
        <v>0.2232584619824329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-5.9412741393316544E-14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356.31271939877655</v>
      </c>
      <c r="AO127" s="62">
        <f t="shared" si="90"/>
        <v>499.70544707812991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2.9882894465150747</v>
      </c>
      <c r="AW127" s="23">
        <f>EXP(-LN(2)/2)*AW126+(1-EXP(-LN(2)/2))/(LN(2)/2)*AQ127*AT127*VLOOKUP('Données projet'!$B$10,Paramètres!$A$1:$I$89,3,0)*0.475*44/12</f>
        <v>1.3844949975135336E-13</v>
      </c>
      <c r="AX127" s="23">
        <f t="shared" si="60"/>
        <v>2.9882894465152132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195.30963433439501</v>
      </c>
      <c r="BJ127" s="62">
        <f t="shared" si="92"/>
        <v>185.00219255324504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-4.9658410716801891E-14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303.33040062722074</v>
      </c>
      <c r="CE127" s="62">
        <f t="shared" si="94"/>
        <v>425.30058672361548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2.4976747612663335</v>
      </c>
      <c r="CM127" s="23">
        <f>EXP(-LN(2)/2)*CM126+(1-EXP(-LN(2)/2))/(LN(2)/2)*CG127*CJ127*VLOOKUP('Données projet'!$B$12,Paramètres!$A$1:$I$89,3,0)*0.475*44/12</f>
        <v>1.1571898486680275E-13</v>
      </c>
      <c r="CN127" s="24">
        <f t="shared" si="66"/>
        <v>2.4976747612664494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-5.3205440053716299E-14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396.92963589781414</v>
      </c>
      <c r="CZ127" s="62">
        <f t="shared" si="96"/>
        <v>294.38852181137639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1.1527845344971866E-13</v>
      </c>
      <c r="P128" s="14">
        <f t="shared" si="87"/>
        <v>1.7033846239409443E-12</v>
      </c>
      <c r="Q128" s="22">
        <f t="shared" si="107"/>
        <v>3.1675048597887374E-12</v>
      </c>
      <c r="R128" s="62">
        <f t="shared" si="55"/>
        <v>293.3333333333365</v>
      </c>
      <c r="S128" s="62">
        <f ca="1">AVERAGE(OFFSET($R$3,0,0,'Données projet'!$E$9+1,1))-AVERAGE(OFFSET($H$3,0,0,'Données projet'!$E$9+1,1))</f>
        <v>411.98877330238821</v>
      </c>
      <c r="T128" s="62">
        <f t="shared" si="88"/>
        <v>256.4377087753457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0.21715344759877384</v>
      </c>
      <c r="AB128" s="23">
        <f>EXP(-LN(2)/2)*AB127+(1-EXP(-LN(2)/2))/(LN(2)/2)*V128*Y128*VLOOKUP('Données projet'!$B$9,Paramètres!$A$1:$I$89,3,0)*0.475*44/12</f>
        <v>7.066181507375402E-14</v>
      </c>
      <c r="AC128" s="24">
        <f t="shared" si="57"/>
        <v>0.2171534475988445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-5.9412741393316544E-14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356.31271939877655</v>
      </c>
      <c r="AO128" s="62">
        <f t="shared" si="90"/>
        <v>499.70544707812991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2.9065745144528079</v>
      </c>
      <c r="AW128" s="23">
        <f>EXP(-LN(2)/2)*AW127+(1-EXP(-LN(2)/2))/(LN(2)/2)*AQ128*AT128*VLOOKUP('Données projet'!$B$10,Paramètres!$A$1:$I$89,3,0)*0.475*44/12</f>
        <v>9.7898580126067187E-14</v>
      </c>
      <c r="AX128" s="23">
        <f t="shared" si="60"/>
        <v>2.9065745144529056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195.30963433439501</v>
      </c>
      <c r="BJ128" s="62">
        <f t="shared" si="92"/>
        <v>185.00219255324504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-4.9658410716801891E-14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303.33040062722074</v>
      </c>
      <c r="CE128" s="62">
        <f t="shared" si="94"/>
        <v>425.30058672361548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2.4293757135724983</v>
      </c>
      <c r="CM128" s="23">
        <f>EXP(-LN(2)/2)*CM127+(1-EXP(-LN(2)/2))/(LN(2)/2)*CG128*CJ128*VLOOKUP('Données projet'!$B$12,Paramètres!$A$1:$I$89,3,0)*0.475*44/12</f>
        <v>8.1825678911339701E-14</v>
      </c>
      <c r="CN128" s="24">
        <f t="shared" si="66"/>
        <v>2.42937571357258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-5.3205440053716299E-14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396.92963589781414</v>
      </c>
      <c r="CZ128" s="62">
        <f t="shared" si="96"/>
        <v>294.38852181137639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1.1527845344971866E-13</v>
      </c>
      <c r="P129" s="14">
        <f t="shared" si="87"/>
        <v>1.7033846239409443E-12</v>
      </c>
      <c r="Q129" s="22">
        <f t="shared" si="107"/>
        <v>3.1675048597887374E-12</v>
      </c>
      <c r="R129" s="62">
        <f t="shared" si="55"/>
        <v>293.3333333333365</v>
      </c>
      <c r="S129" s="62">
        <f ca="1">AVERAGE(OFFSET($R$3,0,0,'Données projet'!$E$9+1,1))-AVERAGE(OFFSET($H$3,0,0,'Données projet'!$E$9+1,1))</f>
        <v>411.98877330238821</v>
      </c>
      <c r="T129" s="62">
        <f t="shared" si="88"/>
        <v>256.4377087753457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0.21121537515458186</v>
      </c>
      <c r="AB129" s="23">
        <f>EXP(-LN(2)/2)*AB128+(1-EXP(-LN(2)/2))/(LN(2)/2)*V129*Y129*VLOOKUP('Données projet'!$B$9,Paramètres!$A$1:$I$89,3,0)*0.475*44/12</f>
        <v>4.996544860960127E-14</v>
      </c>
      <c r="AC129" s="24">
        <f t="shared" si="57"/>
        <v>0.21121537515463182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-5.9412741393316544E-14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356.31271939877655</v>
      </c>
      <c r="AO129" s="62">
        <f t="shared" si="90"/>
        <v>499.70544707812991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2.8270940815049852</v>
      </c>
      <c r="AW129" s="23">
        <f>EXP(-LN(2)/2)*AW128+(1-EXP(-LN(2)/2))/(LN(2)/2)*AQ129*AT129*VLOOKUP('Données projet'!$B$10,Paramètres!$A$1:$I$89,3,0)*0.475*44/12</f>
        <v>6.922474987567668E-14</v>
      </c>
      <c r="AX129" s="23">
        <f t="shared" si="60"/>
        <v>2.8270940815050545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195.30963433439501</v>
      </c>
      <c r="BJ129" s="62">
        <f t="shared" si="92"/>
        <v>185.00219255324504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-4.9658410716801891E-14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303.33040062722074</v>
      </c>
      <c r="CE129" s="62">
        <f t="shared" si="94"/>
        <v>425.30058672361548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2.3629443069295419</v>
      </c>
      <c r="CM129" s="23">
        <f>EXP(-LN(2)/2)*CM128+(1-EXP(-LN(2)/2))/(LN(2)/2)*CG129*CJ129*VLOOKUP('Données projet'!$B$12,Paramètres!$A$1:$I$89,3,0)*0.475*44/12</f>
        <v>5.7859492433401376E-14</v>
      </c>
      <c r="CN129" s="24">
        <f t="shared" si="66"/>
        <v>2.3629443069295997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-5.3205440053716299E-14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396.92963589781414</v>
      </c>
      <c r="CZ129" s="62">
        <f t="shared" si="96"/>
        <v>294.38852181137639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1.1527845344971866E-13</v>
      </c>
      <c r="P130" s="14">
        <f t="shared" si="87"/>
        <v>1.7033846239409443E-12</v>
      </c>
      <c r="Q130" s="22">
        <f t="shared" si="107"/>
        <v>3.1675048597887374E-12</v>
      </c>
      <c r="R130" s="62">
        <f t="shared" si="55"/>
        <v>293.3333333333365</v>
      </c>
      <c r="S130" s="62">
        <f ca="1">AVERAGE(OFFSET($R$3,0,0,'Données projet'!$E$9+1,1))-AVERAGE(OFFSET($H$3,0,0,'Données projet'!$E$9+1,1))</f>
        <v>411.98877330238821</v>
      </c>
      <c r="T130" s="62">
        <f t="shared" si="88"/>
        <v>256.4377087753457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0.20543967961364598</v>
      </c>
      <c r="AB130" s="23">
        <f>EXP(-LN(2)/2)*AB129+(1-EXP(-LN(2)/2))/(LN(2)/2)*V130*Y130*VLOOKUP('Données projet'!$B$9,Paramètres!$A$1:$I$89,3,0)*0.475*44/12</f>
        <v>3.533090753687701E-14</v>
      </c>
      <c r="AC130" s="24">
        <f t="shared" si="57"/>
        <v>0.20543967961368131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-5.9412741393316544E-14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356.31271939877655</v>
      </c>
      <c r="AO130" s="62">
        <f t="shared" si="90"/>
        <v>499.70544707812991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2.7497870451758151</v>
      </c>
      <c r="AW130" s="23">
        <f>EXP(-LN(2)/2)*AW129+(1-EXP(-LN(2)/2))/(LN(2)/2)*AQ130*AT130*VLOOKUP('Données projet'!$B$10,Paramètres!$A$1:$I$89,3,0)*0.475*44/12</f>
        <v>4.8949290063033594E-14</v>
      </c>
      <c r="AX130" s="23">
        <f t="shared" si="60"/>
        <v>2.7497870451758639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195.30963433439501</v>
      </c>
      <c r="BJ130" s="62">
        <f t="shared" si="92"/>
        <v>185.00219255324504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-4.9658410716801891E-14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303.33040062722074</v>
      </c>
      <c r="CE130" s="62">
        <f t="shared" si="94"/>
        <v>425.30058672361548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2.2983294705947133</v>
      </c>
      <c r="CM130" s="23">
        <f>EXP(-LN(2)/2)*CM129+(1-EXP(-LN(2)/2))/(LN(2)/2)*CG130*CJ130*VLOOKUP('Données projet'!$B$12,Paramètres!$A$1:$I$89,3,0)*0.475*44/12</f>
        <v>4.091283945566985E-14</v>
      </c>
      <c r="CN130" s="24">
        <f t="shared" si="66"/>
        <v>2.2983294705947541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-5.3205440053716299E-14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396.92963589781414</v>
      </c>
      <c r="CZ130" s="62">
        <f t="shared" si="96"/>
        <v>294.38852181137639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1.1527845344971866E-13</v>
      </c>
      <c r="P131" s="14">
        <f t="shared" si="87"/>
        <v>1.7033846239409443E-12</v>
      </c>
      <c r="Q131" s="22">
        <f t="shared" ref="Q131:Q153" si="108">(O131+P131)*0.475*44/12</f>
        <v>3.1675048597887374E-12</v>
      </c>
      <c r="R131" s="62">
        <f t="shared" ref="R131:R194" si="109">Q131+(I131+J131)*44/12</f>
        <v>293.3333333333365</v>
      </c>
      <c r="S131" s="62">
        <f ca="1">AVERAGE(OFFSET($R$3,0,0,'Données projet'!$E$9+1,1))-AVERAGE(OFFSET($H$3,0,0,'Données projet'!$E$9+1,1))</f>
        <v>411.98877330238821</v>
      </c>
      <c r="T131" s="62">
        <f t="shared" si="88"/>
        <v>256.4377087753457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0.19982192077100763</v>
      </c>
      <c r="AB131" s="23">
        <f>EXP(-LN(2)/2)*AB130+(1-EXP(-LN(2)/2))/(LN(2)/2)*V131*Y131*VLOOKUP('Données projet'!$B$9,Paramètres!$A$1:$I$89,3,0)*0.475*44/12</f>
        <v>2.4982724304800635E-14</v>
      </c>
      <c r="AC131" s="24">
        <f t="shared" si="57"/>
        <v>0.19982192077103261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-5.9412741393316544E-14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356.31271939877655</v>
      </c>
      <c r="AO131" s="62">
        <f t="shared" si="90"/>
        <v>499.70544707812991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2.6745939738204663</v>
      </c>
      <c r="AW131" s="23">
        <f>EXP(-LN(2)/2)*AW130+(1-EXP(-LN(2)/2))/(LN(2)/2)*AQ131*AT131*VLOOKUP('Données projet'!$B$10,Paramètres!$A$1:$I$89,3,0)*0.475*44/12</f>
        <v>3.461237493783834E-14</v>
      </c>
      <c r="AX131" s="23">
        <f t="shared" si="60"/>
        <v>2.6745939738205009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195.30963433439501</v>
      </c>
      <c r="BJ131" s="62">
        <f t="shared" si="92"/>
        <v>185.00219255324504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-4.9658410716801891E-14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303.33040062722074</v>
      </c>
      <c r="CE131" s="62">
        <f t="shared" si="94"/>
        <v>425.30058672361548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2.2354815303574069</v>
      </c>
      <c r="CM131" s="23">
        <f>EXP(-LN(2)/2)*CM130+(1-EXP(-LN(2)/2))/(LN(2)/2)*CG131*CJ131*VLOOKUP('Données projet'!$B$12,Paramètres!$A$1:$I$89,3,0)*0.475*44/12</f>
        <v>2.8929746216700688E-14</v>
      </c>
      <c r="CN131" s="24">
        <f t="shared" si="66"/>
        <v>2.2354815303574358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-5.3205440053716299E-14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396.92963589781414</v>
      </c>
      <c r="CZ131" s="62">
        <f t="shared" si="96"/>
        <v>294.38852181137639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1.1527845344971866E-13</v>
      </c>
      <c r="P132" s="14">
        <f t="shared" si="87"/>
        <v>1.7033846239409443E-12</v>
      </c>
      <c r="Q132" s="22">
        <f t="shared" si="108"/>
        <v>3.1675048597887374E-12</v>
      </c>
      <c r="R132" s="62">
        <f t="shared" si="109"/>
        <v>293.3333333333365</v>
      </c>
      <c r="S132" s="62">
        <f ca="1">AVERAGE(OFFSET($R$3,0,0,'Données projet'!$E$9+1,1))-AVERAGE(OFFSET($H$3,0,0,'Données projet'!$E$9+1,1))</f>
        <v>411.98877330238821</v>
      </c>
      <c r="T132" s="62">
        <f t="shared" si="88"/>
        <v>256.4377087753457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0.19435777983934632</v>
      </c>
      <c r="AB132" s="23">
        <f>EXP(-LN(2)/2)*AB131+(1-EXP(-LN(2)/2))/(LN(2)/2)*V132*Y132*VLOOKUP('Données projet'!$B$9,Paramètres!$A$1:$I$89,3,0)*0.475*44/12</f>
        <v>1.7665453768438505E-14</v>
      </c>
      <c r="AC132" s="24">
        <f t="shared" ref="AC132:AC153" si="111">SUM(Z132:AB132)</f>
        <v>0.19435777983936398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-5.9412741393316544E-14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356.31271939877655</v>
      </c>
      <c r="AO132" s="62">
        <f t="shared" si="90"/>
        <v>499.70544707812991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2.6014570609555614</v>
      </c>
      <c r="AW132" s="23">
        <f>EXP(-LN(2)/2)*AW131+(1-EXP(-LN(2)/2))/(LN(2)/2)*AQ132*AT132*VLOOKUP('Données projet'!$B$10,Paramètres!$A$1:$I$89,3,0)*0.475*44/12</f>
        <v>2.4474645031516797E-14</v>
      </c>
      <c r="AX132" s="23">
        <f t="shared" ref="AX132:AX153" si="114">SUM(AU132:AW132)</f>
        <v>2.6014570609555858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195.30963433439501</v>
      </c>
      <c r="BJ132" s="62">
        <f t="shared" si="92"/>
        <v>185.00219255324504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-4.9658410716801891E-14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303.33040062722074</v>
      </c>
      <c r="CE132" s="62">
        <f t="shared" si="94"/>
        <v>425.30058672361548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2.1743521703509194</v>
      </c>
      <c r="CM132" s="23">
        <f>EXP(-LN(2)/2)*CM131+(1-EXP(-LN(2)/2))/(LN(2)/2)*CG132*CJ132*VLOOKUP('Données projet'!$B$12,Paramètres!$A$1:$I$89,3,0)*0.475*44/12</f>
        <v>2.0456419727834925E-14</v>
      </c>
      <c r="CN132" s="24">
        <f t="shared" ref="CN132:CN153" si="120">SUM(CK132:CM132)</f>
        <v>2.1743521703509399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-5.3205440053716299E-14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396.92963589781414</v>
      </c>
      <c r="CZ132" s="62">
        <f t="shared" si="96"/>
        <v>294.38852181137639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1.1527845344971866E-13</v>
      </c>
      <c r="P133" s="14">
        <f t="shared" ref="P133:P196" si="141">EXP(-1.0587+0.8836*LN(O133)+0.284)</f>
        <v>1.7033846239409443E-12</v>
      </c>
      <c r="Q133" s="22">
        <f t="shared" si="108"/>
        <v>3.1675048597887374E-12</v>
      </c>
      <c r="R133" s="62">
        <f t="shared" si="109"/>
        <v>293.3333333333365</v>
      </c>
      <c r="S133" s="62">
        <f ca="1">AVERAGE(OFFSET($R$3,0,0,'Données projet'!$E$9+1,1))-AVERAGE(OFFSET($H$3,0,0,'Données projet'!$E$9+1,1))</f>
        <v>411.98877330238821</v>
      </c>
      <c r="T133" s="62">
        <f t="shared" ref="T133:T196" si="142">$T$3</f>
        <v>256.4377087753457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0.18904305612880798</v>
      </c>
      <c r="AB133" s="23">
        <f>EXP(-LN(2)/2)*AB132+(1-EXP(-LN(2)/2))/(LN(2)/2)*V133*Y133*VLOOKUP('Données projet'!$B$9,Paramètres!$A$1:$I$89,3,0)*0.475*44/12</f>
        <v>1.2491362152400317E-14</v>
      </c>
      <c r="AC133" s="24">
        <f t="shared" si="111"/>
        <v>0.18904305612882047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-5.9412741393316544E-14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356.31271939877655</v>
      </c>
      <c r="AO133" s="62">
        <f t="shared" ref="AO133:AO196" si="144">$AO$3</f>
        <v>499.70544707812991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2.5303200808190502</v>
      </c>
      <c r="AW133" s="23">
        <f>EXP(-LN(2)/2)*AW132+(1-EXP(-LN(2)/2))/(LN(2)/2)*AQ133*AT133*VLOOKUP('Données projet'!$B$10,Paramètres!$A$1:$I$89,3,0)*0.475*44/12</f>
        <v>1.730618746891917E-14</v>
      </c>
      <c r="AX133" s="23">
        <f t="shared" si="114"/>
        <v>2.5303200808190676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195.30963433439501</v>
      </c>
      <c r="BJ133" s="62">
        <f t="shared" ref="BJ133:BJ196" si="146">$BJ$3</f>
        <v>185.00219255324504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-4.9658410716801891E-14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303.33040062722074</v>
      </c>
      <c r="CE133" s="62">
        <f t="shared" ref="CE133:CE196" si="148">$CE$3</f>
        <v>425.30058672361548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2.1148943959084625</v>
      </c>
      <c r="CM133" s="23">
        <f>EXP(-LN(2)/2)*CM132+(1-EXP(-LN(2)/2))/(LN(2)/2)*CG133*CJ133*VLOOKUP('Données projet'!$B$12,Paramètres!$A$1:$I$89,3,0)*0.475*44/12</f>
        <v>1.4464873108350344E-14</v>
      </c>
      <c r="CN133" s="24">
        <f t="shared" si="120"/>
        <v>2.1148943959084772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-5.3205440053716299E-14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396.92963589781414</v>
      </c>
      <c r="CZ133" s="62">
        <f t="shared" ref="CZ133:CZ196" si="150">$CZ$3</f>
        <v>294.38852181137639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1.1527845344971866E-13</v>
      </c>
      <c r="P134" s="14">
        <f t="shared" si="141"/>
        <v>1.7033846239409443E-12</v>
      </c>
      <c r="Q134" s="22">
        <f t="shared" si="108"/>
        <v>3.1675048597887374E-12</v>
      </c>
      <c r="R134" s="62">
        <f t="shared" si="109"/>
        <v>293.3333333333365</v>
      </c>
      <c r="S134" s="62">
        <f ca="1">AVERAGE(OFFSET($R$3,0,0,'Données projet'!$E$9+1,1))-AVERAGE(OFFSET($H$3,0,0,'Données projet'!$E$9+1,1))</f>
        <v>411.98877330238821</v>
      </c>
      <c r="T134" s="62">
        <f t="shared" si="142"/>
        <v>256.4377087753457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0.18387366381762346</v>
      </c>
      <c r="AB134" s="23">
        <f>EXP(-LN(2)/2)*AB133+(1-EXP(-LN(2)/2))/(LN(2)/2)*V134*Y134*VLOOKUP('Données projet'!$B$9,Paramètres!$A$1:$I$89,3,0)*0.475*44/12</f>
        <v>8.8327268842192526E-15</v>
      </c>
      <c r="AC134" s="24">
        <f t="shared" si="111"/>
        <v>0.18387366381763229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-5.9412741393316544E-14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356.31271939877655</v>
      </c>
      <c r="AO134" s="62">
        <f t="shared" si="144"/>
        <v>499.70544707812991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2.4611283451453034</v>
      </c>
      <c r="AW134" s="23">
        <f>EXP(-LN(2)/2)*AW133+(1-EXP(-LN(2)/2))/(LN(2)/2)*AQ134*AT134*VLOOKUP('Données projet'!$B$10,Paramètres!$A$1:$I$89,3,0)*0.475*44/12</f>
        <v>1.2237322515758398E-14</v>
      </c>
      <c r="AX134" s="23">
        <f t="shared" si="114"/>
        <v>2.4611283451453159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195.30963433439501</v>
      </c>
      <c r="BJ134" s="62">
        <f t="shared" si="146"/>
        <v>185.00219255324504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-4.9658410716801891E-14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303.33040062722074</v>
      </c>
      <c r="CE134" s="62">
        <f t="shared" si="148"/>
        <v>425.30058672361548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2.0570624974348828</v>
      </c>
      <c r="CM134" s="23">
        <f>EXP(-LN(2)/2)*CM133+(1-EXP(-LN(2)/2))/(LN(2)/2)*CG134*CJ134*VLOOKUP('Données projet'!$B$12,Paramètres!$A$1:$I$89,3,0)*0.475*44/12</f>
        <v>1.0228209863917463E-14</v>
      </c>
      <c r="CN134" s="24">
        <f t="shared" si="120"/>
        <v>2.057062497434893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-5.3205440053716299E-14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396.92963589781414</v>
      </c>
      <c r="CZ134" s="62">
        <f t="shared" si="150"/>
        <v>294.38852181137639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1.1527845344971866E-13</v>
      </c>
      <c r="P135" s="14">
        <f t="shared" si="141"/>
        <v>1.7033846239409443E-12</v>
      </c>
      <c r="Q135" s="22">
        <f t="shared" si="108"/>
        <v>3.1675048597887374E-12</v>
      </c>
      <c r="R135" s="62">
        <f t="shared" si="109"/>
        <v>293.3333333333365</v>
      </c>
      <c r="S135" s="62">
        <f ca="1">AVERAGE(OFFSET($R$3,0,0,'Données projet'!$E$9+1,1))-AVERAGE(OFFSET($H$3,0,0,'Données projet'!$E$9+1,1))</f>
        <v>411.98877330238821</v>
      </c>
      <c r="T135" s="62">
        <f t="shared" si="142"/>
        <v>256.4377087753457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0.17884562881103483</v>
      </c>
      <c r="AB135" s="23">
        <f>EXP(-LN(2)/2)*AB134+(1-EXP(-LN(2)/2))/(LN(2)/2)*V135*Y135*VLOOKUP('Données projet'!$B$9,Paramètres!$A$1:$I$89,3,0)*0.475*44/12</f>
        <v>6.2456810762001587E-15</v>
      </c>
      <c r="AC135" s="24">
        <f t="shared" si="111"/>
        <v>0.17884562881104107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-5.9412741393316544E-14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356.31271939877655</v>
      </c>
      <c r="AO135" s="62">
        <f t="shared" si="144"/>
        <v>499.70544707812991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2.3938286611221904</v>
      </c>
      <c r="AW135" s="23">
        <f>EXP(-LN(2)/2)*AW134+(1-EXP(-LN(2)/2))/(LN(2)/2)*AQ135*AT135*VLOOKUP('Données projet'!$B$10,Paramètres!$A$1:$I$89,3,0)*0.475*44/12</f>
        <v>8.653093734459585E-15</v>
      </c>
      <c r="AX135" s="23">
        <f t="shared" si="114"/>
        <v>2.3938286611221988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195.30963433439501</v>
      </c>
      <c r="BJ135" s="62">
        <f t="shared" si="146"/>
        <v>185.00219255324504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-4.9658410716801891E-14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303.33040062722074</v>
      </c>
      <c r="CE135" s="62">
        <f t="shared" si="148"/>
        <v>425.30058672361548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2.0008120152663107</v>
      </c>
      <c r="CM135" s="23">
        <f>EXP(-LN(2)/2)*CM134+(1-EXP(-LN(2)/2))/(LN(2)/2)*CG135*CJ135*VLOOKUP('Données projet'!$B$12,Paramètres!$A$1:$I$89,3,0)*0.475*44/12</f>
        <v>7.232436554175172E-15</v>
      </c>
      <c r="CN135" s="24">
        <f t="shared" si="120"/>
        <v>2.0008120152663178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-5.3205440053716299E-14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396.92963589781414</v>
      </c>
      <c r="CZ135" s="62">
        <f t="shared" si="150"/>
        <v>294.38852181137639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1.1527845344971866E-13</v>
      </c>
      <c r="P136" s="14">
        <f t="shared" si="141"/>
        <v>1.7033846239409443E-12</v>
      </c>
      <c r="Q136" s="22">
        <f t="shared" si="108"/>
        <v>3.1675048597887374E-12</v>
      </c>
      <c r="R136" s="62">
        <f t="shared" si="109"/>
        <v>293.3333333333365</v>
      </c>
      <c r="S136" s="62">
        <f ca="1">AVERAGE(OFFSET($R$3,0,0,'Données projet'!$E$9+1,1))-AVERAGE(OFFSET($H$3,0,0,'Données projet'!$E$9+1,1))</f>
        <v>411.98877330238821</v>
      </c>
      <c r="T136" s="62">
        <f t="shared" si="142"/>
        <v>256.4377087753457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0.17395508568611423</v>
      </c>
      <c r="AB136" s="23">
        <f>EXP(-LN(2)/2)*AB135+(1-EXP(-LN(2)/2))/(LN(2)/2)*V136*Y136*VLOOKUP('Données projet'!$B$9,Paramètres!$A$1:$I$89,3,0)*0.475*44/12</f>
        <v>4.4163634421096263E-15</v>
      </c>
      <c r="AC136" s="24">
        <f t="shared" si="111"/>
        <v>0.17395508568611864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-5.9412741393316544E-14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356.31271939877655</v>
      </c>
      <c r="AO136" s="62">
        <f t="shared" si="144"/>
        <v>499.70544707812991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2.3283692904978261</v>
      </c>
      <c r="AW136" s="23">
        <f>EXP(-LN(2)/2)*AW135+(1-EXP(-LN(2)/2))/(LN(2)/2)*AQ136*AT136*VLOOKUP('Données projet'!$B$10,Paramètres!$A$1:$I$89,3,0)*0.475*44/12</f>
        <v>6.1186612578791992E-15</v>
      </c>
      <c r="AX136" s="23">
        <f t="shared" si="114"/>
        <v>2.3283692904978324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195.30963433439501</v>
      </c>
      <c r="BJ136" s="62">
        <f t="shared" si="146"/>
        <v>185.00219255324504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-4.9658410716801891E-14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303.33040062722074</v>
      </c>
      <c r="CE136" s="62">
        <f t="shared" si="148"/>
        <v>425.30058672361548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1.9460997054907225</v>
      </c>
      <c r="CM136" s="23">
        <f>EXP(-LN(2)/2)*CM135+(1-EXP(-LN(2)/2))/(LN(2)/2)*CG136*CJ136*VLOOKUP('Données projet'!$B$12,Paramètres!$A$1:$I$89,3,0)*0.475*44/12</f>
        <v>5.1141049319587313E-15</v>
      </c>
      <c r="CN136" s="24">
        <f t="shared" si="120"/>
        <v>1.9460997054907276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-5.3205440053716299E-14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396.92963589781414</v>
      </c>
      <c r="CZ136" s="62">
        <f t="shared" si="150"/>
        <v>294.38852181137639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1.1527845344971866E-13</v>
      </c>
      <c r="P137" s="14">
        <f t="shared" si="141"/>
        <v>1.7033846239409443E-12</v>
      </c>
      <c r="Q137" s="22">
        <f t="shared" si="108"/>
        <v>3.1675048597887374E-12</v>
      </c>
      <c r="R137" s="62">
        <f t="shared" si="109"/>
        <v>293.3333333333365</v>
      </c>
      <c r="S137" s="62">
        <f ca="1">AVERAGE(OFFSET($R$3,0,0,'Données projet'!$E$9+1,1))-AVERAGE(OFFSET($H$3,0,0,'Données projet'!$E$9+1,1))</f>
        <v>411.98877330238821</v>
      </c>
      <c r="T137" s="62">
        <f t="shared" si="142"/>
        <v>256.4377087753457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0.16919827472012705</v>
      </c>
      <c r="AB137" s="23">
        <f>EXP(-LN(2)/2)*AB136+(1-EXP(-LN(2)/2))/(LN(2)/2)*V137*Y137*VLOOKUP('Données projet'!$B$9,Paramètres!$A$1:$I$89,3,0)*0.475*44/12</f>
        <v>3.1228405381000794E-15</v>
      </c>
      <c r="AC137" s="24">
        <f t="shared" si="111"/>
        <v>0.16919827472013019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-5.9412741393316544E-14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356.31271939877655</v>
      </c>
      <c r="AO137" s="62">
        <f t="shared" si="144"/>
        <v>499.70544707812991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2.2646999098055436</v>
      </c>
      <c r="AW137" s="23">
        <f>EXP(-LN(2)/2)*AW136+(1-EXP(-LN(2)/2))/(LN(2)/2)*AQ137*AT137*VLOOKUP('Données projet'!$B$10,Paramètres!$A$1:$I$89,3,0)*0.475*44/12</f>
        <v>4.3265468672297925E-15</v>
      </c>
      <c r="AX137" s="23">
        <f t="shared" si="114"/>
        <v>2.264699909805548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195.30963433439501</v>
      </c>
      <c r="BJ137" s="62">
        <f t="shared" si="146"/>
        <v>185.00219255324504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-4.9658410716801891E-14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303.33040062722074</v>
      </c>
      <c r="CE137" s="62">
        <f t="shared" si="148"/>
        <v>425.30058672361548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1.8928835067031431</v>
      </c>
      <c r="CM137" s="23">
        <f>EXP(-LN(2)/2)*CM136+(1-EXP(-LN(2)/2))/(LN(2)/2)*CG137*CJ137*VLOOKUP('Données projet'!$B$12,Paramètres!$A$1:$I$89,3,0)*0.475*44/12</f>
        <v>3.616218277087586E-15</v>
      </c>
      <c r="CN137" s="24">
        <f t="shared" si="120"/>
        <v>1.8928835067031466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-5.3205440053716299E-14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396.92963589781414</v>
      </c>
      <c r="CZ137" s="62">
        <f t="shared" si="150"/>
        <v>294.38852181137639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1.1527845344971866E-13</v>
      </c>
      <c r="P138" s="14">
        <f t="shared" si="141"/>
        <v>1.7033846239409443E-12</v>
      </c>
      <c r="Q138" s="22">
        <f t="shared" si="108"/>
        <v>3.1675048597887374E-12</v>
      </c>
      <c r="R138" s="62">
        <f t="shared" si="109"/>
        <v>293.3333333333365</v>
      </c>
      <c r="S138" s="62">
        <f ca="1">AVERAGE(OFFSET($R$3,0,0,'Données projet'!$E$9+1,1))-AVERAGE(OFFSET($H$3,0,0,'Données projet'!$E$9+1,1))</f>
        <v>411.98877330238821</v>
      </c>
      <c r="T138" s="62">
        <f t="shared" si="142"/>
        <v>256.4377087753457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0.16457153900015462</v>
      </c>
      <c r="AB138" s="23">
        <f>EXP(-LN(2)/2)*AB137+(1-EXP(-LN(2)/2))/(LN(2)/2)*V138*Y138*VLOOKUP('Données projet'!$B$9,Paramètres!$A$1:$I$89,3,0)*0.475*44/12</f>
        <v>2.2081817210548131E-15</v>
      </c>
      <c r="AC138" s="24">
        <f t="shared" si="111"/>
        <v>0.16457153900015684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-5.9412741393316544E-14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356.31271939877655</v>
      </c>
      <c r="AO138" s="62">
        <f t="shared" si="144"/>
        <v>499.70544707812991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2.2027715716765188</v>
      </c>
      <c r="AW138" s="23">
        <f>EXP(-LN(2)/2)*AW137+(1-EXP(-LN(2)/2))/(LN(2)/2)*AQ138*AT138*VLOOKUP('Données projet'!$B$10,Paramètres!$A$1:$I$89,3,0)*0.475*44/12</f>
        <v>3.0593306289395996E-15</v>
      </c>
      <c r="AX138" s="23">
        <f t="shared" si="114"/>
        <v>2.2027715716765219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195.30963433439501</v>
      </c>
      <c r="BJ138" s="62">
        <f t="shared" si="146"/>
        <v>185.00219255324504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-4.9658410716801891E-14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303.33040062722074</v>
      </c>
      <c r="CE138" s="62">
        <f t="shared" si="148"/>
        <v>425.30058672361548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1.8411225076699282</v>
      </c>
      <c r="CM138" s="23">
        <f>EXP(-LN(2)/2)*CM137+(1-EXP(-LN(2)/2))/(LN(2)/2)*CG138*CJ138*VLOOKUP('Données projet'!$B$12,Paramètres!$A$1:$I$89,3,0)*0.475*44/12</f>
        <v>2.5570524659793656E-15</v>
      </c>
      <c r="CN138" s="24">
        <f t="shared" si="120"/>
        <v>1.8411225076699309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-5.3205440053716299E-14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396.92963589781414</v>
      </c>
      <c r="CZ138" s="62">
        <f t="shared" si="150"/>
        <v>294.38852181137639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1.1527845344971866E-13</v>
      </c>
      <c r="P139" s="14">
        <f t="shared" si="141"/>
        <v>1.7033846239409443E-12</v>
      </c>
      <c r="Q139" s="22">
        <f t="shared" si="108"/>
        <v>3.1675048597887374E-12</v>
      </c>
      <c r="R139" s="62">
        <f t="shared" si="109"/>
        <v>293.3333333333365</v>
      </c>
      <c r="S139" s="62">
        <f ca="1">AVERAGE(OFFSET($R$3,0,0,'Données projet'!$E$9+1,1))-AVERAGE(OFFSET($H$3,0,0,'Données projet'!$E$9+1,1))</f>
        <v>411.98877330238821</v>
      </c>
      <c r="T139" s="62">
        <f t="shared" si="142"/>
        <v>256.4377087753457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0.16007132161175427</v>
      </c>
      <c r="AB139" s="23">
        <f>EXP(-LN(2)/2)*AB138+(1-EXP(-LN(2)/2))/(LN(2)/2)*V139*Y139*VLOOKUP('Données projet'!$B$9,Paramètres!$A$1:$I$89,3,0)*0.475*44/12</f>
        <v>1.5614202690500397E-15</v>
      </c>
      <c r="AC139" s="24">
        <f t="shared" si="111"/>
        <v>0.16007132161175583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-5.9412741393316544E-14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356.31271939877655</v>
      </c>
      <c r="AO139" s="62">
        <f t="shared" si="144"/>
        <v>499.70544707812991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2.1425366672103019</v>
      </c>
      <c r="AW139" s="23">
        <f>EXP(-LN(2)/2)*AW138+(1-EXP(-LN(2)/2))/(LN(2)/2)*AQ139*AT139*VLOOKUP('Données projet'!$B$10,Paramètres!$A$1:$I$89,3,0)*0.475*44/12</f>
        <v>2.1632734336148962E-15</v>
      </c>
      <c r="AX139" s="23">
        <f t="shared" si="114"/>
        <v>2.1425366672103041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195.30963433439501</v>
      </c>
      <c r="BJ139" s="62">
        <f t="shared" si="146"/>
        <v>185.00219255324504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-4.9658410716801891E-14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303.33040062722074</v>
      </c>
      <c r="CE139" s="62">
        <f t="shared" si="148"/>
        <v>425.30058672361548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1.7907769158772693</v>
      </c>
      <c r="CM139" s="23">
        <f>EXP(-LN(2)/2)*CM138+(1-EXP(-LN(2)/2))/(LN(2)/2)*CG139*CJ139*VLOOKUP('Données projet'!$B$12,Paramètres!$A$1:$I$89,3,0)*0.475*44/12</f>
        <v>1.808109138543793E-15</v>
      </c>
      <c r="CN139" s="24">
        <f t="shared" si="120"/>
        <v>1.7907769158772711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-5.3205440053716299E-14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396.92963589781414</v>
      </c>
      <c r="CZ139" s="62">
        <f t="shared" si="150"/>
        <v>294.38852181137639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1.1527845344971866E-13</v>
      </c>
      <c r="P140" s="14">
        <f t="shared" si="141"/>
        <v>1.7033846239409443E-12</v>
      </c>
      <c r="Q140" s="22">
        <f t="shared" si="108"/>
        <v>3.1675048597887374E-12</v>
      </c>
      <c r="R140" s="62">
        <f t="shared" si="109"/>
        <v>293.3333333333365</v>
      </c>
      <c r="S140" s="62">
        <f ca="1">AVERAGE(OFFSET($R$3,0,0,'Données projet'!$E$9+1,1))-AVERAGE(OFFSET($H$3,0,0,'Données projet'!$E$9+1,1))</f>
        <v>411.98877330238821</v>
      </c>
      <c r="T140" s="62">
        <f t="shared" si="142"/>
        <v>256.4377087753457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0.15569416290449589</v>
      </c>
      <c r="AB140" s="23">
        <f>EXP(-LN(2)/2)*AB139+(1-EXP(-LN(2)/2))/(LN(2)/2)*V140*Y140*VLOOKUP('Données projet'!$B$9,Paramètres!$A$1:$I$89,3,0)*0.475*44/12</f>
        <v>1.1040908605274066E-15</v>
      </c>
      <c r="AC140" s="24">
        <f t="shared" si="111"/>
        <v>0.155694162904497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-5.9412741393316544E-14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356.31271939877655</v>
      </c>
      <c r="AO140" s="62">
        <f t="shared" si="144"/>
        <v>499.70544707812991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2.0839488893743296</v>
      </c>
      <c r="AW140" s="23">
        <f>EXP(-LN(2)/2)*AW139+(1-EXP(-LN(2)/2))/(LN(2)/2)*AQ140*AT140*VLOOKUP('Données projet'!$B$10,Paramètres!$A$1:$I$89,3,0)*0.475*44/12</f>
        <v>1.5296653144697998E-15</v>
      </c>
      <c r="AX140" s="23">
        <f t="shared" si="114"/>
        <v>2.083948889374331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195.30963433439501</v>
      </c>
      <c r="BJ140" s="62">
        <f t="shared" si="146"/>
        <v>185.00219255324504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-4.9658410716801891E-14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303.33040062722074</v>
      </c>
      <c r="CE140" s="62">
        <f t="shared" si="148"/>
        <v>425.30058672361548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1.7418080269397402</v>
      </c>
      <c r="CM140" s="23">
        <f>EXP(-LN(2)/2)*CM139+(1-EXP(-LN(2)/2))/(LN(2)/2)*CG140*CJ140*VLOOKUP('Données projet'!$B$12,Paramètres!$A$1:$I$89,3,0)*0.475*44/12</f>
        <v>1.2785262329896828E-15</v>
      </c>
      <c r="CN140" s="24">
        <f t="shared" si="120"/>
        <v>1.7418080269397416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-5.3205440053716299E-14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396.92963589781414</v>
      </c>
      <c r="CZ140" s="62">
        <f t="shared" si="150"/>
        <v>294.38852181137639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1.1527845344971866E-13</v>
      </c>
      <c r="P141" s="14">
        <f t="shared" si="141"/>
        <v>1.7033846239409443E-12</v>
      </c>
      <c r="Q141" s="22">
        <f t="shared" si="108"/>
        <v>3.1675048597887374E-12</v>
      </c>
      <c r="R141" s="62">
        <f t="shared" si="109"/>
        <v>293.3333333333365</v>
      </c>
      <c r="S141" s="62">
        <f ca="1">AVERAGE(OFFSET($R$3,0,0,'Données projet'!$E$9+1,1))-AVERAGE(OFFSET($H$3,0,0,'Données projet'!$E$9+1,1))</f>
        <v>411.98877330238821</v>
      </c>
      <c r="T141" s="62">
        <f t="shared" si="142"/>
        <v>256.4377087753457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0.15143669783227226</v>
      </c>
      <c r="AB141" s="23">
        <f>EXP(-LN(2)/2)*AB140+(1-EXP(-LN(2)/2))/(LN(2)/2)*V141*Y141*VLOOKUP('Données projet'!$B$9,Paramètres!$A$1:$I$89,3,0)*0.475*44/12</f>
        <v>7.8071013452501984E-16</v>
      </c>
      <c r="AC141" s="24">
        <f t="shared" si="111"/>
        <v>0.15143669783227304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-5.9412741393316544E-14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356.31271939877655</v>
      </c>
      <c r="AO141" s="62">
        <f t="shared" si="144"/>
        <v>499.70544707812991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2.0269631974042794</v>
      </c>
      <c r="AW141" s="23">
        <f>EXP(-LN(2)/2)*AW140+(1-EXP(-LN(2)/2))/(LN(2)/2)*AQ141*AT141*VLOOKUP('Données projet'!$B$10,Paramètres!$A$1:$I$89,3,0)*0.475*44/12</f>
        <v>1.0816367168074481E-15</v>
      </c>
      <c r="AX141" s="23">
        <f t="shared" si="114"/>
        <v>2.0269631974042803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195.30963433439501</v>
      </c>
      <c r="BJ141" s="62">
        <f t="shared" si="146"/>
        <v>185.00219255324504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-4.9658410716801891E-14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303.33040062722074</v>
      </c>
      <c r="CE141" s="62">
        <f t="shared" si="148"/>
        <v>425.30058672361548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1.6941781948453698</v>
      </c>
      <c r="CM141" s="23">
        <f>EXP(-LN(2)/2)*CM140+(1-EXP(-LN(2)/2))/(LN(2)/2)*CG141*CJ141*VLOOKUP('Données projet'!$B$12,Paramètres!$A$1:$I$89,3,0)*0.475*44/12</f>
        <v>9.040545692718965E-16</v>
      </c>
      <c r="CN141" s="24">
        <f t="shared" si="120"/>
        <v>1.6941781948453707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-5.3205440053716299E-14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396.92963589781414</v>
      </c>
      <c r="CZ141" s="62">
        <f t="shared" si="150"/>
        <v>294.38852181137639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1.1527845344971866E-13</v>
      </c>
      <c r="P142" s="14">
        <f t="shared" si="141"/>
        <v>1.7033846239409443E-12</v>
      </c>
      <c r="Q142" s="22">
        <f t="shared" si="108"/>
        <v>3.1675048597887374E-12</v>
      </c>
      <c r="R142" s="62">
        <f t="shared" si="109"/>
        <v>293.3333333333365</v>
      </c>
      <c r="S142" s="62">
        <f ca="1">AVERAGE(OFFSET($R$3,0,0,'Données projet'!$E$9+1,1))-AVERAGE(OFFSET($H$3,0,0,'Données projet'!$E$9+1,1))</f>
        <v>411.98877330238821</v>
      </c>
      <c r="T142" s="62">
        <f t="shared" si="142"/>
        <v>256.4377087753457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0.14729565336633896</v>
      </c>
      <c r="AB142" s="23">
        <f>EXP(-LN(2)/2)*AB141+(1-EXP(-LN(2)/2))/(LN(2)/2)*V142*Y142*VLOOKUP('Données projet'!$B$9,Paramètres!$A$1:$I$89,3,0)*0.475*44/12</f>
        <v>5.5204543026370328E-16</v>
      </c>
      <c r="AC142" s="24">
        <f t="shared" si="111"/>
        <v>0.14729565336633951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-5.9412741393316544E-14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356.31271939877655</v>
      </c>
      <c r="AO142" s="62">
        <f t="shared" si="144"/>
        <v>499.70544707812991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1.9715357821778976</v>
      </c>
      <c r="AW142" s="23">
        <f>EXP(-LN(2)/2)*AW141+(1-EXP(-LN(2)/2))/(LN(2)/2)*AQ142*AT142*VLOOKUP('Données projet'!$B$10,Paramètres!$A$1:$I$89,3,0)*0.475*44/12</f>
        <v>7.648326572348999E-16</v>
      </c>
      <c r="AX142" s="23">
        <f t="shared" si="114"/>
        <v>1.9715357821778983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195.30963433439501</v>
      </c>
      <c r="BJ142" s="62">
        <f t="shared" si="146"/>
        <v>185.00219255324504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-4.9658410716801891E-14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303.33040062722074</v>
      </c>
      <c r="CE142" s="62">
        <f t="shared" si="148"/>
        <v>425.30058672361548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1.6478508030143639</v>
      </c>
      <c r="CM142" s="23">
        <f>EXP(-LN(2)/2)*CM141+(1-EXP(-LN(2)/2))/(LN(2)/2)*CG142*CJ142*VLOOKUP('Données projet'!$B$12,Paramètres!$A$1:$I$89,3,0)*0.475*44/12</f>
        <v>6.3926311649484141E-16</v>
      </c>
      <c r="CN142" s="24">
        <f t="shared" si="120"/>
        <v>1.6478508030143646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-5.3205440053716299E-14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396.92963589781414</v>
      </c>
      <c r="CZ142" s="62">
        <f t="shared" si="150"/>
        <v>294.38852181137639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1.1527845344971866E-13</v>
      </c>
      <c r="P143" s="14">
        <f t="shared" si="141"/>
        <v>1.7033846239409443E-12</v>
      </c>
      <c r="Q143" s="22">
        <f t="shared" si="108"/>
        <v>3.1675048597887374E-12</v>
      </c>
      <c r="R143" s="62">
        <f t="shared" si="109"/>
        <v>293.3333333333365</v>
      </c>
      <c r="S143" s="62">
        <f ca="1">AVERAGE(OFFSET($R$3,0,0,'Données projet'!$E$9+1,1))-AVERAGE(OFFSET($H$3,0,0,'Données projet'!$E$9+1,1))</f>
        <v>411.98877330238821</v>
      </c>
      <c r="T143" s="62">
        <f t="shared" si="142"/>
        <v>256.4377087753457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0.14326784597909464</v>
      </c>
      <c r="AB143" s="23">
        <f>EXP(-LN(2)/2)*AB142+(1-EXP(-LN(2)/2))/(LN(2)/2)*V143*Y143*VLOOKUP('Données projet'!$B$9,Paramètres!$A$1:$I$89,3,0)*0.475*44/12</f>
        <v>3.9035506726250992E-16</v>
      </c>
      <c r="AC143" s="24">
        <f t="shared" si="111"/>
        <v>0.14326784597909503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-5.9412741393316544E-14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356.31271939877655</v>
      </c>
      <c r="AO143" s="62">
        <f t="shared" si="144"/>
        <v>499.70544707812991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1.9176240325356821</v>
      </c>
      <c r="AW143" s="23">
        <f>EXP(-LN(2)/2)*AW142+(1-EXP(-LN(2)/2))/(LN(2)/2)*AQ143*AT143*VLOOKUP('Données projet'!$B$10,Paramètres!$A$1:$I$89,3,0)*0.475*44/12</f>
        <v>5.4081835840372406E-16</v>
      </c>
      <c r="AX143" s="23">
        <f t="shared" si="114"/>
        <v>1.9176240325356826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195.30963433439501</v>
      </c>
      <c r="BJ143" s="62">
        <f t="shared" si="146"/>
        <v>185.00219255324504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-4.9658410716801891E-14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303.33040062722074</v>
      </c>
      <c r="CE143" s="62">
        <f t="shared" si="148"/>
        <v>425.30058672361548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1.6027902361492286</v>
      </c>
      <c r="CM143" s="23">
        <f>EXP(-LN(2)/2)*CM142+(1-EXP(-LN(2)/2))/(LN(2)/2)*CG143*CJ143*VLOOKUP('Données projet'!$B$12,Paramètres!$A$1:$I$89,3,0)*0.475*44/12</f>
        <v>4.5202728463594825E-16</v>
      </c>
      <c r="CN143" s="24">
        <f t="shared" si="120"/>
        <v>1.602790236149229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-5.3205440053716299E-14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396.92963589781414</v>
      </c>
      <c r="CZ143" s="62">
        <f t="shared" si="150"/>
        <v>294.38852181137639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1.1527845344971866E-13</v>
      </c>
      <c r="P144" s="14">
        <f t="shared" si="141"/>
        <v>1.7033846239409443E-12</v>
      </c>
      <c r="Q144" s="22">
        <f t="shared" si="108"/>
        <v>3.1675048597887374E-12</v>
      </c>
      <c r="R144" s="62">
        <f t="shared" si="109"/>
        <v>293.3333333333365</v>
      </c>
      <c r="S144" s="62">
        <f ca="1">AVERAGE(OFFSET($R$3,0,0,'Données projet'!$E$9+1,1))-AVERAGE(OFFSET($H$3,0,0,'Données projet'!$E$9+1,1))</f>
        <v>411.98877330238821</v>
      </c>
      <c r="T144" s="62">
        <f t="shared" si="142"/>
        <v>256.4377087753457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0.13935017919666773</v>
      </c>
      <c r="AB144" s="23">
        <f>EXP(-LN(2)/2)*AB143+(1-EXP(-LN(2)/2))/(LN(2)/2)*V144*Y144*VLOOKUP('Données projet'!$B$9,Paramètres!$A$1:$I$89,3,0)*0.475*44/12</f>
        <v>2.7602271513185164E-16</v>
      </c>
      <c r="AC144" s="24">
        <f t="shared" si="111"/>
        <v>0.13935017919666801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-5.9412741393316544E-14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356.31271939877655</v>
      </c>
      <c r="AO144" s="62">
        <f t="shared" si="144"/>
        <v>499.70544707812991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1.8651865025225289</v>
      </c>
      <c r="AW144" s="23">
        <f>EXP(-LN(2)/2)*AW143+(1-EXP(-LN(2)/2))/(LN(2)/2)*AQ144*AT144*VLOOKUP('Données projet'!$B$10,Paramètres!$A$1:$I$89,3,0)*0.475*44/12</f>
        <v>3.8241632861744995E-16</v>
      </c>
      <c r="AX144" s="23">
        <f t="shared" si="114"/>
        <v>1.8651865025225294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195.30963433439501</v>
      </c>
      <c r="BJ144" s="62">
        <f t="shared" si="146"/>
        <v>185.00219255324504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-4.9658410716801891E-14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303.33040062722074</v>
      </c>
      <c r="CE144" s="62">
        <f t="shared" si="148"/>
        <v>425.30058672361548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1.5589618528546525</v>
      </c>
      <c r="CM144" s="23">
        <f>EXP(-LN(2)/2)*CM143+(1-EXP(-LN(2)/2))/(LN(2)/2)*CG144*CJ144*VLOOKUP('Données projet'!$B$12,Paramètres!$A$1:$I$89,3,0)*0.475*44/12</f>
        <v>3.1963155824742071E-16</v>
      </c>
      <c r="CN144" s="24">
        <f t="shared" si="120"/>
        <v>1.5589618528546527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-5.3205440053716299E-14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396.92963589781414</v>
      </c>
      <c r="CZ144" s="62">
        <f t="shared" si="150"/>
        <v>294.38852181137639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1.1527845344971866E-13</v>
      </c>
      <c r="P145" s="14">
        <f t="shared" si="141"/>
        <v>1.7033846239409443E-12</v>
      </c>
      <c r="Q145" s="22">
        <f t="shared" si="108"/>
        <v>3.1675048597887374E-12</v>
      </c>
      <c r="R145" s="62">
        <f t="shared" si="109"/>
        <v>293.3333333333365</v>
      </c>
      <c r="S145" s="62">
        <f ca="1">AVERAGE(OFFSET($R$3,0,0,'Données projet'!$E$9+1,1))-AVERAGE(OFFSET($H$3,0,0,'Données projet'!$E$9+1,1))</f>
        <v>411.98877330238821</v>
      </c>
      <c r="T145" s="62">
        <f t="shared" si="142"/>
        <v>256.4377087753457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0.1355396412184274</v>
      </c>
      <c r="AB145" s="23">
        <f>EXP(-LN(2)/2)*AB144+(1-EXP(-LN(2)/2))/(LN(2)/2)*V145*Y145*VLOOKUP('Données projet'!$B$9,Paramètres!$A$1:$I$89,3,0)*0.475*44/12</f>
        <v>1.9517753363125496E-16</v>
      </c>
      <c r="AC145" s="24">
        <f t="shared" si="111"/>
        <v>0.1355396412184276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-5.9412741393316544E-14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356.31271939877655</v>
      </c>
      <c r="AO145" s="62">
        <f t="shared" si="144"/>
        <v>499.70544707812991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1.8141828795251551</v>
      </c>
      <c r="AW145" s="23">
        <f>EXP(-LN(2)/2)*AW144+(1-EXP(-LN(2)/2))/(LN(2)/2)*AQ145*AT145*VLOOKUP('Données projet'!$B$10,Paramètres!$A$1:$I$89,3,0)*0.475*44/12</f>
        <v>2.7040917920186203E-16</v>
      </c>
      <c r="AX145" s="23">
        <f t="shared" si="114"/>
        <v>1.8141828795251553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195.30963433439501</v>
      </c>
      <c r="BJ145" s="62">
        <f t="shared" si="146"/>
        <v>185.00219255324504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-4.9658410716801891E-14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303.33040062722074</v>
      </c>
      <c r="CE145" s="62">
        <f t="shared" si="148"/>
        <v>425.30058672361548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1.5163319590061013</v>
      </c>
      <c r="CM145" s="23">
        <f>EXP(-LN(2)/2)*CM144+(1-EXP(-LN(2)/2))/(LN(2)/2)*CG145*CJ145*VLOOKUP('Données projet'!$B$12,Paramètres!$A$1:$I$89,3,0)*0.475*44/12</f>
        <v>2.2601364231797413E-16</v>
      </c>
      <c r="CN145" s="24">
        <f t="shared" si="120"/>
        <v>1.5163319590061015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-5.3205440053716299E-14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396.92963589781414</v>
      </c>
      <c r="CZ145" s="62">
        <f t="shared" si="150"/>
        <v>294.38852181137639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1.1527845344971866E-13</v>
      </c>
      <c r="P146" s="14">
        <f t="shared" si="141"/>
        <v>1.7033846239409443E-12</v>
      </c>
      <c r="Q146" s="22">
        <f t="shared" si="108"/>
        <v>3.1675048597887374E-12</v>
      </c>
      <c r="R146" s="62">
        <f t="shared" si="109"/>
        <v>293.3333333333365</v>
      </c>
      <c r="S146" s="62">
        <f ca="1">AVERAGE(OFFSET($R$3,0,0,'Données projet'!$E$9+1,1))-AVERAGE(OFFSET($H$3,0,0,'Données projet'!$E$9+1,1))</f>
        <v>411.98877330238821</v>
      </c>
      <c r="T146" s="62">
        <f t="shared" si="142"/>
        <v>256.4377087753457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0.13183330260158954</v>
      </c>
      <c r="AB146" s="23">
        <f>EXP(-LN(2)/2)*AB145+(1-EXP(-LN(2)/2))/(LN(2)/2)*V146*Y146*VLOOKUP('Données projet'!$B$9,Paramètres!$A$1:$I$89,3,0)*0.475*44/12</f>
        <v>1.3801135756592582E-16</v>
      </c>
      <c r="AC146" s="24">
        <f t="shared" si="111"/>
        <v>0.13183330260158968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-5.9412741393316544E-14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356.31271939877655</v>
      </c>
      <c r="AO146" s="62">
        <f t="shared" si="144"/>
        <v>499.70544707812991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1.7645739532808085</v>
      </c>
      <c r="AW146" s="23">
        <f>EXP(-LN(2)/2)*AW145+(1-EXP(-LN(2)/2))/(LN(2)/2)*AQ146*AT146*VLOOKUP('Données projet'!$B$10,Paramètres!$A$1:$I$89,3,0)*0.475*44/12</f>
        <v>1.9120816430872498E-16</v>
      </c>
      <c r="AX146" s="23">
        <f t="shared" si="114"/>
        <v>1.7645739532808087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195.30963433439501</v>
      </c>
      <c r="BJ146" s="62">
        <f t="shared" si="146"/>
        <v>185.00219255324504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-4.9658410716801891E-14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303.33040062722074</v>
      </c>
      <c r="CE146" s="62">
        <f t="shared" si="148"/>
        <v>425.30058672361548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1.4748677818466474</v>
      </c>
      <c r="CM146" s="23">
        <f>EXP(-LN(2)/2)*CM145+(1-EXP(-LN(2)/2))/(LN(2)/2)*CG146*CJ146*VLOOKUP('Données projet'!$B$12,Paramètres!$A$1:$I$89,3,0)*0.475*44/12</f>
        <v>1.5981577912371035E-16</v>
      </c>
      <c r="CN146" s="24">
        <f t="shared" si="120"/>
        <v>1.4748677818466476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-5.3205440053716299E-14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396.92963589781414</v>
      </c>
      <c r="CZ146" s="62">
        <f t="shared" si="150"/>
        <v>294.38852181137639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1.1527845344971866E-13</v>
      </c>
      <c r="P147" s="14">
        <f t="shared" si="141"/>
        <v>1.7033846239409443E-12</v>
      </c>
      <c r="Q147" s="22">
        <f t="shared" si="108"/>
        <v>3.1675048597887374E-12</v>
      </c>
      <c r="R147" s="62">
        <f t="shared" si="109"/>
        <v>293.3333333333365</v>
      </c>
      <c r="S147" s="62">
        <f ca="1">AVERAGE(OFFSET($R$3,0,0,'Données projet'!$E$9+1,1))-AVERAGE(OFFSET($H$3,0,0,'Données projet'!$E$9+1,1))</f>
        <v>411.98877330238821</v>
      </c>
      <c r="T147" s="62">
        <f t="shared" si="142"/>
        <v>256.4377087753457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0.12822831400913701</v>
      </c>
      <c r="AB147" s="23">
        <f>EXP(-LN(2)/2)*AB146+(1-EXP(-LN(2)/2))/(LN(2)/2)*V147*Y147*VLOOKUP('Données projet'!$B$9,Paramètres!$A$1:$I$89,3,0)*0.475*44/12</f>
        <v>9.758876681562748E-17</v>
      </c>
      <c r="AC147" s="24">
        <f t="shared" si="111"/>
        <v>0.12822831400913712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-5.9412741393316544E-14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356.31271939877655</v>
      </c>
      <c r="AO147" s="62">
        <f t="shared" si="144"/>
        <v>499.70544707812991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1.7163215857334335</v>
      </c>
      <c r="AW147" s="23">
        <f>EXP(-LN(2)/2)*AW146+(1-EXP(-LN(2)/2))/(LN(2)/2)*AQ147*AT147*VLOOKUP('Données projet'!$B$10,Paramètres!$A$1:$I$89,3,0)*0.475*44/12</f>
        <v>1.3520458960093102E-16</v>
      </c>
      <c r="AX147" s="23">
        <f t="shared" si="114"/>
        <v>1.7163215857334337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195.30963433439501</v>
      </c>
      <c r="BJ147" s="62">
        <f t="shared" si="146"/>
        <v>185.00219255324504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-4.9658410716801891E-14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303.33040062722074</v>
      </c>
      <c r="CE147" s="62">
        <f t="shared" si="148"/>
        <v>425.30058672361548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1.4345374447921251</v>
      </c>
      <c r="CM147" s="23">
        <f>EXP(-LN(2)/2)*CM146+(1-EXP(-LN(2)/2))/(LN(2)/2)*CG147*CJ147*VLOOKUP('Données projet'!$B$12,Paramètres!$A$1:$I$89,3,0)*0.475*44/12</f>
        <v>1.1300682115898706E-16</v>
      </c>
      <c r="CN147" s="24">
        <f t="shared" si="120"/>
        <v>1.4345374447921253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-5.3205440053716299E-14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396.92963589781414</v>
      </c>
      <c r="CZ147" s="62">
        <f t="shared" si="150"/>
        <v>294.38852181137639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1.1527845344971866E-13</v>
      </c>
      <c r="P148" s="14">
        <f t="shared" si="141"/>
        <v>1.7033846239409443E-12</v>
      </c>
      <c r="Q148" s="22">
        <f t="shared" si="108"/>
        <v>3.1675048597887374E-12</v>
      </c>
      <c r="R148" s="62">
        <f t="shared" si="109"/>
        <v>293.3333333333365</v>
      </c>
      <c r="S148" s="62">
        <f ca="1">AVERAGE(OFFSET($R$3,0,0,'Données projet'!$E$9+1,1))-AVERAGE(OFFSET($H$3,0,0,'Données projet'!$E$9+1,1))</f>
        <v>411.98877330238821</v>
      </c>
      <c r="T148" s="62">
        <f t="shared" si="142"/>
        <v>256.4377087753457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0.12472190401932319</v>
      </c>
      <c r="AB148" s="23">
        <f>EXP(-LN(2)/2)*AB147+(1-EXP(-LN(2)/2))/(LN(2)/2)*V148*Y148*VLOOKUP('Données projet'!$B$9,Paramètres!$A$1:$I$89,3,0)*0.475*44/12</f>
        <v>6.9005678782962911E-17</v>
      </c>
      <c r="AC148" s="24">
        <f t="shared" si="111"/>
        <v>0.12472190401932326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-5.9412741393316544E-14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356.31271939877655</v>
      </c>
      <c r="AO148" s="62">
        <f t="shared" si="144"/>
        <v>499.70544707812991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1.6693886817141232</v>
      </c>
      <c r="AW148" s="23">
        <f>EXP(-LN(2)/2)*AW147+(1-EXP(-LN(2)/2))/(LN(2)/2)*AQ148*AT148*VLOOKUP('Données projet'!$B$10,Paramètres!$A$1:$I$89,3,0)*0.475*44/12</f>
        <v>9.5604082154362488E-17</v>
      </c>
      <c r="AX148" s="23">
        <f t="shared" si="114"/>
        <v>1.6693886817141232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195.30963433439501</v>
      </c>
      <c r="BJ148" s="62">
        <f t="shared" si="146"/>
        <v>185.00219255324504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-4.9658410716801891E-14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303.33040062722074</v>
      </c>
      <c r="CE148" s="62">
        <f t="shared" si="148"/>
        <v>425.30058672361548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1.3953099429252389</v>
      </c>
      <c r="CM148" s="23">
        <f>EXP(-LN(2)/2)*CM147+(1-EXP(-LN(2)/2))/(LN(2)/2)*CG148*CJ148*VLOOKUP('Données projet'!$B$12,Paramètres!$A$1:$I$89,3,0)*0.475*44/12</f>
        <v>7.9907889561855176E-17</v>
      </c>
      <c r="CN148" s="24">
        <f t="shared" si="120"/>
        <v>1.3953099429252389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-5.3205440053716299E-14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396.92963589781414</v>
      </c>
      <c r="CZ148" s="62">
        <f t="shared" si="150"/>
        <v>294.38852181137639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1.1527845344971866E-13</v>
      </c>
      <c r="P149" s="14">
        <f t="shared" si="141"/>
        <v>1.7033846239409443E-12</v>
      </c>
      <c r="Q149" s="22">
        <f t="shared" si="108"/>
        <v>3.1675048597887374E-12</v>
      </c>
      <c r="R149" s="62">
        <f t="shared" si="109"/>
        <v>293.3333333333365</v>
      </c>
      <c r="S149" s="62">
        <f ca="1">AVERAGE(OFFSET($R$3,0,0,'Données projet'!$E$9+1,1))-AVERAGE(OFFSET($H$3,0,0,'Données projet'!$E$9+1,1))</f>
        <v>411.98877330238821</v>
      </c>
      <c r="T149" s="62">
        <f t="shared" si="142"/>
        <v>256.4377087753457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0.12131137699507492</v>
      </c>
      <c r="AB149" s="23">
        <f>EXP(-LN(2)/2)*AB148+(1-EXP(-LN(2)/2))/(LN(2)/2)*V149*Y149*VLOOKUP('Données projet'!$B$9,Paramètres!$A$1:$I$89,3,0)*0.475*44/12</f>
        <v>4.879438340781374E-17</v>
      </c>
      <c r="AC149" s="24">
        <f t="shared" si="111"/>
        <v>0.12131137699507498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-5.9412741393316544E-14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356.31271939877655</v>
      </c>
      <c r="AO149" s="62">
        <f t="shared" si="144"/>
        <v>499.70544707812991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1.6237391604233151</v>
      </c>
      <c r="AW149" s="23">
        <f>EXP(-LN(2)/2)*AW148+(1-EXP(-LN(2)/2))/(LN(2)/2)*AQ149*AT149*VLOOKUP('Données projet'!$B$10,Paramètres!$A$1:$I$89,3,0)*0.475*44/12</f>
        <v>6.7602294800465508E-17</v>
      </c>
      <c r="AX149" s="23">
        <f t="shared" si="114"/>
        <v>1.6237391604233151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195.30963433439501</v>
      </c>
      <c r="BJ149" s="62">
        <f t="shared" si="146"/>
        <v>185.00219255324504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-4.9658410716801891E-14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303.33040062722074</v>
      </c>
      <c r="CE149" s="62">
        <f t="shared" si="148"/>
        <v>425.30058672361548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1.3571551191597875</v>
      </c>
      <c r="CM149" s="23">
        <f>EXP(-LN(2)/2)*CM148+(1-EXP(-LN(2)/2))/(LN(2)/2)*CG149*CJ149*VLOOKUP('Données projet'!$B$12,Paramètres!$A$1:$I$89,3,0)*0.475*44/12</f>
        <v>5.6503410579493532E-17</v>
      </c>
      <c r="CN149" s="24">
        <f t="shared" si="120"/>
        <v>1.3571551191597875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-5.3205440053716299E-14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396.92963589781414</v>
      </c>
      <c r="CZ149" s="62">
        <f t="shared" si="150"/>
        <v>294.38852181137639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1.1527845344971866E-13</v>
      </c>
      <c r="P150" s="14">
        <f t="shared" si="141"/>
        <v>1.7033846239409443E-12</v>
      </c>
      <c r="Q150" s="22">
        <f t="shared" si="108"/>
        <v>3.1675048597887374E-12</v>
      </c>
      <c r="R150" s="62">
        <f t="shared" si="109"/>
        <v>293.3333333333365</v>
      </c>
      <c r="S150" s="62">
        <f ca="1">AVERAGE(OFFSET($R$3,0,0,'Données projet'!$E$9+1,1))-AVERAGE(OFFSET($H$3,0,0,'Données projet'!$E$9+1,1))</f>
        <v>411.98877330238821</v>
      </c>
      <c r="T150" s="62">
        <f t="shared" si="142"/>
        <v>256.4377087753457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0.11799411101165655</v>
      </c>
      <c r="AB150" s="23">
        <f>EXP(-LN(2)/2)*AB149+(1-EXP(-LN(2)/2))/(LN(2)/2)*V150*Y150*VLOOKUP('Données projet'!$B$9,Paramètres!$A$1:$I$89,3,0)*0.475*44/12</f>
        <v>3.4502839391481455E-17</v>
      </c>
      <c r="AC150" s="24">
        <f t="shared" si="111"/>
        <v>0.11799411101165658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-5.9412741393316544E-14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356.31271939877655</v>
      </c>
      <c r="AO150" s="62">
        <f t="shared" si="144"/>
        <v>499.70544707812991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1.5793379276928081</v>
      </c>
      <c r="AW150" s="23">
        <f>EXP(-LN(2)/2)*AW149+(1-EXP(-LN(2)/2))/(LN(2)/2)*AQ150*AT150*VLOOKUP('Données projet'!$B$10,Paramètres!$A$1:$I$89,3,0)*0.475*44/12</f>
        <v>4.7802041077181244E-17</v>
      </c>
      <c r="AX150" s="23">
        <f t="shared" si="114"/>
        <v>1.5793379276928081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195.30963433439501</v>
      </c>
      <c r="BJ150" s="62">
        <f t="shared" si="146"/>
        <v>185.00219255324504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-4.9658410716801891E-14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303.33040062722074</v>
      </c>
      <c r="CE150" s="62">
        <f t="shared" si="148"/>
        <v>425.30058672361548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1.3200436410566772</v>
      </c>
      <c r="CM150" s="23">
        <f>EXP(-LN(2)/2)*CM149+(1-EXP(-LN(2)/2))/(LN(2)/2)*CG150*CJ150*VLOOKUP('Données projet'!$B$12,Paramètres!$A$1:$I$89,3,0)*0.475*44/12</f>
        <v>3.9953944780927588E-17</v>
      </c>
      <c r="CN150" s="24">
        <f t="shared" si="120"/>
        <v>1.3200436410566772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-5.3205440053716299E-14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396.92963589781414</v>
      </c>
      <c r="CZ150" s="62">
        <f t="shared" si="150"/>
        <v>294.38852181137639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1.1527845344971866E-13</v>
      </c>
      <c r="P151" s="14">
        <f t="shared" si="141"/>
        <v>1.7033846239409443E-12</v>
      </c>
      <c r="Q151" s="22">
        <f t="shared" si="108"/>
        <v>3.1675048597887374E-12</v>
      </c>
      <c r="R151" s="62">
        <f t="shared" si="109"/>
        <v>293.3333333333365</v>
      </c>
      <c r="S151" s="62">
        <f ca="1">AVERAGE(OFFSET($R$3,0,0,'Données projet'!$E$9+1,1))-AVERAGE(OFFSET($H$3,0,0,'Données projet'!$E$9+1,1))</f>
        <v>411.98877330238821</v>
      </c>
      <c r="T151" s="62">
        <f t="shared" si="142"/>
        <v>256.4377087753457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0.11476755584100218</v>
      </c>
      <c r="AB151" s="23">
        <f>EXP(-LN(2)/2)*AB150+(1-EXP(-LN(2)/2))/(LN(2)/2)*V151*Y151*VLOOKUP('Données projet'!$B$9,Paramètres!$A$1:$I$89,3,0)*0.475*44/12</f>
        <v>2.439719170390687E-17</v>
      </c>
      <c r="AC151" s="24">
        <f t="shared" si="111"/>
        <v>0.11476755584100221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-5.9412741393316544E-14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356.31271939877655</v>
      </c>
      <c r="AO151" s="62">
        <f t="shared" si="144"/>
        <v>499.70544707812991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1.5361508490062763</v>
      </c>
      <c r="AW151" s="23">
        <f>EXP(-LN(2)/2)*AW150+(1-EXP(-LN(2)/2))/(LN(2)/2)*AQ151*AT151*VLOOKUP('Données projet'!$B$10,Paramètres!$A$1:$I$89,3,0)*0.475*44/12</f>
        <v>3.3801147400232754E-17</v>
      </c>
      <c r="AX151" s="23">
        <f t="shared" si="114"/>
        <v>1.5361508490062763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195.30963433439501</v>
      </c>
      <c r="BJ151" s="62">
        <f t="shared" si="146"/>
        <v>185.00219255324504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-4.9658410716801891E-14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303.33040062722074</v>
      </c>
      <c r="CE151" s="62">
        <f t="shared" si="148"/>
        <v>425.30058672361548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1.2839469782739041</v>
      </c>
      <c r="CM151" s="23">
        <f>EXP(-LN(2)/2)*CM150+(1-EXP(-LN(2)/2))/(LN(2)/2)*CG151*CJ151*VLOOKUP('Données projet'!$B$12,Paramètres!$A$1:$I$89,3,0)*0.475*44/12</f>
        <v>2.8251705289746766E-17</v>
      </c>
      <c r="CN151" s="24">
        <f t="shared" si="120"/>
        <v>1.2839469782739041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-5.3205440053716299E-14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396.92963589781414</v>
      </c>
      <c r="CZ151" s="62">
        <f t="shared" si="150"/>
        <v>294.38852181137639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1.1527845344971866E-13</v>
      </c>
      <c r="P152" s="14">
        <f t="shared" si="141"/>
        <v>1.7033846239409443E-12</v>
      </c>
      <c r="Q152" s="22">
        <f t="shared" si="108"/>
        <v>3.1675048597887374E-12</v>
      </c>
      <c r="R152" s="62">
        <f t="shared" si="109"/>
        <v>293.3333333333365</v>
      </c>
      <c r="S152" s="62">
        <f ca="1">AVERAGE(OFFSET($R$3,0,0,'Données projet'!$E$9+1,1))-AVERAGE(OFFSET($H$3,0,0,'Données projet'!$E$9+1,1))</f>
        <v>411.98877330238821</v>
      </c>
      <c r="T152" s="62">
        <f t="shared" si="142"/>
        <v>256.4377087753457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0.11162923099116652</v>
      </c>
      <c r="AB152" s="23">
        <f>EXP(-LN(2)/2)*AB151+(1-EXP(-LN(2)/2))/(LN(2)/2)*V152*Y152*VLOOKUP('Données projet'!$B$9,Paramètres!$A$1:$I$89,3,0)*0.475*44/12</f>
        <v>1.7251419695740728E-17</v>
      </c>
      <c r="AC152" s="24">
        <f t="shared" si="111"/>
        <v>0.11162923099116653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-5.9412741393316544E-14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356.31271939877655</v>
      </c>
      <c r="AO152" s="62">
        <f t="shared" si="144"/>
        <v>499.70544707812991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1.4941447232575373</v>
      </c>
      <c r="AW152" s="23">
        <f>EXP(-LN(2)/2)*AW151+(1-EXP(-LN(2)/2))/(LN(2)/2)*AQ152*AT152*VLOOKUP('Données projet'!$B$10,Paramètres!$A$1:$I$89,3,0)*0.475*44/12</f>
        <v>2.3901020538590622E-17</v>
      </c>
      <c r="AX152" s="23">
        <f t="shared" si="114"/>
        <v>1.4941447232575373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195.30963433439501</v>
      </c>
      <c r="BJ152" s="62">
        <f t="shared" si="146"/>
        <v>185.00219255324504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-4.9658410716801891E-14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303.33040062722074</v>
      </c>
      <c r="CE152" s="62">
        <f t="shared" si="148"/>
        <v>425.30058672361548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1.2488373806331672</v>
      </c>
      <c r="CM152" s="23">
        <f>EXP(-LN(2)/2)*CM151+(1-EXP(-LN(2)/2))/(LN(2)/2)*CG152*CJ152*VLOOKUP('Données projet'!$B$12,Paramètres!$A$1:$I$89,3,0)*0.475*44/12</f>
        <v>1.9976972390463794E-17</v>
      </c>
      <c r="CN152" s="24">
        <f t="shared" si="120"/>
        <v>1.2488373806331672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-5.3205440053716299E-14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396.92963589781414</v>
      </c>
      <c r="CZ152" s="62">
        <f t="shared" si="150"/>
        <v>294.38852181137639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1.1527845344971866E-13</v>
      </c>
      <c r="P153" s="14">
        <f t="shared" si="141"/>
        <v>1.7033846239409443E-12</v>
      </c>
      <c r="Q153" s="22">
        <f t="shared" si="108"/>
        <v>3.1675048597887374E-12</v>
      </c>
      <c r="R153" s="62">
        <f t="shared" si="109"/>
        <v>293.3333333333365</v>
      </c>
      <c r="S153" s="62">
        <f ca="1">AVERAGE(OFFSET($R$3,0,0,'Données projet'!$E$9+1,1))-AVERAGE(OFFSET($H$3,0,0,'Données projet'!$E$9+1,1))</f>
        <v>411.98877330238821</v>
      </c>
      <c r="T153" s="62">
        <f t="shared" si="142"/>
        <v>256.4377087753457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0.10857672379938695</v>
      </c>
      <c r="AB153" s="23">
        <f>EXP(-LN(2)/2)*AB152+(1-EXP(-LN(2)/2))/(LN(2)/2)*V153*Y153*VLOOKUP('Données projet'!$B$9,Paramètres!$A$1:$I$89,3,0)*0.475*44/12</f>
        <v>1.2198595851953435E-17</v>
      </c>
      <c r="AC153" s="24">
        <f t="shared" si="111"/>
        <v>0.10857672379938696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-5.9412741393316544E-14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356.31271939877655</v>
      </c>
      <c r="AO153" s="62">
        <f t="shared" si="144"/>
        <v>499.70544707812991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1.453287257226404</v>
      </c>
      <c r="AW153" s="23">
        <f>EXP(-LN(2)/2)*AW152+(1-EXP(-LN(2)/2))/(LN(2)/2)*AQ153*AT153*VLOOKUP('Données projet'!$B$10,Paramètres!$A$1:$I$89,3,0)*0.475*44/12</f>
        <v>1.6900573700116377E-17</v>
      </c>
      <c r="AX153" s="23">
        <f t="shared" si="114"/>
        <v>1.453287257226404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195.30963433439501</v>
      </c>
      <c r="BJ153" s="62">
        <f t="shared" si="146"/>
        <v>185.00219255324504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-4.9658410716801891E-14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303.33040062722074</v>
      </c>
      <c r="CE153" s="62">
        <f t="shared" si="148"/>
        <v>425.30058672361548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1.2146878567862496</v>
      </c>
      <c r="CM153" s="23">
        <f>EXP(-LN(2)/2)*CM152+(1-EXP(-LN(2)/2))/(LN(2)/2)*CG153*CJ153*VLOOKUP('Données projet'!$B$12,Paramètres!$A$1:$I$89,3,0)*0.475*44/12</f>
        <v>1.4125852644873383E-17</v>
      </c>
      <c r="CN153" s="24">
        <f t="shared" si="120"/>
        <v>1.2146878567862496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-5.3205440053716299E-14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396.92963589781414</v>
      </c>
      <c r="CZ153" s="62">
        <f t="shared" si="150"/>
        <v>294.38852181137639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1.1527845344971866E-13</v>
      </c>
      <c r="P154" s="14">
        <f t="shared" si="141"/>
        <v>1.7033846239409443E-12</v>
      </c>
      <c r="Q154" s="22">
        <f t="shared" ref="Q154:Q203" si="162">(O154+P154)*0.475*44/12</f>
        <v>3.1675048597887374E-12</v>
      </c>
      <c r="R154" s="62">
        <f t="shared" si="109"/>
        <v>293.3333333333365</v>
      </c>
      <c r="S154" s="62">
        <f ca="1">AVERAGE(OFFSET($R$3,0,0,'Données projet'!$E$9+1,1))-AVERAGE(OFFSET($H$3,0,0,'Données projet'!$E$9+1,1))</f>
        <v>411.98877330238821</v>
      </c>
      <c r="T154" s="62">
        <f t="shared" si="142"/>
        <v>256.4377087753457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0.10560768757729096</v>
      </c>
      <c r="AB154" s="23">
        <f>EXP(-LN(2)/2)*AB153+(1-EXP(-LN(2)/2))/(LN(2)/2)*V154*Y154*VLOOKUP('Données projet'!$B$9,Paramètres!$A$1:$I$89,3,0)*0.475*44/12</f>
        <v>8.6257098478703638E-18</v>
      </c>
      <c r="AC154" s="24">
        <f t="shared" ref="AC154:AC203" si="163">SUM(Z154:AB154)</f>
        <v>0.10560768757729097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-5.9412741393316544E-14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356.31271939877655</v>
      </c>
      <c r="AO154" s="62">
        <f t="shared" si="144"/>
        <v>499.70544707812991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1.4135470407524926</v>
      </c>
      <c r="AW154" s="23">
        <f>EXP(-LN(2)/2)*AW153+(1-EXP(-LN(2)/2))/(LN(2)/2)*AQ154*AT154*VLOOKUP('Données projet'!$B$10,Paramètres!$A$1:$I$89,3,0)*0.475*44/12</f>
        <v>1.1950510269295311E-17</v>
      </c>
      <c r="AX154" s="23">
        <f t="shared" ref="AX154:AX203" si="166">SUM(AU154:AW154)</f>
        <v>1.4135470407524926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195.30963433439501</v>
      </c>
      <c r="BJ154" s="62">
        <f t="shared" si="146"/>
        <v>185.00219255324504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-4.9658410716801891E-14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303.33040062722074</v>
      </c>
      <c r="CE154" s="62">
        <f t="shared" si="148"/>
        <v>425.30058672361548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1.1814721534647714</v>
      </c>
      <c r="CM154" s="23">
        <f>EXP(-LN(2)/2)*CM153+(1-EXP(-LN(2)/2))/(LN(2)/2)*CG154*CJ154*VLOOKUP('Données projet'!$B$12,Paramètres!$A$1:$I$89,3,0)*0.475*44/12</f>
        <v>9.988486195231897E-18</v>
      </c>
      <c r="CN154" s="24">
        <f t="shared" ref="CN154:CN203" si="172">SUM(CK154:CM154)</f>
        <v>1.1814721534647714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-5.3205440053716299E-14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396.92963589781414</v>
      </c>
      <c r="CZ154" s="62">
        <f t="shared" si="150"/>
        <v>294.38852181137639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1.1527845344971866E-13</v>
      </c>
      <c r="P155" s="14">
        <f t="shared" si="141"/>
        <v>1.7033846239409443E-12</v>
      </c>
      <c r="Q155" s="22">
        <f t="shared" si="162"/>
        <v>3.1675048597887374E-12</v>
      </c>
      <c r="R155" s="62">
        <f t="shared" si="109"/>
        <v>293.3333333333365</v>
      </c>
      <c r="S155" s="62">
        <f ca="1">AVERAGE(OFFSET($R$3,0,0,'Données projet'!$E$9+1,1))-AVERAGE(OFFSET($H$3,0,0,'Données projet'!$E$9+1,1))</f>
        <v>411.98877330238821</v>
      </c>
      <c r="T155" s="62">
        <f t="shared" si="142"/>
        <v>256.4377087753457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0.10271983980682302</v>
      </c>
      <c r="AB155" s="23">
        <f>EXP(-LN(2)/2)*AB154+(1-EXP(-LN(2)/2))/(LN(2)/2)*V155*Y155*VLOOKUP('Données projet'!$B$9,Paramètres!$A$1:$I$89,3,0)*0.475*44/12</f>
        <v>6.0992979259767175E-18</v>
      </c>
      <c r="AC155" s="24">
        <f t="shared" si="163"/>
        <v>0.10271983980682302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-5.9412741393316544E-14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356.31271939877655</v>
      </c>
      <c r="AO155" s="62">
        <f t="shared" si="144"/>
        <v>499.70544707812991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1.3748935225879075</v>
      </c>
      <c r="AW155" s="23">
        <f>EXP(-LN(2)/2)*AW154+(1-EXP(-LN(2)/2))/(LN(2)/2)*AQ155*AT155*VLOOKUP('Données projet'!$B$10,Paramètres!$A$1:$I$89,3,0)*0.475*44/12</f>
        <v>8.4502868500581885E-18</v>
      </c>
      <c r="AX155" s="23">
        <f t="shared" si="166"/>
        <v>1.3748935225879075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195.30963433439501</v>
      </c>
      <c r="BJ155" s="62">
        <f t="shared" si="146"/>
        <v>185.00219255324504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-4.9658410716801891E-14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303.33040062722074</v>
      </c>
      <c r="CE155" s="62">
        <f t="shared" si="148"/>
        <v>425.30058672361548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1.1491647352973571</v>
      </c>
      <c r="CM155" s="23">
        <f>EXP(-LN(2)/2)*CM154+(1-EXP(-LN(2)/2))/(LN(2)/2)*CG155*CJ155*VLOOKUP('Données projet'!$B$12,Paramètres!$A$1:$I$89,3,0)*0.475*44/12</f>
        <v>7.0629263224366914E-18</v>
      </c>
      <c r="CN155" s="24">
        <f t="shared" si="172"/>
        <v>1.1491647352973571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-5.3205440053716299E-14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396.92963589781414</v>
      </c>
      <c r="CZ155" s="62">
        <f t="shared" si="150"/>
        <v>294.38852181137639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1.1527845344971866E-13</v>
      </c>
      <c r="P156" s="14">
        <f t="shared" si="141"/>
        <v>1.7033846239409443E-12</v>
      </c>
      <c r="Q156" s="22">
        <f t="shared" si="162"/>
        <v>3.1675048597887374E-12</v>
      </c>
      <c r="R156" s="62">
        <f t="shared" si="109"/>
        <v>293.3333333333365</v>
      </c>
      <c r="S156" s="62">
        <f ca="1">AVERAGE(OFFSET($R$3,0,0,'Données projet'!$E$9+1,1))-AVERAGE(OFFSET($H$3,0,0,'Données projet'!$E$9+1,1))</f>
        <v>411.98877330238821</v>
      </c>
      <c r="T156" s="62">
        <f t="shared" si="142"/>
        <v>256.4377087753457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9.991096038550383E-2</v>
      </c>
      <c r="AB156" s="23">
        <f>EXP(-LN(2)/2)*AB155+(1-EXP(-LN(2)/2))/(LN(2)/2)*V156*Y156*VLOOKUP('Données projet'!$B$9,Paramètres!$A$1:$I$89,3,0)*0.475*44/12</f>
        <v>4.3128549239351819E-18</v>
      </c>
      <c r="AC156" s="24">
        <f t="shared" si="163"/>
        <v>9.991096038550383E-2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-5.9412741393316544E-14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356.31271939877655</v>
      </c>
      <c r="AO156" s="62">
        <f t="shared" si="144"/>
        <v>499.70544707812991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1.3372969869102331</v>
      </c>
      <c r="AW156" s="23">
        <f>EXP(-LN(2)/2)*AW155+(1-EXP(-LN(2)/2))/(LN(2)/2)*AQ156*AT156*VLOOKUP('Données projet'!$B$10,Paramètres!$A$1:$I$89,3,0)*0.475*44/12</f>
        <v>5.9752551346476555E-18</v>
      </c>
      <c r="AX156" s="23">
        <f t="shared" si="166"/>
        <v>1.3372969869102331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195.30963433439501</v>
      </c>
      <c r="BJ156" s="62">
        <f t="shared" si="146"/>
        <v>185.00219255324504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-4.9658410716801891E-14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303.33040062722074</v>
      </c>
      <c r="CE156" s="62">
        <f t="shared" si="148"/>
        <v>425.30058672361548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1.1177407651787039</v>
      </c>
      <c r="CM156" s="23">
        <f>EXP(-LN(2)/2)*CM155+(1-EXP(-LN(2)/2))/(LN(2)/2)*CG156*CJ156*VLOOKUP('Données projet'!$B$12,Paramètres!$A$1:$I$89,3,0)*0.475*44/12</f>
        <v>4.9942430976159485E-18</v>
      </c>
      <c r="CN156" s="24">
        <f t="shared" si="172"/>
        <v>1.1177407651787039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-5.3205440053716299E-14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396.92963589781414</v>
      </c>
      <c r="CZ156" s="62">
        <f t="shared" si="150"/>
        <v>294.38852181137639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1.1527845344971866E-13</v>
      </c>
      <c r="P157" s="14">
        <f t="shared" si="141"/>
        <v>1.7033846239409443E-12</v>
      </c>
      <c r="Q157" s="22">
        <f t="shared" si="162"/>
        <v>3.1675048597887374E-12</v>
      </c>
      <c r="R157" s="62">
        <f t="shared" si="109"/>
        <v>293.3333333333365</v>
      </c>
      <c r="S157" s="62">
        <f ca="1">AVERAGE(OFFSET($R$3,0,0,'Données projet'!$E$9+1,1))-AVERAGE(OFFSET($H$3,0,0,'Données projet'!$E$9+1,1))</f>
        <v>411.98877330238821</v>
      </c>
      <c r="T157" s="62">
        <f t="shared" si="142"/>
        <v>256.4377087753457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9.7178889919673175E-2</v>
      </c>
      <c r="AB157" s="23">
        <f>EXP(-LN(2)/2)*AB156+(1-EXP(-LN(2)/2))/(LN(2)/2)*V157*Y157*VLOOKUP('Données projet'!$B$9,Paramètres!$A$1:$I$89,3,0)*0.475*44/12</f>
        <v>3.0496489629883588E-18</v>
      </c>
      <c r="AC157" s="24">
        <f t="shared" si="163"/>
        <v>9.7178889919673175E-2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-5.9412741393316544E-14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356.31271939877655</v>
      </c>
      <c r="AO157" s="62">
        <f t="shared" si="144"/>
        <v>499.70544707812991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1.3007285304777807</v>
      </c>
      <c r="AW157" s="23">
        <f>EXP(-LN(2)/2)*AW156+(1-EXP(-LN(2)/2))/(LN(2)/2)*AQ157*AT157*VLOOKUP('Données projet'!$B$10,Paramètres!$A$1:$I$89,3,0)*0.475*44/12</f>
        <v>4.2251434250290942E-18</v>
      </c>
      <c r="AX157" s="23">
        <f t="shared" si="166"/>
        <v>1.3007285304777807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195.30963433439501</v>
      </c>
      <c r="BJ157" s="62">
        <f t="shared" si="146"/>
        <v>185.00219255324504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-4.9658410716801891E-14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303.33040062722074</v>
      </c>
      <c r="CE157" s="62">
        <f t="shared" si="148"/>
        <v>425.30058672361548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1.0871760851754599</v>
      </c>
      <c r="CM157" s="23">
        <f>EXP(-LN(2)/2)*CM156+(1-EXP(-LN(2)/2))/(LN(2)/2)*CG157*CJ157*VLOOKUP('Données projet'!$B$12,Paramètres!$A$1:$I$89,3,0)*0.475*44/12</f>
        <v>3.5314631612183457E-18</v>
      </c>
      <c r="CN157" s="24">
        <f t="shared" si="172"/>
        <v>1.0871760851754599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-5.3205440053716299E-14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396.92963589781414</v>
      </c>
      <c r="CZ157" s="62">
        <f t="shared" si="150"/>
        <v>294.38852181137639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1.1527845344971866E-13</v>
      </c>
      <c r="P158" s="14">
        <f t="shared" si="141"/>
        <v>1.7033846239409443E-12</v>
      </c>
      <c r="Q158" s="22">
        <f t="shared" si="162"/>
        <v>3.1675048597887374E-12</v>
      </c>
      <c r="R158" s="62">
        <f t="shared" si="109"/>
        <v>293.3333333333365</v>
      </c>
      <c r="S158" s="62">
        <f ca="1">AVERAGE(OFFSET($R$3,0,0,'Données projet'!$E$9+1,1))-AVERAGE(OFFSET($H$3,0,0,'Données projet'!$E$9+1,1))</f>
        <v>411.98877330238821</v>
      </c>
      <c r="T158" s="62">
        <f t="shared" si="142"/>
        <v>256.4377087753457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9.4521528064404003E-2</v>
      </c>
      <c r="AB158" s="23">
        <f>EXP(-LN(2)/2)*AB157+(1-EXP(-LN(2)/2))/(LN(2)/2)*V158*Y158*VLOOKUP('Données projet'!$B$9,Paramètres!$A$1:$I$89,3,0)*0.475*44/12</f>
        <v>2.156427461967591E-18</v>
      </c>
      <c r="AC158" s="24">
        <f t="shared" si="163"/>
        <v>9.4521528064404003E-2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-5.9412741393316544E-14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356.31271939877655</v>
      </c>
      <c r="AO158" s="62">
        <f t="shared" si="144"/>
        <v>499.70544707812991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1.2651600404095251</v>
      </c>
      <c r="AW158" s="23">
        <f>EXP(-LN(2)/2)*AW157+(1-EXP(-LN(2)/2))/(LN(2)/2)*AQ158*AT158*VLOOKUP('Données projet'!$B$10,Paramètres!$A$1:$I$89,3,0)*0.475*44/12</f>
        <v>2.9876275673238277E-18</v>
      </c>
      <c r="AX158" s="23">
        <f t="shared" si="166"/>
        <v>1.2651600404095251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195.30963433439501</v>
      </c>
      <c r="BJ158" s="62">
        <f t="shared" si="146"/>
        <v>185.00219255324504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-4.9658410716801891E-14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303.33040062722074</v>
      </c>
      <c r="CE158" s="62">
        <f t="shared" si="148"/>
        <v>425.30058672361548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1.0574471979542315</v>
      </c>
      <c r="CM158" s="23">
        <f>EXP(-LN(2)/2)*CM157+(1-EXP(-LN(2)/2))/(LN(2)/2)*CG158*CJ158*VLOOKUP('Données projet'!$B$12,Paramètres!$A$1:$I$89,3,0)*0.475*44/12</f>
        <v>2.4971215488079743E-18</v>
      </c>
      <c r="CN158" s="24">
        <f t="shared" si="172"/>
        <v>1.0574471979542315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-5.3205440053716299E-14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396.92963589781414</v>
      </c>
      <c r="CZ158" s="62">
        <f t="shared" si="150"/>
        <v>294.38852181137639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1.1527845344971866E-13</v>
      </c>
      <c r="P159" s="14">
        <f t="shared" si="141"/>
        <v>1.7033846239409443E-12</v>
      </c>
      <c r="Q159" s="22">
        <f t="shared" si="162"/>
        <v>3.1675048597887374E-12</v>
      </c>
      <c r="R159" s="62">
        <f t="shared" si="109"/>
        <v>293.3333333333365</v>
      </c>
      <c r="S159" s="62">
        <f ca="1">AVERAGE(OFFSET($R$3,0,0,'Données projet'!$E$9+1,1))-AVERAGE(OFFSET($H$3,0,0,'Données projet'!$E$9+1,1))</f>
        <v>411.98877330238821</v>
      </c>
      <c r="T159" s="62">
        <f t="shared" si="142"/>
        <v>256.4377087753457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9.1936831908811745E-2</v>
      </c>
      <c r="AB159" s="23">
        <f>EXP(-LN(2)/2)*AB158+(1-EXP(-LN(2)/2))/(LN(2)/2)*V159*Y159*VLOOKUP('Données projet'!$B$9,Paramètres!$A$1:$I$89,3,0)*0.475*44/12</f>
        <v>1.5248244814941794E-18</v>
      </c>
      <c r="AC159" s="24">
        <f t="shared" si="163"/>
        <v>9.1936831908811745E-2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-5.9412741393316544E-14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356.31271939877655</v>
      </c>
      <c r="AO159" s="62">
        <f t="shared" si="144"/>
        <v>499.70544707812991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1.2305641725726517</v>
      </c>
      <c r="AW159" s="23">
        <f>EXP(-LN(2)/2)*AW158+(1-EXP(-LN(2)/2))/(LN(2)/2)*AQ159*AT159*VLOOKUP('Données projet'!$B$10,Paramètres!$A$1:$I$89,3,0)*0.475*44/12</f>
        <v>2.1125717125145471E-18</v>
      </c>
      <c r="AX159" s="23">
        <f t="shared" si="166"/>
        <v>1.2305641725726517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195.30963433439501</v>
      </c>
      <c r="BJ159" s="62">
        <f t="shared" si="146"/>
        <v>185.00219255324504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-4.9658410716801891E-14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303.33040062722074</v>
      </c>
      <c r="CE159" s="62">
        <f t="shared" si="148"/>
        <v>425.30058672361548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1.0285312487174416</v>
      </c>
      <c r="CM159" s="23">
        <f>EXP(-LN(2)/2)*CM158+(1-EXP(-LN(2)/2))/(LN(2)/2)*CG159*CJ159*VLOOKUP('Données projet'!$B$12,Paramètres!$A$1:$I$89,3,0)*0.475*44/12</f>
        <v>1.7657315806091729E-18</v>
      </c>
      <c r="CN159" s="24">
        <f t="shared" si="172"/>
        <v>1.0285312487174416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-5.3205440053716299E-14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396.92963589781414</v>
      </c>
      <c r="CZ159" s="62">
        <f t="shared" si="150"/>
        <v>294.38852181137639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1.1527845344971866E-13</v>
      </c>
      <c r="P160" s="14">
        <f t="shared" si="141"/>
        <v>1.7033846239409443E-12</v>
      </c>
      <c r="Q160" s="22">
        <f t="shared" si="162"/>
        <v>3.1675048597887374E-12</v>
      </c>
      <c r="R160" s="62">
        <f t="shared" si="109"/>
        <v>293.3333333333365</v>
      </c>
      <c r="S160" s="62">
        <f ca="1">AVERAGE(OFFSET($R$3,0,0,'Données projet'!$E$9+1,1))-AVERAGE(OFFSET($H$3,0,0,'Données projet'!$E$9+1,1))</f>
        <v>411.98877330238821</v>
      </c>
      <c r="T160" s="62">
        <f t="shared" si="142"/>
        <v>256.4377087753457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8.9422814405517428E-2</v>
      </c>
      <c r="AB160" s="23">
        <f>EXP(-LN(2)/2)*AB159+(1-EXP(-LN(2)/2))/(LN(2)/2)*V160*Y160*VLOOKUP('Données projet'!$B$9,Paramètres!$A$1:$I$89,3,0)*0.475*44/12</f>
        <v>1.0782137309837955E-18</v>
      </c>
      <c r="AC160" s="24">
        <f t="shared" si="163"/>
        <v>8.9422814405517428E-2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-5.9412741393316544E-14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356.31271939877655</v>
      </c>
      <c r="AO160" s="62">
        <f t="shared" si="144"/>
        <v>499.70544707812991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1.1969143305610952</v>
      </c>
      <c r="AW160" s="23">
        <f>EXP(-LN(2)/2)*AW159+(1-EXP(-LN(2)/2))/(LN(2)/2)*AQ160*AT160*VLOOKUP('Données projet'!$B$10,Paramètres!$A$1:$I$89,3,0)*0.475*44/12</f>
        <v>1.4938137836619139E-18</v>
      </c>
      <c r="AX160" s="23">
        <f t="shared" si="166"/>
        <v>1.1969143305610952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195.30963433439501</v>
      </c>
      <c r="BJ160" s="62">
        <f t="shared" si="146"/>
        <v>185.00219255324504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-4.9658410716801891E-14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303.33040062722074</v>
      </c>
      <c r="CE160" s="62">
        <f t="shared" si="148"/>
        <v>425.30058672361548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1.0004060076331556</v>
      </c>
      <c r="CM160" s="23">
        <f>EXP(-LN(2)/2)*CM159+(1-EXP(-LN(2)/2))/(LN(2)/2)*CG160*CJ160*VLOOKUP('Données projet'!$B$12,Paramètres!$A$1:$I$89,3,0)*0.475*44/12</f>
        <v>1.2485607744039871E-18</v>
      </c>
      <c r="CN160" s="24">
        <f t="shared" si="172"/>
        <v>1.0004060076331556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-5.3205440053716299E-14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396.92963589781414</v>
      </c>
      <c r="CZ160" s="62">
        <f t="shared" si="150"/>
        <v>294.38852181137639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1.1527845344971866E-13</v>
      </c>
      <c r="P161" s="14">
        <f t="shared" si="141"/>
        <v>1.7033846239409443E-12</v>
      </c>
      <c r="Q161" s="22">
        <f t="shared" si="162"/>
        <v>3.1675048597887374E-12</v>
      </c>
      <c r="R161" s="62">
        <f t="shared" si="109"/>
        <v>293.3333333333365</v>
      </c>
      <c r="S161" s="62">
        <f ca="1">AVERAGE(OFFSET($R$3,0,0,'Données projet'!$E$9+1,1))-AVERAGE(OFFSET($H$3,0,0,'Données projet'!$E$9+1,1))</f>
        <v>411.98877330238821</v>
      </c>
      <c r="T161" s="62">
        <f t="shared" si="142"/>
        <v>256.4377087753457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8.6977542843057129E-2</v>
      </c>
      <c r="AB161" s="23">
        <f>EXP(-LN(2)/2)*AB160+(1-EXP(-LN(2)/2))/(LN(2)/2)*V161*Y161*VLOOKUP('Données projet'!$B$9,Paramètres!$A$1:$I$89,3,0)*0.475*44/12</f>
        <v>7.6241224074708969E-19</v>
      </c>
      <c r="AC161" s="24">
        <f t="shared" si="163"/>
        <v>8.6977542843057129E-2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-5.9412741393316544E-14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356.31271939877655</v>
      </c>
      <c r="AO161" s="62">
        <f t="shared" si="144"/>
        <v>499.70544707812991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1.1641846452489131</v>
      </c>
      <c r="AW161" s="23">
        <f>EXP(-LN(2)/2)*AW160+(1-EXP(-LN(2)/2))/(LN(2)/2)*AQ161*AT161*VLOOKUP('Données projet'!$B$10,Paramètres!$A$1:$I$89,3,0)*0.475*44/12</f>
        <v>1.0562858562572736E-18</v>
      </c>
      <c r="AX161" s="23">
        <f t="shared" si="166"/>
        <v>1.1641846452489131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195.30963433439501</v>
      </c>
      <c r="BJ161" s="62">
        <f t="shared" si="146"/>
        <v>185.00219255324504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-4.9658410716801891E-14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303.33040062722074</v>
      </c>
      <c r="CE161" s="62">
        <f t="shared" si="148"/>
        <v>425.30058672361548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0.97304985274536149</v>
      </c>
      <c r="CM161" s="23">
        <f>EXP(-LN(2)/2)*CM160+(1-EXP(-LN(2)/2))/(LN(2)/2)*CG161*CJ161*VLOOKUP('Données projet'!$B$12,Paramètres!$A$1:$I$89,3,0)*0.475*44/12</f>
        <v>8.8286579030458643E-19</v>
      </c>
      <c r="CN161" s="24">
        <f t="shared" si="172"/>
        <v>0.97304985274536149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-5.3205440053716299E-14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396.92963589781414</v>
      </c>
      <c r="CZ161" s="62">
        <f t="shared" si="150"/>
        <v>294.38852181137639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1.1527845344971866E-13</v>
      </c>
      <c r="P162" s="14">
        <f t="shared" si="141"/>
        <v>1.7033846239409443E-12</v>
      </c>
      <c r="Q162" s="22">
        <f t="shared" si="162"/>
        <v>3.1675048597887374E-12</v>
      </c>
      <c r="R162" s="62">
        <f t="shared" si="109"/>
        <v>293.3333333333365</v>
      </c>
      <c r="S162" s="62">
        <f ca="1">AVERAGE(OFFSET($R$3,0,0,'Données projet'!$E$9+1,1))-AVERAGE(OFFSET($H$3,0,0,'Données projet'!$E$9+1,1))</f>
        <v>411.98877330238821</v>
      </c>
      <c r="T162" s="62">
        <f t="shared" si="142"/>
        <v>256.4377087753457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8.4599137360063539E-2</v>
      </c>
      <c r="AB162" s="23">
        <f>EXP(-LN(2)/2)*AB161+(1-EXP(-LN(2)/2))/(LN(2)/2)*V162*Y162*VLOOKUP('Données projet'!$B$9,Paramètres!$A$1:$I$89,3,0)*0.475*44/12</f>
        <v>5.3910686549189774E-19</v>
      </c>
      <c r="AC162" s="24">
        <f t="shared" si="163"/>
        <v>8.4599137360063539E-2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-5.9412741393316544E-14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356.31271939877655</v>
      </c>
      <c r="AO162" s="62">
        <f t="shared" si="144"/>
        <v>499.70544707812991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1.1323499549027718</v>
      </c>
      <c r="AW162" s="23">
        <f>EXP(-LN(2)/2)*AW161+(1-EXP(-LN(2)/2))/(LN(2)/2)*AQ162*AT162*VLOOKUP('Données projet'!$B$10,Paramètres!$A$1:$I$89,3,0)*0.475*44/12</f>
        <v>7.4690689183095693E-19</v>
      </c>
      <c r="AX162" s="23">
        <f t="shared" si="166"/>
        <v>1.1323499549027718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195.30963433439501</v>
      </c>
      <c r="BJ162" s="62">
        <f t="shared" si="146"/>
        <v>185.00219255324504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-4.9658410716801891E-14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303.33040062722074</v>
      </c>
      <c r="CE162" s="62">
        <f t="shared" si="148"/>
        <v>425.30058672361548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0.94644175335157177</v>
      </c>
      <c r="CM162" s="23">
        <f>EXP(-LN(2)/2)*CM161+(1-EXP(-LN(2)/2))/(LN(2)/2)*CG162*CJ162*VLOOKUP('Données projet'!$B$12,Paramètres!$A$1:$I$89,3,0)*0.475*44/12</f>
        <v>6.2428038720199357E-19</v>
      </c>
      <c r="CN162" s="24">
        <f t="shared" si="172"/>
        <v>0.94644175335157177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-5.3205440053716299E-14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396.92963589781414</v>
      </c>
      <c r="CZ162" s="62">
        <f t="shared" si="150"/>
        <v>294.38852181137639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1.1527845344971866E-13</v>
      </c>
      <c r="P163" s="14">
        <f t="shared" si="141"/>
        <v>1.7033846239409443E-12</v>
      </c>
      <c r="Q163" s="22">
        <f t="shared" si="162"/>
        <v>3.1675048597887374E-12</v>
      </c>
      <c r="R163" s="62">
        <f t="shared" si="109"/>
        <v>293.3333333333365</v>
      </c>
      <c r="S163" s="62">
        <f ca="1">AVERAGE(OFFSET($R$3,0,0,'Données projet'!$E$9+1,1))-AVERAGE(OFFSET($H$3,0,0,'Données projet'!$E$9+1,1))</f>
        <v>411.98877330238821</v>
      </c>
      <c r="T163" s="62">
        <f t="shared" si="142"/>
        <v>256.4377087753457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8.2285769500077321E-2</v>
      </c>
      <c r="AB163" s="23">
        <f>EXP(-LN(2)/2)*AB162+(1-EXP(-LN(2)/2))/(LN(2)/2)*V163*Y163*VLOOKUP('Données projet'!$B$9,Paramètres!$A$1:$I$89,3,0)*0.475*44/12</f>
        <v>3.8120612037354484E-19</v>
      </c>
      <c r="AC163" s="24">
        <f t="shared" si="163"/>
        <v>8.2285769500077321E-2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-5.9412741393316544E-14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356.31271939877655</v>
      </c>
      <c r="AO163" s="62">
        <f t="shared" si="144"/>
        <v>499.70544707812991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1.1013857858382594</v>
      </c>
      <c r="AW163" s="23">
        <f>EXP(-LN(2)/2)*AW162+(1-EXP(-LN(2)/2))/(LN(2)/2)*AQ163*AT163*VLOOKUP('Données projet'!$B$10,Paramètres!$A$1:$I$89,3,0)*0.475*44/12</f>
        <v>5.2814292812863678E-19</v>
      </c>
      <c r="AX163" s="23">
        <f t="shared" si="166"/>
        <v>1.1013857858382594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195.30963433439501</v>
      </c>
      <c r="BJ163" s="62">
        <f t="shared" si="146"/>
        <v>185.00219255324504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-4.9658410716801891E-14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303.33040062722074</v>
      </c>
      <c r="CE163" s="62">
        <f t="shared" si="148"/>
        <v>425.30058672361548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0.92056125383496434</v>
      </c>
      <c r="CM163" s="23">
        <f>EXP(-LN(2)/2)*CM162+(1-EXP(-LN(2)/2))/(LN(2)/2)*CG163*CJ163*VLOOKUP('Données projet'!$B$12,Paramètres!$A$1:$I$89,3,0)*0.475*44/12</f>
        <v>4.4143289515229321E-19</v>
      </c>
      <c r="CN163" s="24">
        <f t="shared" si="172"/>
        <v>0.92056125383496434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-5.3205440053716299E-14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396.92963589781414</v>
      </c>
      <c r="CZ163" s="62">
        <f t="shared" si="150"/>
        <v>294.38852181137639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1.1527845344971866E-13</v>
      </c>
      <c r="P164" s="14">
        <f t="shared" si="141"/>
        <v>1.7033846239409443E-12</v>
      </c>
      <c r="Q164" s="22">
        <f t="shared" si="162"/>
        <v>3.1675048597887374E-12</v>
      </c>
      <c r="R164" s="62">
        <f t="shared" si="109"/>
        <v>293.3333333333365</v>
      </c>
      <c r="S164" s="62">
        <f ca="1">AVERAGE(OFFSET($R$3,0,0,'Données projet'!$E$9+1,1))-AVERAGE(OFFSET($H$3,0,0,'Données projet'!$E$9+1,1))</f>
        <v>411.98877330238821</v>
      </c>
      <c r="T164" s="62">
        <f t="shared" si="142"/>
        <v>256.4377087753457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8.0035660805877151E-2</v>
      </c>
      <c r="AB164" s="23">
        <f>EXP(-LN(2)/2)*AB163+(1-EXP(-LN(2)/2))/(LN(2)/2)*V164*Y164*VLOOKUP('Données projet'!$B$9,Paramètres!$A$1:$I$89,3,0)*0.475*44/12</f>
        <v>2.6955343274594887E-19</v>
      </c>
      <c r="AC164" s="24">
        <f t="shared" si="163"/>
        <v>8.0035660805877151E-2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-5.9412741393316544E-14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356.31271939877655</v>
      </c>
      <c r="AO164" s="62">
        <f t="shared" si="144"/>
        <v>499.70544707812991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1.0712683336051509</v>
      </c>
      <c r="AW164" s="23">
        <f>EXP(-LN(2)/2)*AW163+(1-EXP(-LN(2)/2))/(LN(2)/2)*AQ164*AT164*VLOOKUP('Données projet'!$B$10,Paramètres!$A$1:$I$89,3,0)*0.475*44/12</f>
        <v>3.7345344591547847E-19</v>
      </c>
      <c r="AX164" s="23">
        <f t="shared" si="166"/>
        <v>1.0712683336051509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195.30963433439501</v>
      </c>
      <c r="BJ164" s="62">
        <f t="shared" si="146"/>
        <v>185.00219255324504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-4.9658410716801891E-14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303.33040062722074</v>
      </c>
      <c r="CE164" s="62">
        <f t="shared" si="148"/>
        <v>425.30058672361548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0.89538845793863486</v>
      </c>
      <c r="CM164" s="23">
        <f>EXP(-LN(2)/2)*CM163+(1-EXP(-LN(2)/2))/(LN(2)/2)*CG164*CJ164*VLOOKUP('Données projet'!$B$12,Paramètres!$A$1:$I$89,3,0)*0.475*44/12</f>
        <v>3.1214019360099678E-19</v>
      </c>
      <c r="CN164" s="24">
        <f t="shared" si="172"/>
        <v>0.89538845793863486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-5.3205440053716299E-14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396.92963589781414</v>
      </c>
      <c r="CZ164" s="62">
        <f t="shared" si="150"/>
        <v>294.38852181137639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1.1527845344971866E-13</v>
      </c>
      <c r="P165" s="14">
        <f t="shared" si="141"/>
        <v>1.7033846239409443E-12</v>
      </c>
      <c r="Q165" s="22">
        <f t="shared" si="162"/>
        <v>3.1675048597887374E-12</v>
      </c>
      <c r="R165" s="62">
        <f t="shared" si="109"/>
        <v>293.3333333333365</v>
      </c>
      <c r="S165" s="62">
        <f ca="1">AVERAGE(OFFSET($R$3,0,0,'Données projet'!$E$9+1,1))-AVERAGE(OFFSET($H$3,0,0,'Données projet'!$E$9+1,1))</f>
        <v>411.98877330238821</v>
      </c>
      <c r="T165" s="62">
        <f t="shared" si="142"/>
        <v>256.4377087753457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7.784708145224796E-2</v>
      </c>
      <c r="AB165" s="23">
        <f>EXP(-LN(2)/2)*AB164+(1-EXP(-LN(2)/2))/(LN(2)/2)*V165*Y165*VLOOKUP('Données projet'!$B$9,Paramètres!$A$1:$I$89,3,0)*0.475*44/12</f>
        <v>1.9060306018677242E-19</v>
      </c>
      <c r="AC165" s="24">
        <f t="shared" si="163"/>
        <v>7.784708145224796E-2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-5.9412741393316544E-14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356.31271939877655</v>
      </c>
      <c r="AO165" s="62">
        <f t="shared" si="144"/>
        <v>499.70544707812991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1.0419744446871648</v>
      </c>
      <c r="AW165" s="23">
        <f>EXP(-LN(2)/2)*AW164+(1-EXP(-LN(2)/2))/(LN(2)/2)*AQ165*AT165*VLOOKUP('Données projet'!$B$10,Paramètres!$A$1:$I$89,3,0)*0.475*44/12</f>
        <v>2.6407146406431839E-19</v>
      </c>
      <c r="AX165" s="23">
        <f t="shared" si="166"/>
        <v>1.0419744446871648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195.30963433439501</v>
      </c>
      <c r="BJ165" s="62">
        <f t="shared" si="146"/>
        <v>185.00219255324504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-4.9658410716801891E-14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303.33040062722074</v>
      </c>
      <c r="CE165" s="62">
        <f t="shared" si="148"/>
        <v>425.30058672361548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0.87090401346987034</v>
      </c>
      <c r="CM165" s="23">
        <f>EXP(-LN(2)/2)*CM164+(1-EXP(-LN(2)/2))/(LN(2)/2)*CG165*CJ165*VLOOKUP('Données projet'!$B$12,Paramètres!$A$1:$I$89,3,0)*0.475*44/12</f>
        <v>2.2071644757614661E-19</v>
      </c>
      <c r="CN165" s="24">
        <f t="shared" si="172"/>
        <v>0.87090401346987034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-5.3205440053716299E-14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396.92963589781414</v>
      </c>
      <c r="CZ165" s="62">
        <f t="shared" si="150"/>
        <v>294.38852181137639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1.1527845344971866E-13</v>
      </c>
      <c r="P166" s="14">
        <f t="shared" si="141"/>
        <v>1.7033846239409443E-12</v>
      </c>
      <c r="Q166" s="22">
        <f t="shared" si="162"/>
        <v>3.1675048597887374E-12</v>
      </c>
      <c r="R166" s="62">
        <f t="shared" si="109"/>
        <v>293.3333333333365</v>
      </c>
      <c r="S166" s="62">
        <f ca="1">AVERAGE(OFFSET($R$3,0,0,'Données projet'!$E$9+1,1))-AVERAGE(OFFSET($H$3,0,0,'Données projet'!$E$9+1,1))</f>
        <v>411.98877330238821</v>
      </c>
      <c r="T166" s="62">
        <f t="shared" si="142"/>
        <v>256.4377087753457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7.5718348916136144E-2</v>
      </c>
      <c r="AB166" s="23">
        <f>EXP(-LN(2)/2)*AB165+(1-EXP(-LN(2)/2))/(LN(2)/2)*V166*Y166*VLOOKUP('Données projet'!$B$9,Paramètres!$A$1:$I$89,3,0)*0.475*44/12</f>
        <v>1.3477671637297443E-19</v>
      </c>
      <c r="AC166" s="24">
        <f t="shared" si="163"/>
        <v>7.5718348916136144E-2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-5.9412741393316544E-14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356.31271939877655</v>
      </c>
      <c r="AO166" s="62">
        <f t="shared" si="144"/>
        <v>499.70544707812991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1.0134815987021397</v>
      </c>
      <c r="AW166" s="23">
        <f>EXP(-LN(2)/2)*AW165+(1-EXP(-LN(2)/2))/(LN(2)/2)*AQ166*AT166*VLOOKUP('Données projet'!$B$10,Paramètres!$A$1:$I$89,3,0)*0.475*44/12</f>
        <v>1.8672672295773923E-19</v>
      </c>
      <c r="AX166" s="23">
        <f t="shared" si="166"/>
        <v>1.0134815987021397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195.30963433439501</v>
      </c>
      <c r="BJ166" s="62">
        <f t="shared" si="146"/>
        <v>185.00219255324504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-4.9658410716801891E-14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303.33040062722074</v>
      </c>
      <c r="CE166" s="62">
        <f t="shared" si="148"/>
        <v>425.30058672361548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0.84708909742268512</v>
      </c>
      <c r="CM166" s="23">
        <f>EXP(-LN(2)/2)*CM165+(1-EXP(-LN(2)/2))/(LN(2)/2)*CG166*CJ166*VLOOKUP('Données projet'!$B$12,Paramètres!$A$1:$I$89,3,0)*0.475*44/12</f>
        <v>1.5607009680049839E-19</v>
      </c>
      <c r="CN166" s="24">
        <f t="shared" si="172"/>
        <v>0.84708909742268512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-5.3205440053716299E-14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396.92963589781414</v>
      </c>
      <c r="CZ166" s="62">
        <f t="shared" si="150"/>
        <v>294.38852181137639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1.1527845344971866E-13</v>
      </c>
      <c r="P167" s="14">
        <f t="shared" si="141"/>
        <v>1.7033846239409443E-12</v>
      </c>
      <c r="Q167" s="22">
        <f t="shared" si="162"/>
        <v>3.1675048597887374E-12</v>
      </c>
      <c r="R167" s="62">
        <f t="shared" si="109"/>
        <v>293.3333333333365</v>
      </c>
      <c r="S167" s="62">
        <f ca="1">AVERAGE(OFFSET($R$3,0,0,'Données projet'!$E$9+1,1))-AVERAGE(OFFSET($H$3,0,0,'Données projet'!$E$9+1,1))</f>
        <v>411.98877330238821</v>
      </c>
      <c r="T167" s="62">
        <f t="shared" si="142"/>
        <v>256.4377087753457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7.3647826683169493E-2</v>
      </c>
      <c r="AB167" s="23">
        <f>EXP(-LN(2)/2)*AB166+(1-EXP(-LN(2)/2))/(LN(2)/2)*V167*Y167*VLOOKUP('Données projet'!$B$9,Paramètres!$A$1:$I$89,3,0)*0.475*44/12</f>
        <v>9.5301530093386211E-20</v>
      </c>
      <c r="AC167" s="24">
        <f t="shared" si="163"/>
        <v>7.3647826683169493E-2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-5.9412741393316544E-14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356.31271939877655</v>
      </c>
      <c r="AO167" s="62">
        <f t="shared" si="144"/>
        <v>499.70544707812991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0.9857678910889488</v>
      </c>
      <c r="AW167" s="23">
        <f>EXP(-LN(2)/2)*AW166+(1-EXP(-LN(2)/2))/(LN(2)/2)*AQ167*AT167*VLOOKUP('Données projet'!$B$10,Paramètres!$A$1:$I$89,3,0)*0.475*44/12</f>
        <v>1.3203573203215919E-19</v>
      </c>
      <c r="AX167" s="23">
        <f t="shared" si="166"/>
        <v>0.9857678910889488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195.30963433439501</v>
      </c>
      <c r="BJ167" s="62">
        <f t="shared" si="146"/>
        <v>185.00219255324504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-4.9658410716801891E-14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303.33040062722074</v>
      </c>
      <c r="CE167" s="62">
        <f t="shared" si="148"/>
        <v>425.30058672361548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0.82392540150718219</v>
      </c>
      <c r="CM167" s="23">
        <f>EXP(-LN(2)/2)*CM166+(1-EXP(-LN(2)/2))/(LN(2)/2)*CG167*CJ167*VLOOKUP('Données projet'!$B$12,Paramètres!$A$1:$I$89,3,0)*0.475*44/12</f>
        <v>1.103582237880733E-19</v>
      </c>
      <c r="CN167" s="24">
        <f t="shared" si="172"/>
        <v>0.82392540150718219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-5.3205440053716299E-14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396.92963589781414</v>
      </c>
      <c r="CZ167" s="62">
        <f t="shared" si="150"/>
        <v>294.38852181137639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1.1527845344971866E-13</v>
      </c>
      <c r="P168" s="14">
        <f t="shared" si="141"/>
        <v>1.7033846239409443E-12</v>
      </c>
      <c r="Q168" s="22">
        <f t="shared" si="162"/>
        <v>3.1675048597887374E-12</v>
      </c>
      <c r="R168" s="62">
        <f t="shared" si="109"/>
        <v>293.3333333333365</v>
      </c>
      <c r="S168" s="62">
        <f ca="1">AVERAGE(OFFSET($R$3,0,0,'Données projet'!$E$9+1,1))-AVERAGE(OFFSET($H$3,0,0,'Données projet'!$E$9+1,1))</f>
        <v>411.98877330238821</v>
      </c>
      <c r="T168" s="62">
        <f t="shared" si="142"/>
        <v>256.4377087753457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7.1633922989547336E-2</v>
      </c>
      <c r="AB168" s="23">
        <f>EXP(-LN(2)/2)*AB167+(1-EXP(-LN(2)/2))/(LN(2)/2)*V168*Y168*VLOOKUP('Données projet'!$B$9,Paramètres!$A$1:$I$89,3,0)*0.475*44/12</f>
        <v>6.7388358186487217E-20</v>
      </c>
      <c r="AC168" s="24">
        <f t="shared" si="163"/>
        <v>7.1633922989547336E-2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-5.9412741393316544E-14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356.31271939877655</v>
      </c>
      <c r="AO168" s="62">
        <f t="shared" si="144"/>
        <v>499.70544707812991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0.95881201626784107</v>
      </c>
      <c r="AW168" s="23">
        <f>EXP(-LN(2)/2)*AW167+(1-EXP(-LN(2)/2))/(LN(2)/2)*AQ168*AT168*VLOOKUP('Données projet'!$B$10,Paramètres!$A$1:$I$89,3,0)*0.475*44/12</f>
        <v>9.3363361478869617E-20</v>
      </c>
      <c r="AX168" s="23">
        <f t="shared" si="166"/>
        <v>0.95881201626784107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195.30963433439501</v>
      </c>
      <c r="BJ168" s="62">
        <f t="shared" si="146"/>
        <v>185.00219255324504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-4.9658410716801891E-14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303.33040062722074</v>
      </c>
      <c r="CE168" s="62">
        <f t="shared" si="148"/>
        <v>425.30058672361548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0.8013951180746145</v>
      </c>
      <c r="CM168" s="23">
        <f>EXP(-LN(2)/2)*CM167+(1-EXP(-LN(2)/2))/(LN(2)/2)*CG168*CJ168*VLOOKUP('Données projet'!$B$12,Paramètres!$A$1:$I$89,3,0)*0.475*44/12</f>
        <v>7.8035048400249196E-20</v>
      </c>
      <c r="CN168" s="24">
        <f t="shared" si="172"/>
        <v>0.8013951180746145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-5.3205440053716299E-14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396.92963589781414</v>
      </c>
      <c r="CZ168" s="62">
        <f t="shared" si="150"/>
        <v>294.38852181137639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1.1527845344971866E-13</v>
      </c>
      <c r="P169" s="14">
        <f t="shared" si="141"/>
        <v>1.7033846239409443E-12</v>
      </c>
      <c r="Q169" s="22">
        <f t="shared" si="162"/>
        <v>3.1675048597887374E-12</v>
      </c>
      <c r="R169" s="62">
        <f t="shared" si="109"/>
        <v>293.3333333333365</v>
      </c>
      <c r="S169" s="62">
        <f ca="1">AVERAGE(OFFSET($R$3,0,0,'Données projet'!$E$9+1,1))-AVERAGE(OFFSET($H$3,0,0,'Données projet'!$E$9+1,1))</f>
        <v>411.98877330238821</v>
      </c>
      <c r="T169" s="62">
        <f t="shared" si="142"/>
        <v>256.4377087753457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6.9675089598333878E-2</v>
      </c>
      <c r="AB169" s="23">
        <f>EXP(-LN(2)/2)*AB168+(1-EXP(-LN(2)/2))/(LN(2)/2)*V169*Y169*VLOOKUP('Données projet'!$B$9,Paramètres!$A$1:$I$89,3,0)*0.475*44/12</f>
        <v>4.7650765046693106E-20</v>
      </c>
      <c r="AC169" s="24">
        <f t="shared" si="163"/>
        <v>6.9675089598333878E-2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-5.9412741393316544E-14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356.31271939877655</v>
      </c>
      <c r="AO169" s="62">
        <f t="shared" si="144"/>
        <v>499.70544707812991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0.93259325126126447</v>
      </c>
      <c r="AW169" s="23">
        <f>EXP(-LN(2)/2)*AW168+(1-EXP(-LN(2)/2))/(LN(2)/2)*AQ169*AT169*VLOOKUP('Données projet'!$B$10,Paramètres!$A$1:$I$89,3,0)*0.475*44/12</f>
        <v>6.6017866016079597E-20</v>
      </c>
      <c r="AX169" s="23">
        <f t="shared" si="166"/>
        <v>0.93259325126126447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195.30963433439501</v>
      </c>
      <c r="BJ169" s="62">
        <f t="shared" si="146"/>
        <v>185.00219255324504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-4.9658410716801891E-14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303.33040062722074</v>
      </c>
      <c r="CE169" s="62">
        <f t="shared" si="148"/>
        <v>425.30058672361548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0.77948092642732647</v>
      </c>
      <c r="CM169" s="23">
        <f>EXP(-LN(2)/2)*CM168+(1-EXP(-LN(2)/2))/(LN(2)/2)*CG169*CJ169*VLOOKUP('Données projet'!$B$12,Paramètres!$A$1:$I$89,3,0)*0.475*44/12</f>
        <v>5.5179111894036652E-20</v>
      </c>
      <c r="CN169" s="24">
        <f t="shared" si="172"/>
        <v>0.77948092642732647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-5.3205440053716299E-14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396.92963589781414</v>
      </c>
      <c r="CZ169" s="62">
        <f t="shared" si="150"/>
        <v>294.38852181137639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1.1527845344971866E-13</v>
      </c>
      <c r="P170" s="14">
        <f t="shared" si="141"/>
        <v>1.7033846239409443E-12</v>
      </c>
      <c r="Q170" s="22">
        <f t="shared" si="162"/>
        <v>3.1675048597887374E-12</v>
      </c>
      <c r="R170" s="62">
        <f t="shared" si="109"/>
        <v>293.3333333333365</v>
      </c>
      <c r="S170" s="62">
        <f ca="1">AVERAGE(OFFSET($R$3,0,0,'Données projet'!$E$9+1,1))-AVERAGE(OFFSET($H$3,0,0,'Données projet'!$E$9+1,1))</f>
        <v>411.98877330238821</v>
      </c>
      <c r="T170" s="62">
        <f t="shared" si="142"/>
        <v>256.4377087753457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6.7769820609213716E-2</v>
      </c>
      <c r="AB170" s="23">
        <f>EXP(-LN(2)/2)*AB169+(1-EXP(-LN(2)/2))/(LN(2)/2)*V170*Y170*VLOOKUP('Données projet'!$B$9,Paramètres!$A$1:$I$89,3,0)*0.475*44/12</f>
        <v>3.3694179093243609E-20</v>
      </c>
      <c r="AC170" s="24">
        <f t="shared" si="163"/>
        <v>6.7769820609213716E-2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-5.9412741393316544E-14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356.31271939877655</v>
      </c>
      <c r="AO170" s="62">
        <f t="shared" si="144"/>
        <v>499.70544707812991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0.90709143976257756</v>
      </c>
      <c r="AW170" s="23">
        <f>EXP(-LN(2)/2)*AW169+(1-EXP(-LN(2)/2))/(LN(2)/2)*AQ170*AT170*VLOOKUP('Données projet'!$B$10,Paramètres!$A$1:$I$89,3,0)*0.475*44/12</f>
        <v>4.6681680739434808E-20</v>
      </c>
      <c r="AX170" s="23">
        <f t="shared" si="166"/>
        <v>0.90709143976257756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195.30963433439501</v>
      </c>
      <c r="BJ170" s="62">
        <f t="shared" si="146"/>
        <v>185.00219255324504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-4.9658410716801891E-14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303.33040062722074</v>
      </c>
      <c r="CE170" s="62">
        <f t="shared" si="148"/>
        <v>425.30058672361548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0.75816597950305087</v>
      </c>
      <c r="CM170" s="23">
        <f>EXP(-LN(2)/2)*CM169+(1-EXP(-LN(2)/2))/(LN(2)/2)*CG170*CJ170*VLOOKUP('Données projet'!$B$12,Paramètres!$A$1:$I$89,3,0)*0.475*44/12</f>
        <v>3.9017524200124598E-20</v>
      </c>
      <c r="CN170" s="24">
        <f t="shared" si="172"/>
        <v>0.75816597950305087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-5.3205440053716299E-14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396.92963589781414</v>
      </c>
      <c r="CZ170" s="62">
        <f t="shared" si="150"/>
        <v>294.38852181137639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1.1527845344971866E-13</v>
      </c>
      <c r="P171" s="14">
        <f t="shared" si="141"/>
        <v>1.7033846239409443E-12</v>
      </c>
      <c r="Q171" s="22">
        <f t="shared" si="162"/>
        <v>3.1675048597887374E-12</v>
      </c>
      <c r="R171" s="62">
        <f t="shared" si="109"/>
        <v>293.3333333333365</v>
      </c>
      <c r="S171" s="62">
        <f ca="1">AVERAGE(OFFSET($R$3,0,0,'Données projet'!$E$9+1,1))-AVERAGE(OFFSET($H$3,0,0,'Données projet'!$E$9+1,1))</f>
        <v>411.98877330238821</v>
      </c>
      <c r="T171" s="62">
        <f t="shared" si="142"/>
        <v>256.4377087753457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6.5916651300794785E-2</v>
      </c>
      <c r="AB171" s="23">
        <f>EXP(-LN(2)/2)*AB170+(1-EXP(-LN(2)/2))/(LN(2)/2)*V171*Y171*VLOOKUP('Données projet'!$B$9,Paramètres!$A$1:$I$89,3,0)*0.475*44/12</f>
        <v>2.3825382523346553E-20</v>
      </c>
      <c r="AC171" s="24">
        <f t="shared" si="163"/>
        <v>6.5916651300794785E-2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-5.9412741393316544E-14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356.31271939877655</v>
      </c>
      <c r="AO171" s="62">
        <f t="shared" si="144"/>
        <v>499.70544707812991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0.88228697664040423</v>
      </c>
      <c r="AW171" s="23">
        <f>EXP(-LN(2)/2)*AW170+(1-EXP(-LN(2)/2))/(LN(2)/2)*AQ171*AT171*VLOOKUP('Données projet'!$B$10,Paramètres!$A$1:$I$89,3,0)*0.475*44/12</f>
        <v>3.3008933008039799E-20</v>
      </c>
      <c r="AX171" s="23">
        <f t="shared" si="166"/>
        <v>0.88228697664040423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195.30963433439501</v>
      </c>
      <c r="BJ171" s="62">
        <f t="shared" si="146"/>
        <v>185.00219255324504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-4.9658410716801891E-14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303.33040062722074</v>
      </c>
      <c r="CE171" s="62">
        <f t="shared" si="148"/>
        <v>425.30058672361548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0.7374338909233239</v>
      </c>
      <c r="CM171" s="23">
        <f>EXP(-LN(2)/2)*CM170+(1-EXP(-LN(2)/2))/(LN(2)/2)*CG171*CJ171*VLOOKUP('Données projet'!$B$12,Paramètres!$A$1:$I$89,3,0)*0.475*44/12</f>
        <v>2.7589555947018326E-20</v>
      </c>
      <c r="CN171" s="24">
        <f t="shared" si="172"/>
        <v>0.7374338909233239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-5.3205440053716299E-14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396.92963589781414</v>
      </c>
      <c r="CZ171" s="62">
        <f t="shared" si="150"/>
        <v>294.38852181137639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1.1527845344971866E-13</v>
      </c>
      <c r="P172" s="14">
        <f t="shared" si="141"/>
        <v>1.7033846239409443E-12</v>
      </c>
      <c r="Q172" s="22">
        <f t="shared" si="162"/>
        <v>3.1675048597887374E-12</v>
      </c>
      <c r="R172" s="62">
        <f t="shared" si="109"/>
        <v>293.3333333333365</v>
      </c>
      <c r="S172" s="62">
        <f ca="1">AVERAGE(OFFSET($R$3,0,0,'Données projet'!$E$9+1,1))-AVERAGE(OFFSET($H$3,0,0,'Données projet'!$E$9+1,1))</f>
        <v>411.98877330238821</v>
      </c>
      <c r="T172" s="62">
        <f t="shared" si="142"/>
        <v>256.4377087753457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6.4114157004568517E-2</v>
      </c>
      <c r="AB172" s="23">
        <f>EXP(-LN(2)/2)*AB171+(1-EXP(-LN(2)/2))/(LN(2)/2)*V172*Y172*VLOOKUP('Données projet'!$B$9,Paramètres!$A$1:$I$89,3,0)*0.475*44/12</f>
        <v>1.6847089546621804E-20</v>
      </c>
      <c r="AC172" s="24">
        <f t="shared" si="163"/>
        <v>6.4114157004568517E-2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-5.9412741393316544E-14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356.31271939877655</v>
      </c>
      <c r="AO172" s="62">
        <f t="shared" si="144"/>
        <v>499.70544707812991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0.85816079286671676</v>
      </c>
      <c r="AW172" s="23">
        <f>EXP(-LN(2)/2)*AW171+(1-EXP(-LN(2)/2))/(LN(2)/2)*AQ172*AT172*VLOOKUP('Données projet'!$B$10,Paramètres!$A$1:$I$89,3,0)*0.475*44/12</f>
        <v>2.3340840369717404E-20</v>
      </c>
      <c r="AX172" s="23">
        <f t="shared" si="166"/>
        <v>0.85816079286671676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195.30963433439501</v>
      </c>
      <c r="BJ172" s="62">
        <f t="shared" si="146"/>
        <v>185.00219255324504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-4.9658410716801891E-14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303.33040062722074</v>
      </c>
      <c r="CE172" s="62">
        <f t="shared" si="148"/>
        <v>425.30058672361548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0.71726872239606276</v>
      </c>
      <c r="CM172" s="23">
        <f>EXP(-LN(2)/2)*CM171+(1-EXP(-LN(2)/2))/(LN(2)/2)*CG172*CJ172*VLOOKUP('Données projet'!$B$12,Paramètres!$A$1:$I$89,3,0)*0.475*44/12</f>
        <v>1.9508762100062299E-20</v>
      </c>
      <c r="CN172" s="24">
        <f t="shared" si="172"/>
        <v>0.71726872239606276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-5.3205440053716299E-14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396.92963589781414</v>
      </c>
      <c r="CZ172" s="62">
        <f t="shared" si="150"/>
        <v>294.38852181137639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1.1527845344971866E-13</v>
      </c>
      <c r="P173" s="14">
        <f t="shared" si="141"/>
        <v>1.7033846239409443E-12</v>
      </c>
      <c r="Q173" s="22">
        <f t="shared" si="162"/>
        <v>3.1675048597887374E-12</v>
      </c>
      <c r="R173" s="62">
        <f t="shared" si="109"/>
        <v>293.3333333333365</v>
      </c>
      <c r="S173" s="62">
        <f ca="1">AVERAGE(OFFSET($R$3,0,0,'Données projet'!$E$9+1,1))-AVERAGE(OFFSET($H$3,0,0,'Données projet'!$E$9+1,1))</f>
        <v>411.98877330238821</v>
      </c>
      <c r="T173" s="62">
        <f t="shared" si="142"/>
        <v>256.4377087753457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6.2360952009661609E-2</v>
      </c>
      <c r="AB173" s="23">
        <f>EXP(-LN(2)/2)*AB172+(1-EXP(-LN(2)/2))/(LN(2)/2)*V173*Y173*VLOOKUP('Données projet'!$B$9,Paramètres!$A$1:$I$89,3,0)*0.475*44/12</f>
        <v>1.1912691261673276E-20</v>
      </c>
      <c r="AC173" s="24">
        <f t="shared" si="163"/>
        <v>6.2360952009661609E-2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-5.9412741393316544E-14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356.31271939877655</v>
      </c>
      <c r="AO173" s="62">
        <f t="shared" si="144"/>
        <v>499.70544707812991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0.83469434085706162</v>
      </c>
      <c r="AW173" s="23">
        <f>EXP(-LN(2)/2)*AW172+(1-EXP(-LN(2)/2))/(LN(2)/2)*AQ173*AT173*VLOOKUP('Données projet'!$B$10,Paramètres!$A$1:$I$89,3,0)*0.475*44/12</f>
        <v>1.6504466504019899E-20</v>
      </c>
      <c r="AX173" s="23">
        <f t="shared" si="166"/>
        <v>0.83469434085706162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195.30963433439501</v>
      </c>
      <c r="BJ173" s="62">
        <f t="shared" si="146"/>
        <v>185.00219255324504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-4.9658410716801891E-14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303.33040062722074</v>
      </c>
      <c r="CE173" s="62">
        <f t="shared" si="148"/>
        <v>425.30058672361548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0.69765497146261968</v>
      </c>
      <c r="CM173" s="23">
        <f>EXP(-LN(2)/2)*CM172+(1-EXP(-LN(2)/2))/(LN(2)/2)*CG173*CJ173*VLOOKUP('Données projet'!$B$12,Paramètres!$A$1:$I$89,3,0)*0.475*44/12</f>
        <v>1.3794777973509163E-20</v>
      </c>
      <c r="CN173" s="24">
        <f t="shared" si="172"/>
        <v>0.69765497146261968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-5.3205440053716299E-14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396.92963589781414</v>
      </c>
      <c r="CZ173" s="62">
        <f t="shared" si="150"/>
        <v>294.38852181137639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1.1527845344971866E-13</v>
      </c>
      <c r="P174" s="14">
        <f t="shared" si="141"/>
        <v>1.7033846239409443E-12</v>
      </c>
      <c r="Q174" s="22">
        <f t="shared" si="162"/>
        <v>3.1675048597887374E-12</v>
      </c>
      <c r="R174" s="62">
        <f t="shared" si="109"/>
        <v>293.3333333333365</v>
      </c>
      <c r="S174" s="62">
        <f ca="1">AVERAGE(OFFSET($R$3,0,0,'Données projet'!$E$9+1,1))-AVERAGE(OFFSET($H$3,0,0,'Données projet'!$E$9+1,1))</f>
        <v>411.98877330238821</v>
      </c>
      <c r="T174" s="62">
        <f t="shared" si="142"/>
        <v>256.4377087753457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6.0655688497537476E-2</v>
      </c>
      <c r="AB174" s="23">
        <f>EXP(-LN(2)/2)*AB173+(1-EXP(-LN(2)/2))/(LN(2)/2)*V174*Y174*VLOOKUP('Données projet'!$B$9,Paramètres!$A$1:$I$89,3,0)*0.475*44/12</f>
        <v>8.4235447733109022E-21</v>
      </c>
      <c r="AC174" s="24">
        <f t="shared" si="163"/>
        <v>6.0655688497537476E-2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-5.9412741393316544E-14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356.31271939877655</v>
      </c>
      <c r="AO174" s="62">
        <f t="shared" si="144"/>
        <v>499.70544707812991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0.81186958021165756</v>
      </c>
      <c r="AW174" s="23">
        <f>EXP(-LN(2)/2)*AW173+(1-EXP(-LN(2)/2))/(LN(2)/2)*AQ174*AT174*VLOOKUP('Données projet'!$B$10,Paramètres!$A$1:$I$89,3,0)*0.475*44/12</f>
        <v>1.1670420184858702E-20</v>
      </c>
      <c r="AX174" s="23">
        <f t="shared" si="166"/>
        <v>0.81186958021165756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195.30963433439501</v>
      </c>
      <c r="BJ174" s="62">
        <f t="shared" si="146"/>
        <v>185.00219255324504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-4.9658410716801891E-14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303.33040062722074</v>
      </c>
      <c r="CE174" s="62">
        <f t="shared" si="148"/>
        <v>425.30058672361548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0.67857755957989385</v>
      </c>
      <c r="CM174" s="23">
        <f>EXP(-LN(2)/2)*CM173+(1-EXP(-LN(2)/2))/(LN(2)/2)*CG174*CJ174*VLOOKUP('Données projet'!$B$12,Paramètres!$A$1:$I$89,3,0)*0.475*44/12</f>
        <v>9.7543810500311495E-21</v>
      </c>
      <c r="CN174" s="24">
        <f t="shared" si="172"/>
        <v>0.67857755957989385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-5.3205440053716299E-14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396.92963589781414</v>
      </c>
      <c r="CZ174" s="62">
        <f t="shared" si="150"/>
        <v>294.38852181137639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1.1527845344971866E-13</v>
      </c>
      <c r="P175" s="14">
        <f t="shared" si="141"/>
        <v>1.7033846239409443E-12</v>
      </c>
      <c r="Q175" s="22">
        <f t="shared" si="162"/>
        <v>3.1675048597887374E-12</v>
      </c>
      <c r="R175" s="62">
        <f t="shared" si="109"/>
        <v>293.3333333333365</v>
      </c>
      <c r="S175" s="62">
        <f ca="1">AVERAGE(OFFSET($R$3,0,0,'Données projet'!$E$9+1,1))-AVERAGE(OFFSET($H$3,0,0,'Données projet'!$E$9+1,1))</f>
        <v>411.98877330238821</v>
      </c>
      <c r="T175" s="62">
        <f t="shared" si="142"/>
        <v>256.4377087753457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5.8997055505828289E-2</v>
      </c>
      <c r="AB175" s="23">
        <f>EXP(-LN(2)/2)*AB174+(1-EXP(-LN(2)/2))/(LN(2)/2)*V175*Y175*VLOOKUP('Données projet'!$B$9,Paramètres!$A$1:$I$89,3,0)*0.475*44/12</f>
        <v>5.9563456308366382E-21</v>
      </c>
      <c r="AC175" s="24">
        <f t="shared" si="163"/>
        <v>5.8997055505828289E-2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-5.9412741393316544E-14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356.31271939877655</v>
      </c>
      <c r="AO175" s="62">
        <f t="shared" si="144"/>
        <v>499.70544707812991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0.78966896384640406</v>
      </c>
      <c r="AW175" s="23">
        <f>EXP(-LN(2)/2)*AW174+(1-EXP(-LN(2)/2))/(LN(2)/2)*AQ175*AT175*VLOOKUP('Données projet'!$B$10,Paramètres!$A$1:$I$89,3,0)*0.475*44/12</f>
        <v>8.2522332520099497E-21</v>
      </c>
      <c r="AX175" s="23">
        <f t="shared" si="166"/>
        <v>0.78966896384640406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195.30963433439501</v>
      </c>
      <c r="BJ175" s="62">
        <f t="shared" si="146"/>
        <v>185.00219255324504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-4.9658410716801891E-14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303.33040062722074</v>
      </c>
      <c r="CE175" s="62">
        <f t="shared" si="148"/>
        <v>425.30058672361548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0.66002182052833869</v>
      </c>
      <c r="CM175" s="23">
        <f>EXP(-LN(2)/2)*CM174+(1-EXP(-LN(2)/2))/(LN(2)/2)*CG175*CJ175*VLOOKUP('Données projet'!$B$12,Paramètres!$A$1:$I$89,3,0)*0.475*44/12</f>
        <v>6.8973889867545815E-21</v>
      </c>
      <c r="CN175" s="24">
        <f t="shared" si="172"/>
        <v>0.66002182052833869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-5.3205440053716299E-14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396.92963589781414</v>
      </c>
      <c r="CZ175" s="62">
        <f t="shared" si="150"/>
        <v>294.38852181137639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1.1527845344971866E-13</v>
      </c>
      <c r="P176" s="14">
        <f t="shared" si="141"/>
        <v>1.7033846239409443E-12</v>
      </c>
      <c r="Q176" s="22">
        <f t="shared" si="162"/>
        <v>3.1675048597887374E-12</v>
      </c>
      <c r="R176" s="62">
        <f t="shared" si="109"/>
        <v>293.3333333333365</v>
      </c>
      <c r="S176" s="62">
        <f ca="1">AVERAGE(OFFSET($R$3,0,0,'Données projet'!$E$9+1,1))-AVERAGE(OFFSET($H$3,0,0,'Données projet'!$E$9+1,1))</f>
        <v>411.98877330238821</v>
      </c>
      <c r="T176" s="62">
        <f t="shared" si="142"/>
        <v>256.4377087753457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5.7383777920501103E-2</v>
      </c>
      <c r="AB176" s="23">
        <f>EXP(-LN(2)/2)*AB175+(1-EXP(-LN(2)/2))/(LN(2)/2)*V176*Y176*VLOOKUP('Données projet'!$B$9,Paramètres!$A$1:$I$89,3,0)*0.475*44/12</f>
        <v>4.2117723866554511E-21</v>
      </c>
      <c r="AC176" s="24">
        <f t="shared" si="163"/>
        <v>5.7383777920501103E-2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-5.9412741393316544E-14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356.31271939877655</v>
      </c>
      <c r="AO176" s="62">
        <f t="shared" si="144"/>
        <v>499.70544707812991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0.76807542450313815</v>
      </c>
      <c r="AW176" s="23">
        <f>EXP(-LN(2)/2)*AW175+(1-EXP(-LN(2)/2))/(LN(2)/2)*AQ176*AT176*VLOOKUP('Données projet'!$B$10,Paramètres!$A$1:$I$89,3,0)*0.475*44/12</f>
        <v>5.8352100924293511E-21</v>
      </c>
      <c r="AX176" s="23">
        <f t="shared" si="166"/>
        <v>0.76807542450313815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195.30963433439501</v>
      </c>
      <c r="BJ176" s="62">
        <f t="shared" si="146"/>
        <v>185.00219255324504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-4.9658410716801891E-14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303.33040062722074</v>
      </c>
      <c r="CE176" s="62">
        <f t="shared" si="148"/>
        <v>425.30058672361548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0.64197348913695218</v>
      </c>
      <c r="CM176" s="23">
        <f>EXP(-LN(2)/2)*CM175+(1-EXP(-LN(2)/2))/(LN(2)/2)*CG176*CJ176*VLOOKUP('Données projet'!$B$12,Paramètres!$A$1:$I$89,3,0)*0.475*44/12</f>
        <v>4.8771905250155747E-21</v>
      </c>
      <c r="CN176" s="24">
        <f t="shared" si="172"/>
        <v>0.64197348913695218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-5.3205440053716299E-14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396.92963589781414</v>
      </c>
      <c r="CZ176" s="62">
        <f t="shared" si="150"/>
        <v>294.38852181137639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1.1527845344971866E-13</v>
      </c>
      <c r="P177" s="14">
        <f t="shared" si="141"/>
        <v>1.7033846239409443E-12</v>
      </c>
      <c r="Q177" s="22">
        <f t="shared" si="162"/>
        <v>3.1675048597887374E-12</v>
      </c>
      <c r="R177" s="62">
        <f t="shared" si="109"/>
        <v>293.3333333333365</v>
      </c>
      <c r="S177" s="62">
        <f ca="1">AVERAGE(OFFSET($R$3,0,0,'Données projet'!$E$9+1,1))-AVERAGE(OFFSET($H$3,0,0,'Données projet'!$E$9+1,1))</f>
        <v>411.98877330238821</v>
      </c>
      <c r="T177" s="62">
        <f t="shared" si="142"/>
        <v>256.4377087753457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5.5814615495583274E-2</v>
      </c>
      <c r="AB177" s="23">
        <f>EXP(-LN(2)/2)*AB176+(1-EXP(-LN(2)/2))/(LN(2)/2)*V177*Y177*VLOOKUP('Données projet'!$B$9,Paramètres!$A$1:$I$89,3,0)*0.475*44/12</f>
        <v>2.9781728154183191E-21</v>
      </c>
      <c r="AC177" s="24">
        <f t="shared" si="163"/>
        <v>5.5814615495583274E-2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-5.9412741393316544E-14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356.31271939877655</v>
      </c>
      <c r="AO177" s="62">
        <f t="shared" si="144"/>
        <v>499.70544707812991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0.74707236162876867</v>
      </c>
      <c r="AW177" s="23">
        <f>EXP(-LN(2)/2)*AW176+(1-EXP(-LN(2)/2))/(LN(2)/2)*AQ177*AT177*VLOOKUP('Données projet'!$B$10,Paramètres!$A$1:$I$89,3,0)*0.475*44/12</f>
        <v>4.1261166260049748E-21</v>
      </c>
      <c r="AX177" s="23">
        <f t="shared" si="166"/>
        <v>0.74707236162876867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195.30963433439501</v>
      </c>
      <c r="BJ177" s="62">
        <f t="shared" si="146"/>
        <v>185.00219255324504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-4.9658410716801891E-14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303.33040062722074</v>
      </c>
      <c r="CE177" s="62">
        <f t="shared" si="148"/>
        <v>425.30058672361548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0.6244186903165837</v>
      </c>
      <c r="CM177" s="23">
        <f>EXP(-LN(2)/2)*CM176+(1-EXP(-LN(2)/2))/(LN(2)/2)*CG177*CJ177*VLOOKUP('Données projet'!$B$12,Paramètres!$A$1:$I$89,3,0)*0.475*44/12</f>
        <v>3.4486944933772907E-21</v>
      </c>
      <c r="CN177" s="24">
        <f t="shared" si="172"/>
        <v>0.6244186903165837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-5.3205440053716299E-14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396.92963589781414</v>
      </c>
      <c r="CZ177" s="62">
        <f t="shared" si="150"/>
        <v>294.38852181137639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1.1527845344971866E-13</v>
      </c>
      <c r="P178" s="14">
        <f t="shared" si="141"/>
        <v>1.7033846239409443E-12</v>
      </c>
      <c r="Q178" s="22">
        <f t="shared" si="162"/>
        <v>3.1675048597887374E-12</v>
      </c>
      <c r="R178" s="62">
        <f t="shared" si="109"/>
        <v>293.3333333333365</v>
      </c>
      <c r="S178" s="62">
        <f ca="1">AVERAGE(OFFSET($R$3,0,0,'Données projet'!$E$9+1,1))-AVERAGE(OFFSET($H$3,0,0,'Données projet'!$E$9+1,1))</f>
        <v>411.98877330238821</v>
      </c>
      <c r="T178" s="62">
        <f t="shared" si="142"/>
        <v>256.4377087753457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5.4288361899693487E-2</v>
      </c>
      <c r="AB178" s="23">
        <f>EXP(-LN(2)/2)*AB177+(1-EXP(-LN(2)/2))/(LN(2)/2)*V178*Y178*VLOOKUP('Données projet'!$B$9,Paramètres!$A$1:$I$89,3,0)*0.475*44/12</f>
        <v>2.1058861933277255E-21</v>
      </c>
      <c r="AC178" s="24">
        <f t="shared" si="163"/>
        <v>5.4288361899693487E-2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-5.9412741393316544E-14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356.31271939877655</v>
      </c>
      <c r="AO178" s="62">
        <f t="shared" si="144"/>
        <v>499.70544707812991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0.72664362861320198</v>
      </c>
      <c r="AW178" s="23">
        <f>EXP(-LN(2)/2)*AW177+(1-EXP(-LN(2)/2))/(LN(2)/2)*AQ178*AT178*VLOOKUP('Données projet'!$B$10,Paramètres!$A$1:$I$89,3,0)*0.475*44/12</f>
        <v>2.9176050462146755E-21</v>
      </c>
      <c r="AX178" s="23">
        <f t="shared" si="166"/>
        <v>0.72664362861320198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195.30963433439501</v>
      </c>
      <c r="BJ178" s="62">
        <f t="shared" si="146"/>
        <v>185.00219255324504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-4.9658410716801891E-14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303.33040062722074</v>
      </c>
      <c r="CE178" s="62">
        <f t="shared" si="148"/>
        <v>425.30058672361548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0.6073439283931249</v>
      </c>
      <c r="CM178" s="23">
        <f>EXP(-LN(2)/2)*CM177+(1-EXP(-LN(2)/2))/(LN(2)/2)*CG178*CJ178*VLOOKUP('Données projet'!$B$12,Paramètres!$A$1:$I$89,3,0)*0.475*44/12</f>
        <v>2.4385952625077874E-21</v>
      </c>
      <c r="CN178" s="24">
        <f t="shared" si="172"/>
        <v>0.6073439283931249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-5.3205440053716299E-14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396.92963589781414</v>
      </c>
      <c r="CZ178" s="62">
        <f t="shared" si="150"/>
        <v>294.38852181137639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1.1527845344971866E-13</v>
      </c>
      <c r="P179" s="14">
        <f t="shared" si="141"/>
        <v>1.7033846239409443E-12</v>
      </c>
      <c r="Q179" s="22">
        <f t="shared" si="162"/>
        <v>3.1675048597887374E-12</v>
      </c>
      <c r="R179" s="62">
        <f t="shared" si="109"/>
        <v>293.3333333333365</v>
      </c>
      <c r="S179" s="62">
        <f ca="1">AVERAGE(OFFSET($R$3,0,0,'Données projet'!$E$9+1,1))-AVERAGE(OFFSET($H$3,0,0,'Données projet'!$E$9+1,1))</f>
        <v>411.98877330238821</v>
      </c>
      <c r="T179" s="62">
        <f t="shared" si="142"/>
        <v>256.4377087753457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5.2803843788645492E-2</v>
      </c>
      <c r="AB179" s="23">
        <f>EXP(-LN(2)/2)*AB178+(1-EXP(-LN(2)/2))/(LN(2)/2)*V179*Y179*VLOOKUP('Données projet'!$B$9,Paramètres!$A$1:$I$89,3,0)*0.475*44/12</f>
        <v>1.4890864077091596E-21</v>
      </c>
      <c r="AC179" s="24">
        <f t="shared" si="163"/>
        <v>5.2803843788645492E-2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-5.9412741393316544E-14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356.31271939877655</v>
      </c>
      <c r="AO179" s="62">
        <f t="shared" si="144"/>
        <v>499.70544707812991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0.7067735203762463</v>
      </c>
      <c r="AW179" s="23">
        <f>EXP(-LN(2)/2)*AW178+(1-EXP(-LN(2)/2))/(LN(2)/2)*AQ179*AT179*VLOOKUP('Données projet'!$B$10,Paramètres!$A$1:$I$89,3,0)*0.475*44/12</f>
        <v>2.0630583130024874E-21</v>
      </c>
      <c r="AX179" s="23">
        <f t="shared" si="166"/>
        <v>0.7067735203762463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195.30963433439501</v>
      </c>
      <c r="BJ179" s="62">
        <f t="shared" si="146"/>
        <v>185.00219255324504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-4.9658410716801891E-14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303.33040062722074</v>
      </c>
      <c r="CE179" s="62">
        <f t="shared" si="148"/>
        <v>425.30058672361548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0.59073607673238582</v>
      </c>
      <c r="CM179" s="23">
        <f>EXP(-LN(2)/2)*CM178+(1-EXP(-LN(2)/2))/(LN(2)/2)*CG179*CJ179*VLOOKUP('Données projet'!$B$12,Paramètres!$A$1:$I$89,3,0)*0.475*44/12</f>
        <v>1.7243472466886454E-21</v>
      </c>
      <c r="CN179" s="24">
        <f t="shared" si="172"/>
        <v>0.59073607673238582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-5.3205440053716299E-14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396.92963589781414</v>
      </c>
      <c r="CZ179" s="62">
        <f t="shared" si="150"/>
        <v>294.38852181137639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1.1527845344971866E-13</v>
      </c>
      <c r="P180" s="14">
        <f t="shared" si="141"/>
        <v>1.7033846239409443E-12</v>
      </c>
      <c r="Q180" s="22">
        <f t="shared" si="162"/>
        <v>3.1675048597887374E-12</v>
      </c>
      <c r="R180" s="62">
        <f t="shared" si="109"/>
        <v>293.3333333333365</v>
      </c>
      <c r="S180" s="62">
        <f ca="1">AVERAGE(OFFSET($R$3,0,0,'Données projet'!$E$9+1,1))-AVERAGE(OFFSET($H$3,0,0,'Données projet'!$E$9+1,1))</f>
        <v>411.98877330238821</v>
      </c>
      <c r="T180" s="62">
        <f t="shared" si="142"/>
        <v>256.4377087753457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5.1359919903411523E-2</v>
      </c>
      <c r="AB180" s="23">
        <f>EXP(-LN(2)/2)*AB179+(1-EXP(-LN(2)/2))/(LN(2)/2)*V180*Y180*VLOOKUP('Données projet'!$B$9,Paramètres!$A$1:$I$89,3,0)*0.475*44/12</f>
        <v>1.0529430966638628E-21</v>
      </c>
      <c r="AC180" s="24">
        <f t="shared" si="163"/>
        <v>5.1359919903411523E-2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-5.9412741393316544E-14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356.31271939877655</v>
      </c>
      <c r="AO180" s="62">
        <f t="shared" si="144"/>
        <v>499.70544707812991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0.68744676129395377</v>
      </c>
      <c r="AW180" s="23">
        <f>EXP(-LN(2)/2)*AW179+(1-EXP(-LN(2)/2))/(LN(2)/2)*AQ180*AT180*VLOOKUP('Données projet'!$B$10,Paramètres!$A$1:$I$89,3,0)*0.475*44/12</f>
        <v>1.4588025231073378E-21</v>
      </c>
      <c r="AX180" s="23">
        <f t="shared" si="166"/>
        <v>0.68744676129395377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195.30963433439501</v>
      </c>
      <c r="BJ180" s="62">
        <f t="shared" si="146"/>
        <v>185.00219255324504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-4.9658410716801891E-14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303.33040062722074</v>
      </c>
      <c r="CE180" s="62">
        <f t="shared" si="148"/>
        <v>425.30058672361548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0.57458236764867865</v>
      </c>
      <c r="CM180" s="23">
        <f>EXP(-LN(2)/2)*CM179+(1-EXP(-LN(2)/2))/(LN(2)/2)*CG180*CJ180*VLOOKUP('Données projet'!$B$12,Paramètres!$A$1:$I$89,3,0)*0.475*44/12</f>
        <v>1.2192976312538937E-21</v>
      </c>
      <c r="CN180" s="24">
        <f t="shared" si="172"/>
        <v>0.57458236764867865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-5.3205440053716299E-14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396.92963589781414</v>
      </c>
      <c r="CZ180" s="62">
        <f t="shared" si="150"/>
        <v>294.38852181137639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1.1527845344971866E-13</v>
      </c>
      <c r="P181" s="14">
        <f t="shared" si="141"/>
        <v>1.7033846239409443E-12</v>
      </c>
      <c r="Q181" s="22">
        <f t="shared" si="162"/>
        <v>3.1675048597887374E-12</v>
      </c>
      <c r="R181" s="62">
        <f t="shared" si="109"/>
        <v>293.3333333333365</v>
      </c>
      <c r="S181" s="62">
        <f ca="1">AVERAGE(OFFSET($R$3,0,0,'Données projet'!$E$9+1,1))-AVERAGE(OFFSET($H$3,0,0,'Données projet'!$E$9+1,1))</f>
        <v>411.98877330238821</v>
      </c>
      <c r="T181" s="62">
        <f t="shared" si="142"/>
        <v>256.4377087753457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4.9955480192751929E-2</v>
      </c>
      <c r="AB181" s="23">
        <f>EXP(-LN(2)/2)*AB180+(1-EXP(-LN(2)/2))/(LN(2)/2)*V181*Y181*VLOOKUP('Données projet'!$B$9,Paramètres!$A$1:$I$89,3,0)*0.475*44/12</f>
        <v>7.4454320385457978E-22</v>
      </c>
      <c r="AC181" s="24">
        <f t="shared" si="163"/>
        <v>4.9955480192751929E-2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-5.9412741393316544E-14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356.31271939877655</v>
      </c>
      <c r="AO181" s="62">
        <f t="shared" si="144"/>
        <v>499.70544707812991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0.66864849345511657</v>
      </c>
      <c r="AW181" s="23">
        <f>EXP(-LN(2)/2)*AW180+(1-EXP(-LN(2)/2))/(LN(2)/2)*AQ181*AT181*VLOOKUP('Données projet'!$B$10,Paramètres!$A$1:$I$89,3,0)*0.475*44/12</f>
        <v>1.0315291565012437E-21</v>
      </c>
      <c r="AX181" s="23">
        <f t="shared" si="166"/>
        <v>0.66864849345511657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195.30963433439501</v>
      </c>
      <c r="BJ181" s="62">
        <f t="shared" si="146"/>
        <v>185.00219255324504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-4.9658410716801891E-14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303.33040062722074</v>
      </c>
      <c r="CE181" s="62">
        <f t="shared" si="148"/>
        <v>425.30058672361548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0.55887038258935207</v>
      </c>
      <c r="CM181" s="23">
        <f>EXP(-LN(2)/2)*CM180+(1-EXP(-LN(2)/2))/(LN(2)/2)*CG181*CJ181*VLOOKUP('Données projet'!$B$12,Paramètres!$A$1:$I$89,3,0)*0.475*44/12</f>
        <v>8.6217362334432269E-22</v>
      </c>
      <c r="CN181" s="24">
        <f t="shared" si="172"/>
        <v>0.55887038258935207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-5.3205440053716299E-14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396.92963589781414</v>
      </c>
      <c r="CZ181" s="62">
        <f t="shared" si="150"/>
        <v>294.38852181137639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1.1527845344971866E-13</v>
      </c>
      <c r="P182" s="14">
        <f t="shared" si="141"/>
        <v>1.7033846239409443E-12</v>
      </c>
      <c r="Q182" s="22">
        <f t="shared" si="162"/>
        <v>3.1675048597887374E-12</v>
      </c>
      <c r="R182" s="62">
        <f t="shared" si="109"/>
        <v>293.3333333333365</v>
      </c>
      <c r="S182" s="62">
        <f ca="1">AVERAGE(OFFSET($R$3,0,0,'Données projet'!$E$9+1,1))-AVERAGE(OFFSET($H$3,0,0,'Données projet'!$E$9+1,1))</f>
        <v>411.98877330238821</v>
      </c>
      <c r="T182" s="62">
        <f t="shared" si="142"/>
        <v>256.4377087753457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4.8589444959836602E-2</v>
      </c>
      <c r="AB182" s="23">
        <f>EXP(-LN(2)/2)*AB181+(1-EXP(-LN(2)/2))/(LN(2)/2)*V182*Y182*VLOOKUP('Données projet'!$B$9,Paramètres!$A$1:$I$89,3,0)*0.475*44/12</f>
        <v>5.2647154833193139E-22</v>
      </c>
      <c r="AC182" s="24">
        <f t="shared" si="163"/>
        <v>4.8589444959836602E-2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-5.9412741393316544E-14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356.31271939877655</v>
      </c>
      <c r="AO182" s="62">
        <f t="shared" si="144"/>
        <v>499.70544707812991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0.65036426523889035</v>
      </c>
      <c r="AW182" s="23">
        <f>EXP(-LN(2)/2)*AW181+(1-EXP(-LN(2)/2))/(LN(2)/2)*AQ182*AT182*VLOOKUP('Données projet'!$B$10,Paramètres!$A$1:$I$89,3,0)*0.475*44/12</f>
        <v>7.2940126155366888E-22</v>
      </c>
      <c r="AX182" s="23">
        <f t="shared" si="166"/>
        <v>0.65036426523889035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195.30963433439501</v>
      </c>
      <c r="BJ182" s="62">
        <f t="shared" si="146"/>
        <v>185.00219255324504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-4.9658410716801891E-14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303.33040062722074</v>
      </c>
      <c r="CE182" s="62">
        <f t="shared" si="148"/>
        <v>425.30058672361548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0.54358804258773008</v>
      </c>
      <c r="CM182" s="23">
        <f>EXP(-LN(2)/2)*CM181+(1-EXP(-LN(2)/2))/(LN(2)/2)*CG182*CJ182*VLOOKUP('Données projet'!$B$12,Paramètres!$A$1:$I$89,3,0)*0.475*44/12</f>
        <v>6.0964881562694684E-22</v>
      </c>
      <c r="CN182" s="24">
        <f t="shared" si="172"/>
        <v>0.54358804258773008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-5.3205440053716299E-14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396.92963589781414</v>
      </c>
      <c r="CZ182" s="62">
        <f t="shared" si="150"/>
        <v>294.38852181137639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1.1527845344971866E-13</v>
      </c>
      <c r="P183" s="14">
        <f t="shared" si="141"/>
        <v>1.7033846239409443E-12</v>
      </c>
      <c r="Q183" s="22">
        <f t="shared" si="162"/>
        <v>3.1675048597887374E-12</v>
      </c>
      <c r="R183" s="62">
        <f t="shared" si="109"/>
        <v>293.3333333333365</v>
      </c>
      <c r="S183" s="62">
        <f ca="1">AVERAGE(OFFSET($R$3,0,0,'Données projet'!$E$9+1,1))-AVERAGE(OFFSET($H$3,0,0,'Données projet'!$E$9+1,1))</f>
        <v>411.98877330238821</v>
      </c>
      <c r="T183" s="62">
        <f t="shared" si="142"/>
        <v>256.4377087753457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4.7260764032202009E-2</v>
      </c>
      <c r="AB183" s="23">
        <f>EXP(-LN(2)/2)*AB182+(1-EXP(-LN(2)/2))/(LN(2)/2)*V183*Y183*VLOOKUP('Données projet'!$B$9,Paramètres!$A$1:$I$89,3,0)*0.475*44/12</f>
        <v>3.7227160192728989E-22</v>
      </c>
      <c r="AC183" s="24">
        <f t="shared" si="163"/>
        <v>4.7260764032202009E-2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-5.9412741393316544E-14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356.31271939877655</v>
      </c>
      <c r="AO183" s="62">
        <f t="shared" si="144"/>
        <v>499.70544707812991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0.63258002020476256</v>
      </c>
      <c r="AW183" s="23">
        <f>EXP(-LN(2)/2)*AW182+(1-EXP(-LN(2)/2))/(LN(2)/2)*AQ183*AT183*VLOOKUP('Données projet'!$B$10,Paramètres!$A$1:$I$89,3,0)*0.475*44/12</f>
        <v>5.1576457825062186E-22</v>
      </c>
      <c r="AX183" s="23">
        <f t="shared" si="166"/>
        <v>0.63258002020476256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195.30963433439501</v>
      </c>
      <c r="BJ183" s="62">
        <f t="shared" si="146"/>
        <v>185.00219255324504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-4.9658410716801891E-14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303.33040062722074</v>
      </c>
      <c r="CE183" s="62">
        <f t="shared" si="148"/>
        <v>425.30058672361548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0.52872359897711585</v>
      </c>
      <c r="CM183" s="23">
        <f>EXP(-LN(2)/2)*CM182+(1-EXP(-LN(2)/2))/(LN(2)/2)*CG183*CJ183*VLOOKUP('Données projet'!$B$12,Paramètres!$A$1:$I$89,3,0)*0.475*44/12</f>
        <v>4.3108681167216134E-22</v>
      </c>
      <c r="CN183" s="24">
        <f t="shared" si="172"/>
        <v>0.52872359897711585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-5.3205440053716299E-14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396.92963589781414</v>
      </c>
      <c r="CZ183" s="62">
        <f t="shared" si="150"/>
        <v>294.38852181137639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1.1527845344971866E-13</v>
      </c>
      <c r="P184" s="14">
        <f t="shared" si="141"/>
        <v>1.7033846239409443E-12</v>
      </c>
      <c r="Q184" s="22">
        <f t="shared" si="162"/>
        <v>3.1675048597887374E-12</v>
      </c>
      <c r="R184" s="62">
        <f t="shared" si="109"/>
        <v>293.3333333333365</v>
      </c>
      <c r="S184" s="62">
        <f ca="1">AVERAGE(OFFSET($R$3,0,0,'Données projet'!$E$9+1,1))-AVERAGE(OFFSET($H$3,0,0,'Données projet'!$E$9+1,1))</f>
        <v>411.98877330238821</v>
      </c>
      <c r="T184" s="62">
        <f t="shared" si="142"/>
        <v>256.4377087753457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4.5968415954405879E-2</v>
      </c>
      <c r="AB184" s="23">
        <f>EXP(-LN(2)/2)*AB183+(1-EXP(-LN(2)/2))/(LN(2)/2)*V184*Y184*VLOOKUP('Données projet'!$B$9,Paramètres!$A$1:$I$89,3,0)*0.475*44/12</f>
        <v>2.6323577416596569E-22</v>
      </c>
      <c r="AC184" s="24">
        <f t="shared" si="163"/>
        <v>4.5968415954405879E-2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-5.9412741393316544E-14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356.31271939877655</v>
      </c>
      <c r="AO184" s="62">
        <f t="shared" si="144"/>
        <v>499.70544707812991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0.61528208628632586</v>
      </c>
      <c r="AW184" s="23">
        <f>EXP(-LN(2)/2)*AW183+(1-EXP(-LN(2)/2))/(LN(2)/2)*AQ184*AT184*VLOOKUP('Données projet'!$B$10,Paramètres!$A$1:$I$89,3,0)*0.475*44/12</f>
        <v>3.6470063077683444E-22</v>
      </c>
      <c r="AX184" s="23">
        <f t="shared" si="166"/>
        <v>0.61528208628632586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195.30963433439501</v>
      </c>
      <c r="BJ184" s="62">
        <f t="shared" si="146"/>
        <v>185.00219255324504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-4.9658410716801891E-14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303.33040062722074</v>
      </c>
      <c r="CE184" s="62">
        <f t="shared" si="148"/>
        <v>425.30058672361548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0.51426562435872092</v>
      </c>
      <c r="CM184" s="23">
        <f>EXP(-LN(2)/2)*CM183+(1-EXP(-LN(2)/2))/(LN(2)/2)*CG184*CJ184*VLOOKUP('Données projet'!$B$12,Paramètres!$A$1:$I$89,3,0)*0.475*44/12</f>
        <v>3.0482440781347342E-22</v>
      </c>
      <c r="CN184" s="24">
        <f t="shared" si="172"/>
        <v>0.51426562435872092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-5.3205440053716299E-14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396.92963589781414</v>
      </c>
      <c r="CZ184" s="62">
        <f t="shared" si="150"/>
        <v>294.38852181137639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1.1527845344971866E-13</v>
      </c>
      <c r="P185" s="14">
        <f t="shared" si="141"/>
        <v>1.7033846239409443E-12</v>
      </c>
      <c r="Q185" s="22">
        <f t="shared" si="162"/>
        <v>3.1675048597887374E-12</v>
      </c>
      <c r="R185" s="62">
        <f t="shared" si="109"/>
        <v>293.3333333333365</v>
      </c>
      <c r="S185" s="62">
        <f ca="1">AVERAGE(OFFSET($R$3,0,0,'Données projet'!$E$9+1,1))-AVERAGE(OFFSET($H$3,0,0,'Données projet'!$E$9+1,1))</f>
        <v>411.98877330238821</v>
      </c>
      <c r="T185" s="62">
        <f t="shared" si="142"/>
        <v>256.4377087753457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4.4711407202758721E-2</v>
      </c>
      <c r="AB185" s="23">
        <f>EXP(-LN(2)/2)*AB184+(1-EXP(-LN(2)/2))/(LN(2)/2)*V185*Y185*VLOOKUP('Données projet'!$B$9,Paramètres!$A$1:$I$89,3,0)*0.475*44/12</f>
        <v>1.8613580096364494E-22</v>
      </c>
      <c r="AC185" s="24">
        <f t="shared" si="163"/>
        <v>4.4711407202758721E-2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-5.9412741393316544E-14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356.31271939877655</v>
      </c>
      <c r="AO185" s="62">
        <f t="shared" si="144"/>
        <v>499.70544707812991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0.5984571652805476</v>
      </c>
      <c r="AW185" s="23">
        <f>EXP(-LN(2)/2)*AW184+(1-EXP(-LN(2)/2))/(LN(2)/2)*AQ185*AT185*VLOOKUP('Données projet'!$B$10,Paramètres!$A$1:$I$89,3,0)*0.475*44/12</f>
        <v>2.5788228912531093E-22</v>
      </c>
      <c r="AX185" s="23">
        <f t="shared" si="166"/>
        <v>0.5984571652805476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195.30963433439501</v>
      </c>
      <c r="BJ185" s="62">
        <f t="shared" si="146"/>
        <v>185.00219255324504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-4.9658410716801891E-14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303.33040062722074</v>
      </c>
      <c r="CE185" s="62">
        <f t="shared" si="148"/>
        <v>425.30058672361548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0.5002030038165779</v>
      </c>
      <c r="CM185" s="23">
        <f>EXP(-LN(2)/2)*CM184+(1-EXP(-LN(2)/2))/(LN(2)/2)*CG185*CJ185*VLOOKUP('Données projet'!$B$12,Paramètres!$A$1:$I$89,3,0)*0.475*44/12</f>
        <v>2.1554340583608067E-22</v>
      </c>
      <c r="CN185" s="24">
        <f t="shared" si="172"/>
        <v>0.5002030038165779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-5.3205440053716299E-14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396.92963589781414</v>
      </c>
      <c r="CZ185" s="62">
        <f t="shared" si="150"/>
        <v>294.38852181137639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1.1527845344971866E-13</v>
      </c>
      <c r="P186" s="14">
        <f t="shared" si="141"/>
        <v>1.7033846239409443E-12</v>
      </c>
      <c r="Q186" s="22">
        <f t="shared" si="162"/>
        <v>3.1675048597887374E-12</v>
      </c>
      <c r="R186" s="62">
        <f t="shared" si="109"/>
        <v>293.3333333333365</v>
      </c>
      <c r="S186" s="62">
        <f ca="1">AVERAGE(OFFSET($R$3,0,0,'Données projet'!$E$9+1,1))-AVERAGE(OFFSET($H$3,0,0,'Données projet'!$E$9+1,1))</f>
        <v>411.98877330238821</v>
      </c>
      <c r="T186" s="62">
        <f t="shared" si="142"/>
        <v>256.4377087753457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4.3488771421528571E-2</v>
      </c>
      <c r="AB186" s="23">
        <f>EXP(-LN(2)/2)*AB185+(1-EXP(-LN(2)/2))/(LN(2)/2)*V186*Y186*VLOOKUP('Données projet'!$B$9,Paramètres!$A$1:$I$89,3,0)*0.475*44/12</f>
        <v>1.3161788708298285E-22</v>
      </c>
      <c r="AC186" s="24">
        <f t="shared" si="163"/>
        <v>4.3488771421528571E-2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-5.9412741393316544E-14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356.31271939877655</v>
      </c>
      <c r="AO186" s="62">
        <f t="shared" si="144"/>
        <v>499.70544707812991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0.58209232262445654</v>
      </c>
      <c r="AW186" s="23">
        <f>EXP(-LN(2)/2)*AW185+(1-EXP(-LN(2)/2))/(LN(2)/2)*AQ186*AT186*VLOOKUP('Données projet'!$B$10,Paramètres!$A$1:$I$89,3,0)*0.475*44/12</f>
        <v>1.8235031538841722E-22</v>
      </c>
      <c r="AX186" s="23">
        <f t="shared" si="166"/>
        <v>0.58209232262445654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195.30963433439501</v>
      </c>
      <c r="BJ186" s="62">
        <f t="shared" si="146"/>
        <v>185.00219255324504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-4.9658410716801891E-14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303.33040062722074</v>
      </c>
      <c r="CE186" s="62">
        <f t="shared" si="148"/>
        <v>425.30058672361548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0.48652492637268085</v>
      </c>
      <c r="CM186" s="23">
        <f>EXP(-LN(2)/2)*CM185+(1-EXP(-LN(2)/2))/(LN(2)/2)*CG186*CJ186*VLOOKUP('Données projet'!$B$12,Paramètres!$A$1:$I$89,3,0)*0.475*44/12</f>
        <v>1.5241220390673671E-22</v>
      </c>
      <c r="CN186" s="24">
        <f t="shared" si="172"/>
        <v>0.48652492637268085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-5.3205440053716299E-14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396.92963589781414</v>
      </c>
      <c r="CZ186" s="62">
        <f t="shared" si="150"/>
        <v>294.38852181137639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1.1527845344971866E-13</v>
      </c>
      <c r="P187" s="14">
        <f t="shared" si="141"/>
        <v>1.7033846239409443E-12</v>
      </c>
      <c r="Q187" s="22">
        <f t="shared" si="162"/>
        <v>3.1675048597887374E-12</v>
      </c>
      <c r="R187" s="62">
        <f t="shared" si="109"/>
        <v>293.3333333333365</v>
      </c>
      <c r="S187" s="62">
        <f ca="1">AVERAGE(OFFSET($R$3,0,0,'Données projet'!$E$9+1,1))-AVERAGE(OFFSET($H$3,0,0,'Données projet'!$E$9+1,1))</f>
        <v>411.98877330238821</v>
      </c>
      <c r="T187" s="62">
        <f t="shared" si="142"/>
        <v>256.4377087753457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4.2299568680031777E-2</v>
      </c>
      <c r="AB187" s="23">
        <f>EXP(-LN(2)/2)*AB186+(1-EXP(-LN(2)/2))/(LN(2)/2)*V187*Y187*VLOOKUP('Données projet'!$B$9,Paramètres!$A$1:$I$89,3,0)*0.475*44/12</f>
        <v>9.3067900481822472E-23</v>
      </c>
      <c r="AC187" s="24">
        <f t="shared" si="163"/>
        <v>4.2299568680031777E-2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-5.9412741393316544E-14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356.31271939877655</v>
      </c>
      <c r="AO187" s="62">
        <f t="shared" si="144"/>
        <v>499.70544707812991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0.5661749774513859</v>
      </c>
      <c r="AW187" s="23">
        <f>EXP(-LN(2)/2)*AW186+(1-EXP(-LN(2)/2))/(LN(2)/2)*AQ187*AT187*VLOOKUP('Données projet'!$B$10,Paramètres!$A$1:$I$89,3,0)*0.475*44/12</f>
        <v>1.2894114456265546E-22</v>
      </c>
      <c r="AX187" s="23">
        <f t="shared" si="166"/>
        <v>0.5661749774513859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195.30963433439501</v>
      </c>
      <c r="BJ187" s="62">
        <f t="shared" si="146"/>
        <v>185.00219255324504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-4.9658410716801891E-14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303.33040062722074</v>
      </c>
      <c r="CE187" s="62">
        <f t="shared" si="148"/>
        <v>425.30058672361548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0.473220876675786</v>
      </c>
      <c r="CM187" s="23">
        <f>EXP(-LN(2)/2)*CM186+(1-EXP(-LN(2)/2))/(LN(2)/2)*CG187*CJ187*VLOOKUP('Données projet'!$B$12,Paramètres!$A$1:$I$89,3,0)*0.475*44/12</f>
        <v>1.0777170291804034E-22</v>
      </c>
      <c r="CN187" s="24">
        <f t="shared" si="172"/>
        <v>0.473220876675786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-5.3205440053716299E-14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396.92963589781414</v>
      </c>
      <c r="CZ187" s="62">
        <f t="shared" si="150"/>
        <v>294.38852181137639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1.1527845344971866E-13</v>
      </c>
      <c r="P188" s="14">
        <f t="shared" si="141"/>
        <v>1.7033846239409443E-12</v>
      </c>
      <c r="Q188" s="22">
        <f t="shared" si="162"/>
        <v>3.1675048597887374E-12</v>
      </c>
      <c r="R188" s="62">
        <f t="shared" si="109"/>
        <v>293.3333333333365</v>
      </c>
      <c r="S188" s="62">
        <f ca="1">AVERAGE(OFFSET($R$3,0,0,'Données projet'!$E$9+1,1))-AVERAGE(OFFSET($H$3,0,0,'Données projet'!$E$9+1,1))</f>
        <v>411.98877330238821</v>
      </c>
      <c r="T188" s="62">
        <f t="shared" si="142"/>
        <v>256.4377087753457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4.1142884750038668E-2</v>
      </c>
      <c r="AB188" s="23">
        <f>EXP(-LN(2)/2)*AB187+(1-EXP(-LN(2)/2))/(LN(2)/2)*V188*Y188*VLOOKUP('Données projet'!$B$9,Paramètres!$A$1:$I$89,3,0)*0.475*44/12</f>
        <v>6.5808943541491423E-23</v>
      </c>
      <c r="AC188" s="24">
        <f t="shared" si="163"/>
        <v>4.1142884750038668E-2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-5.9412741393316544E-14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356.31271939877655</v>
      </c>
      <c r="AO188" s="62">
        <f t="shared" si="144"/>
        <v>499.70544707812991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0.55069289291912971</v>
      </c>
      <c r="AW188" s="23">
        <f>EXP(-LN(2)/2)*AW187+(1-EXP(-LN(2)/2))/(LN(2)/2)*AQ188*AT188*VLOOKUP('Données projet'!$B$10,Paramètres!$A$1:$I$89,3,0)*0.475*44/12</f>
        <v>9.117515769420861E-23</v>
      </c>
      <c r="AX188" s="23">
        <f t="shared" si="166"/>
        <v>0.55069289291912971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195.30963433439501</v>
      </c>
      <c r="BJ188" s="62">
        <f t="shared" si="146"/>
        <v>185.00219255324504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-4.9658410716801891E-14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303.33040062722074</v>
      </c>
      <c r="CE188" s="62">
        <f t="shared" si="148"/>
        <v>425.30058672361548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0.46028062691748228</v>
      </c>
      <c r="CM188" s="23">
        <f>EXP(-LN(2)/2)*CM187+(1-EXP(-LN(2)/2))/(LN(2)/2)*CG188*CJ188*VLOOKUP('Données projet'!$B$12,Paramètres!$A$1:$I$89,3,0)*0.475*44/12</f>
        <v>7.6206101953368355E-23</v>
      </c>
      <c r="CN188" s="24">
        <f t="shared" si="172"/>
        <v>0.46028062691748228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-5.3205440053716299E-14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396.92963589781414</v>
      </c>
      <c r="CZ188" s="62">
        <f t="shared" si="150"/>
        <v>294.38852181137639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1.1527845344971866E-13</v>
      </c>
      <c r="P189" s="14">
        <f t="shared" si="141"/>
        <v>1.7033846239409443E-12</v>
      </c>
      <c r="Q189" s="22">
        <f t="shared" si="162"/>
        <v>3.1675048597887374E-12</v>
      </c>
      <c r="R189" s="62">
        <f t="shared" si="109"/>
        <v>293.3333333333365</v>
      </c>
      <c r="S189" s="62">
        <f ca="1">AVERAGE(OFFSET($R$3,0,0,'Données projet'!$E$9+1,1))-AVERAGE(OFFSET($H$3,0,0,'Données projet'!$E$9+1,1))</f>
        <v>411.98877330238821</v>
      </c>
      <c r="T189" s="62">
        <f t="shared" si="142"/>
        <v>256.4377087753457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4.0017830402938583E-2</v>
      </c>
      <c r="AB189" s="23">
        <f>EXP(-LN(2)/2)*AB188+(1-EXP(-LN(2)/2))/(LN(2)/2)*V189*Y189*VLOOKUP('Données projet'!$B$9,Paramètres!$A$1:$I$89,3,0)*0.475*44/12</f>
        <v>4.6533950240911236E-23</v>
      </c>
      <c r="AC189" s="24">
        <f t="shared" si="163"/>
        <v>4.0017830402938583E-2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-5.9412741393316544E-14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356.31271939877655</v>
      </c>
      <c r="AO189" s="62">
        <f t="shared" si="144"/>
        <v>499.70544707812991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0.53563416680257547</v>
      </c>
      <c r="AW189" s="23">
        <f>EXP(-LN(2)/2)*AW188+(1-EXP(-LN(2)/2))/(LN(2)/2)*AQ189*AT189*VLOOKUP('Données projet'!$B$10,Paramètres!$A$1:$I$89,3,0)*0.475*44/12</f>
        <v>6.4470572281327732E-23</v>
      </c>
      <c r="AX189" s="23">
        <f t="shared" si="166"/>
        <v>0.53563416680257547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195.30963433439501</v>
      </c>
      <c r="BJ189" s="62">
        <f t="shared" si="146"/>
        <v>185.00219255324504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-4.9658410716801891E-14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303.33040062722074</v>
      </c>
      <c r="CE189" s="62">
        <f t="shared" si="148"/>
        <v>425.30058672361548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0.44769422896931754</v>
      </c>
      <c r="CM189" s="23">
        <f>EXP(-LN(2)/2)*CM188+(1-EXP(-LN(2)/2))/(LN(2)/2)*CG189*CJ189*VLOOKUP('Données projet'!$B$12,Paramètres!$A$1:$I$89,3,0)*0.475*44/12</f>
        <v>5.3885851459020168E-23</v>
      </c>
      <c r="CN189" s="24">
        <f t="shared" si="172"/>
        <v>0.44769422896931754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-5.3205440053716299E-14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396.92963589781414</v>
      </c>
      <c r="CZ189" s="62">
        <f t="shared" si="150"/>
        <v>294.38852181137639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1.1527845344971866E-13</v>
      </c>
      <c r="P190" s="14">
        <f t="shared" si="141"/>
        <v>1.7033846239409443E-12</v>
      </c>
      <c r="Q190" s="22">
        <f t="shared" si="162"/>
        <v>3.1675048597887374E-12</v>
      </c>
      <c r="R190" s="62">
        <f t="shared" si="109"/>
        <v>293.3333333333365</v>
      </c>
      <c r="S190" s="62">
        <f ca="1">AVERAGE(OFFSET($R$3,0,0,'Données projet'!$E$9+1,1))-AVERAGE(OFFSET($H$3,0,0,'Données projet'!$E$9+1,1))</f>
        <v>411.98877330238821</v>
      </c>
      <c r="T190" s="62">
        <f t="shared" si="142"/>
        <v>256.4377087753457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3.8923540726123987E-2</v>
      </c>
      <c r="AB190" s="23">
        <f>EXP(-LN(2)/2)*AB189+(1-EXP(-LN(2)/2))/(LN(2)/2)*V190*Y190*VLOOKUP('Données projet'!$B$9,Paramètres!$A$1:$I$89,3,0)*0.475*44/12</f>
        <v>3.2904471770745712E-23</v>
      </c>
      <c r="AC190" s="24">
        <f t="shared" si="163"/>
        <v>3.8923540726123987E-2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-5.9412741393316544E-14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356.31271939877655</v>
      </c>
      <c r="AO190" s="62">
        <f t="shared" si="144"/>
        <v>499.70544707812991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0.52098722234358241</v>
      </c>
      <c r="AW190" s="23">
        <f>EXP(-LN(2)/2)*AW189+(1-EXP(-LN(2)/2))/(LN(2)/2)*AQ190*AT190*VLOOKUP('Données projet'!$B$10,Paramètres!$A$1:$I$89,3,0)*0.475*44/12</f>
        <v>4.5587578847104305E-23</v>
      </c>
      <c r="AX190" s="23">
        <f t="shared" si="166"/>
        <v>0.52098722234358241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195.30963433439501</v>
      </c>
      <c r="BJ190" s="62">
        <f t="shared" si="146"/>
        <v>185.00219255324504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-4.9658410716801891E-14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303.33040062722074</v>
      </c>
      <c r="CE190" s="62">
        <f t="shared" si="148"/>
        <v>425.30058672361548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0.43545200673493528</v>
      </c>
      <c r="CM190" s="23">
        <f>EXP(-LN(2)/2)*CM189+(1-EXP(-LN(2)/2))/(LN(2)/2)*CG190*CJ190*VLOOKUP('Données projet'!$B$12,Paramètres!$A$1:$I$89,3,0)*0.475*44/12</f>
        <v>3.8103050976684178E-23</v>
      </c>
      <c r="CN190" s="24">
        <f t="shared" si="172"/>
        <v>0.43545200673493528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-5.3205440053716299E-14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396.92963589781414</v>
      </c>
      <c r="CZ190" s="62">
        <f t="shared" si="150"/>
        <v>294.38852181137639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1.1527845344971866E-13</v>
      </c>
      <c r="P191" s="14">
        <f t="shared" si="141"/>
        <v>1.7033846239409443E-12</v>
      </c>
      <c r="Q191" s="22">
        <f t="shared" si="162"/>
        <v>3.1675048597887374E-12</v>
      </c>
      <c r="R191" s="62">
        <f t="shared" si="109"/>
        <v>293.3333333333365</v>
      </c>
      <c r="S191" s="62">
        <f ca="1">AVERAGE(OFFSET($R$3,0,0,'Données projet'!$E$9+1,1))-AVERAGE(OFFSET($H$3,0,0,'Données projet'!$E$9+1,1))</f>
        <v>411.98877330238821</v>
      </c>
      <c r="T191" s="62">
        <f t="shared" si="142"/>
        <v>256.4377087753457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3.7859174458068079E-2</v>
      </c>
      <c r="AB191" s="23">
        <f>EXP(-LN(2)/2)*AB190+(1-EXP(-LN(2)/2))/(LN(2)/2)*V191*Y191*VLOOKUP('Données projet'!$B$9,Paramètres!$A$1:$I$89,3,0)*0.475*44/12</f>
        <v>2.3266975120455618E-23</v>
      </c>
      <c r="AC191" s="24">
        <f t="shared" si="163"/>
        <v>3.7859174458068079E-2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-5.9412741393316544E-14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356.31271939877655</v>
      </c>
      <c r="AO191" s="62">
        <f t="shared" si="144"/>
        <v>499.70544707812991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0.50674079935106986</v>
      </c>
      <c r="AW191" s="23">
        <f>EXP(-LN(2)/2)*AW190+(1-EXP(-LN(2)/2))/(LN(2)/2)*AQ191*AT191*VLOOKUP('Données projet'!$B$10,Paramètres!$A$1:$I$89,3,0)*0.475*44/12</f>
        <v>3.2235286140663866E-23</v>
      </c>
      <c r="AX191" s="23">
        <f t="shared" si="166"/>
        <v>0.50674079935106986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195.30963433439501</v>
      </c>
      <c r="BJ191" s="62">
        <f t="shared" si="146"/>
        <v>185.00219255324504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-4.9658410716801891E-14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303.33040062722074</v>
      </c>
      <c r="CE191" s="62">
        <f t="shared" si="148"/>
        <v>425.30058672361548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0.42354454871134267</v>
      </c>
      <c r="CM191" s="23">
        <f>EXP(-LN(2)/2)*CM190+(1-EXP(-LN(2)/2))/(LN(2)/2)*CG191*CJ191*VLOOKUP('Données projet'!$B$12,Paramètres!$A$1:$I$89,3,0)*0.475*44/12</f>
        <v>2.6942925729510084E-23</v>
      </c>
      <c r="CN191" s="24">
        <f t="shared" si="172"/>
        <v>0.42354454871134267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-5.3205440053716299E-14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396.92963589781414</v>
      </c>
      <c r="CZ191" s="62">
        <f t="shared" si="150"/>
        <v>294.38852181137639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1.1527845344971866E-13</v>
      </c>
      <c r="P192" s="14">
        <f t="shared" si="141"/>
        <v>1.7033846239409443E-12</v>
      </c>
      <c r="Q192" s="22">
        <f t="shared" si="162"/>
        <v>3.1675048597887374E-12</v>
      </c>
      <c r="R192" s="62">
        <f t="shared" si="109"/>
        <v>293.3333333333365</v>
      </c>
      <c r="S192" s="62">
        <f ca="1">AVERAGE(OFFSET($R$3,0,0,'Données projet'!$E$9+1,1))-AVERAGE(OFFSET($H$3,0,0,'Données projet'!$E$9+1,1))</f>
        <v>411.98877330238821</v>
      </c>
      <c r="T192" s="62">
        <f t="shared" si="142"/>
        <v>256.4377087753457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3.6823913341584753E-2</v>
      </c>
      <c r="AB192" s="23">
        <f>EXP(-LN(2)/2)*AB191+(1-EXP(-LN(2)/2))/(LN(2)/2)*V192*Y192*VLOOKUP('Données projet'!$B$9,Paramètres!$A$1:$I$89,3,0)*0.475*44/12</f>
        <v>1.6452235885372856E-23</v>
      </c>
      <c r="AC192" s="24">
        <f t="shared" si="163"/>
        <v>3.6823913341584753E-2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-5.9412741393316544E-14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356.31271939877655</v>
      </c>
      <c r="AO192" s="62">
        <f t="shared" si="144"/>
        <v>499.70544707812991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0.4928839455444744</v>
      </c>
      <c r="AW192" s="23">
        <f>EXP(-LN(2)/2)*AW191+(1-EXP(-LN(2)/2))/(LN(2)/2)*AQ192*AT192*VLOOKUP('Données projet'!$B$10,Paramètres!$A$1:$I$89,3,0)*0.475*44/12</f>
        <v>2.2793789423552153E-23</v>
      </c>
      <c r="AX192" s="23">
        <f t="shared" si="166"/>
        <v>0.4928839455444744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195.30963433439501</v>
      </c>
      <c r="BJ192" s="62">
        <f t="shared" si="146"/>
        <v>185.00219255324504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-4.9658410716801891E-14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303.33040062722074</v>
      </c>
      <c r="CE192" s="62">
        <f t="shared" si="148"/>
        <v>425.30058672361548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0.4119627007535912</v>
      </c>
      <c r="CM192" s="23">
        <f>EXP(-LN(2)/2)*CM191+(1-EXP(-LN(2)/2))/(LN(2)/2)*CG192*CJ192*VLOOKUP('Données projet'!$B$12,Paramètres!$A$1:$I$89,3,0)*0.475*44/12</f>
        <v>1.9051525488342089E-23</v>
      </c>
      <c r="CN192" s="24">
        <f t="shared" si="172"/>
        <v>0.4119627007535912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-5.3205440053716299E-14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396.92963589781414</v>
      </c>
      <c r="CZ192" s="62">
        <f t="shared" si="150"/>
        <v>294.38852181137639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1.1527845344971866E-13</v>
      </c>
      <c r="P193" s="14">
        <f t="shared" si="141"/>
        <v>1.7033846239409443E-12</v>
      </c>
      <c r="Q193" s="22">
        <f t="shared" si="162"/>
        <v>3.1675048597887374E-12</v>
      </c>
      <c r="R193" s="62">
        <f t="shared" si="109"/>
        <v>293.3333333333365</v>
      </c>
      <c r="S193" s="62">
        <f ca="1">AVERAGE(OFFSET($R$3,0,0,'Données projet'!$E$9+1,1))-AVERAGE(OFFSET($H$3,0,0,'Données projet'!$E$9+1,1))</f>
        <v>411.98877330238821</v>
      </c>
      <c r="T193" s="62">
        <f t="shared" si="142"/>
        <v>256.4377087753457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3.5816961494773675E-2</v>
      </c>
      <c r="AB193" s="23">
        <f>EXP(-LN(2)/2)*AB192+(1-EXP(-LN(2)/2))/(LN(2)/2)*V193*Y193*VLOOKUP('Données projet'!$B$9,Paramètres!$A$1:$I$89,3,0)*0.475*44/12</f>
        <v>1.1633487560227809E-23</v>
      </c>
      <c r="AC193" s="24">
        <f t="shared" si="163"/>
        <v>3.5816961494773675E-2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-5.9412741393316544E-14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356.31271939877655</v>
      </c>
      <c r="AO193" s="62">
        <f t="shared" si="144"/>
        <v>499.70544707812991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0.47940600813392054</v>
      </c>
      <c r="AW193" s="23">
        <f>EXP(-LN(2)/2)*AW192+(1-EXP(-LN(2)/2))/(LN(2)/2)*AQ193*AT193*VLOOKUP('Données projet'!$B$10,Paramètres!$A$1:$I$89,3,0)*0.475*44/12</f>
        <v>1.6117643070331933E-23</v>
      </c>
      <c r="AX193" s="23">
        <f t="shared" si="166"/>
        <v>0.47940600813392054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195.30963433439501</v>
      </c>
      <c r="BJ193" s="62">
        <f t="shared" si="146"/>
        <v>185.00219255324504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-4.9658410716801891E-14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303.33040062722074</v>
      </c>
      <c r="CE193" s="62">
        <f t="shared" si="148"/>
        <v>425.30058672361548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0.40069755903730736</v>
      </c>
      <c r="CM193" s="23">
        <f>EXP(-LN(2)/2)*CM192+(1-EXP(-LN(2)/2))/(LN(2)/2)*CG193*CJ193*VLOOKUP('Données projet'!$B$12,Paramètres!$A$1:$I$89,3,0)*0.475*44/12</f>
        <v>1.3471462864755042E-23</v>
      </c>
      <c r="CN193" s="24">
        <f t="shared" si="172"/>
        <v>0.40069755903730736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-5.3205440053716299E-14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396.92963589781414</v>
      </c>
      <c r="CZ193" s="62">
        <f t="shared" si="150"/>
        <v>294.38852181137639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1.1527845344971866E-13</v>
      </c>
      <c r="P194" s="14">
        <f t="shared" si="141"/>
        <v>1.7033846239409443E-12</v>
      </c>
      <c r="Q194" s="22">
        <f t="shared" si="162"/>
        <v>3.1675048597887374E-12</v>
      </c>
      <c r="R194" s="62">
        <f t="shared" si="109"/>
        <v>293.3333333333365</v>
      </c>
      <c r="S194" s="62">
        <f ca="1">AVERAGE(OFFSET($R$3,0,0,'Données projet'!$E$9+1,1))-AVERAGE(OFFSET($H$3,0,0,'Données projet'!$E$9+1,1))</f>
        <v>411.98877330238821</v>
      </c>
      <c r="T194" s="62">
        <f t="shared" si="142"/>
        <v>256.4377087753457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3.4837544799166946E-2</v>
      </c>
      <c r="AB194" s="23">
        <f>EXP(-LN(2)/2)*AB193+(1-EXP(-LN(2)/2))/(LN(2)/2)*V194*Y194*VLOOKUP('Données projet'!$B$9,Paramètres!$A$1:$I$89,3,0)*0.475*44/12</f>
        <v>8.2261179426864279E-24</v>
      </c>
      <c r="AC194" s="24">
        <f t="shared" si="163"/>
        <v>3.4837544799166946E-2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-5.9412741393316544E-14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356.31271939877655</v>
      </c>
      <c r="AO194" s="62">
        <f t="shared" si="144"/>
        <v>499.70544707812991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0.46629662563063223</v>
      </c>
      <c r="AW194" s="23">
        <f>EXP(-LN(2)/2)*AW193+(1-EXP(-LN(2)/2))/(LN(2)/2)*AQ194*AT194*VLOOKUP('Données projet'!$B$10,Paramètres!$A$1:$I$89,3,0)*0.475*44/12</f>
        <v>1.1396894711776076E-23</v>
      </c>
      <c r="AX194" s="23">
        <f t="shared" si="166"/>
        <v>0.46629662563063223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195.30963433439501</v>
      </c>
      <c r="BJ194" s="62">
        <f t="shared" si="146"/>
        <v>185.00219255324504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-4.9658410716801891E-14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303.33040062722074</v>
      </c>
      <c r="CE194" s="62">
        <f t="shared" si="148"/>
        <v>425.30058672361548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0.38974046321366335</v>
      </c>
      <c r="CM194" s="23">
        <f>EXP(-LN(2)/2)*CM193+(1-EXP(-LN(2)/2))/(LN(2)/2)*CG194*CJ194*VLOOKUP('Données projet'!$B$12,Paramètres!$A$1:$I$89,3,0)*0.475*44/12</f>
        <v>9.5257627441710444E-24</v>
      </c>
      <c r="CN194" s="24">
        <f t="shared" si="172"/>
        <v>0.38974046321366335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-5.3205440053716299E-14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396.92963589781414</v>
      </c>
      <c r="CZ194" s="62">
        <f t="shared" si="150"/>
        <v>294.38852181137639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1.1527845344971866E-13</v>
      </c>
      <c r="P195" s="14">
        <f t="shared" si="141"/>
        <v>1.7033846239409443E-12</v>
      </c>
      <c r="Q195" s="22">
        <f t="shared" si="162"/>
        <v>3.1675048597887374E-12</v>
      </c>
      <c r="R195" s="62">
        <f t="shared" ref="R195:R203" si="191">Q195+(I195+J195)*44/12</f>
        <v>293.3333333333365</v>
      </c>
      <c r="S195" s="62">
        <f ca="1">AVERAGE(OFFSET($R$3,0,0,'Données projet'!$E$9+1,1))-AVERAGE(OFFSET($H$3,0,0,'Données projet'!$E$9+1,1))</f>
        <v>411.98877330238821</v>
      </c>
      <c r="T195" s="62">
        <f t="shared" si="142"/>
        <v>256.4377087753457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3.3884910304606865E-2</v>
      </c>
      <c r="AB195" s="23">
        <f>EXP(-LN(2)/2)*AB194+(1-EXP(-LN(2)/2))/(LN(2)/2)*V195*Y195*VLOOKUP('Données projet'!$B$9,Paramètres!$A$1:$I$89,3,0)*0.475*44/12</f>
        <v>5.8167437801139045E-24</v>
      </c>
      <c r="AC195" s="24">
        <f t="shared" si="163"/>
        <v>3.3884910304606865E-2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-5.9412741393316544E-14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356.31271939877655</v>
      </c>
      <c r="AO195" s="62">
        <f t="shared" si="144"/>
        <v>499.70544707812991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0.45354571988128878</v>
      </c>
      <c r="AW195" s="23">
        <f>EXP(-LN(2)/2)*AW194+(1-EXP(-LN(2)/2))/(LN(2)/2)*AQ195*AT195*VLOOKUP('Données projet'!$B$10,Paramètres!$A$1:$I$89,3,0)*0.475*44/12</f>
        <v>8.0588215351659665E-24</v>
      </c>
      <c r="AX195" s="23">
        <f t="shared" si="166"/>
        <v>0.45354571988128878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195.30963433439501</v>
      </c>
      <c r="BJ195" s="62">
        <f t="shared" si="146"/>
        <v>185.00219255324504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-4.9658410716801891E-14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303.33040062722074</v>
      </c>
      <c r="CE195" s="62">
        <f t="shared" si="148"/>
        <v>425.30058672361548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0.37908298975152555</v>
      </c>
      <c r="CM195" s="23">
        <f>EXP(-LN(2)/2)*CM194+(1-EXP(-LN(2)/2))/(LN(2)/2)*CG195*CJ195*VLOOKUP('Données projet'!$B$12,Paramètres!$A$1:$I$89,3,0)*0.475*44/12</f>
        <v>6.735731432377521E-24</v>
      </c>
      <c r="CN195" s="24">
        <f t="shared" si="172"/>
        <v>0.37908298975152555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-5.3205440053716299E-14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396.92963589781414</v>
      </c>
      <c r="CZ195" s="62">
        <f t="shared" si="150"/>
        <v>294.38852181137639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1.1527845344971866E-13</v>
      </c>
      <c r="P196" s="14">
        <f t="shared" si="141"/>
        <v>1.7033846239409443E-12</v>
      </c>
      <c r="Q196" s="22">
        <f t="shared" si="162"/>
        <v>3.1675048597887374E-12</v>
      </c>
      <c r="R196" s="62">
        <f t="shared" si="191"/>
        <v>293.3333333333365</v>
      </c>
      <c r="S196" s="62">
        <f ca="1">AVERAGE(OFFSET($R$3,0,0,'Données projet'!$E$9+1,1))-AVERAGE(OFFSET($H$3,0,0,'Données projet'!$E$9+1,1))</f>
        <v>411.98877330238821</v>
      </c>
      <c r="T196" s="62">
        <f t="shared" si="142"/>
        <v>256.4377087753457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3.2958325650397399E-2</v>
      </c>
      <c r="AB196" s="23">
        <f>EXP(-LN(2)/2)*AB195+(1-EXP(-LN(2)/2))/(LN(2)/2)*V196*Y196*VLOOKUP('Données projet'!$B$9,Paramètres!$A$1:$I$89,3,0)*0.475*44/12</f>
        <v>4.1130589713432139E-24</v>
      </c>
      <c r="AC196" s="24">
        <f t="shared" si="163"/>
        <v>3.2958325650397399E-2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-5.9412741393316544E-14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356.31271939877655</v>
      </c>
      <c r="AO196" s="62">
        <f t="shared" si="144"/>
        <v>499.70544707812991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0.44114348832020212</v>
      </c>
      <c r="AW196" s="23">
        <f>EXP(-LN(2)/2)*AW195+(1-EXP(-LN(2)/2))/(LN(2)/2)*AQ196*AT196*VLOOKUP('Données projet'!$B$10,Paramètres!$A$1:$I$89,3,0)*0.475*44/12</f>
        <v>5.6984473558880381E-24</v>
      </c>
      <c r="AX196" s="23">
        <f t="shared" si="166"/>
        <v>0.44114348832020212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195.30963433439501</v>
      </c>
      <c r="BJ196" s="62">
        <f t="shared" si="146"/>
        <v>185.00219255324504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-4.9658410716801891E-14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303.33040062722074</v>
      </c>
      <c r="CE196" s="62">
        <f t="shared" si="148"/>
        <v>425.30058672361548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0.36871694546166206</v>
      </c>
      <c r="CM196" s="23">
        <f>EXP(-LN(2)/2)*CM195+(1-EXP(-LN(2)/2))/(LN(2)/2)*CG196*CJ196*VLOOKUP('Données projet'!$B$12,Paramètres!$A$1:$I$89,3,0)*0.475*44/12</f>
        <v>4.7628813720855222E-24</v>
      </c>
      <c r="CN196" s="24">
        <f t="shared" si="172"/>
        <v>0.36871694546166206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-5.3205440053716299E-14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396.92963589781414</v>
      </c>
      <c r="CZ196" s="62">
        <f t="shared" si="150"/>
        <v>294.38852181137639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1.1527845344971866E-13</v>
      </c>
      <c r="P197" s="14">
        <f t="shared" ref="P197:P203" si="203">EXP(-1.0587+0.8836*LN(O197)+0.284)</f>
        <v>1.7033846239409443E-12</v>
      </c>
      <c r="Q197" s="22">
        <f t="shared" si="162"/>
        <v>3.1675048597887374E-12</v>
      </c>
      <c r="R197" s="62">
        <f t="shared" si="191"/>
        <v>293.3333333333365</v>
      </c>
      <c r="S197" s="62">
        <f ca="1">AVERAGE(OFFSET($R$3,0,0,'Données projet'!$E$9+1,1))-AVERAGE(OFFSET($H$3,0,0,'Données projet'!$E$9+1,1))</f>
        <v>411.98877330238821</v>
      </c>
      <c r="T197" s="62">
        <f t="shared" ref="T197:T203" si="204">$T$3</f>
        <v>256.4377087753457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3.2057078502284266E-2</v>
      </c>
      <c r="AB197" s="23">
        <f>EXP(-LN(2)/2)*AB196+(1-EXP(-LN(2)/2))/(LN(2)/2)*V197*Y197*VLOOKUP('Données projet'!$B$9,Paramètres!$A$1:$I$89,3,0)*0.475*44/12</f>
        <v>2.9083718900569522E-24</v>
      </c>
      <c r="AC197" s="24">
        <f t="shared" si="163"/>
        <v>3.2057078502284266E-2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-5.9412741393316544E-14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356.31271939877655</v>
      </c>
      <c r="AO197" s="62">
        <f t="shared" ref="AO197:AO203" si="205">$AO$3</f>
        <v>499.70544707812991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0.42908039643335838</v>
      </c>
      <c r="AW197" s="23">
        <f>EXP(-LN(2)/2)*AW196+(1-EXP(-LN(2)/2))/(LN(2)/2)*AQ197*AT197*VLOOKUP('Données projet'!$B$10,Paramètres!$A$1:$I$89,3,0)*0.475*44/12</f>
        <v>4.0294107675829832E-24</v>
      </c>
      <c r="AX197" s="23">
        <f t="shared" si="166"/>
        <v>0.42908039643335838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195.30963433439501</v>
      </c>
      <c r="BJ197" s="62">
        <f t="shared" ref="BJ197:BJ203" si="206">$BJ$3</f>
        <v>185.00219255324504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-4.9658410716801891E-14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303.33040062722074</v>
      </c>
      <c r="CE197" s="62">
        <f t="shared" ref="CE197:CE203" si="207">$CE$3</f>
        <v>425.30058672361548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0.35863436119803144</v>
      </c>
      <c r="CM197" s="23">
        <f>EXP(-LN(2)/2)*CM196+(1-EXP(-LN(2)/2))/(LN(2)/2)*CG197*CJ197*VLOOKUP('Données projet'!$B$12,Paramètres!$A$1:$I$89,3,0)*0.475*44/12</f>
        <v>3.3678657161887605E-24</v>
      </c>
      <c r="CN197" s="24">
        <f t="shared" si="172"/>
        <v>0.35863436119803144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-5.3205440053716299E-14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396.92963589781414</v>
      </c>
      <c r="CZ197" s="62">
        <f t="shared" ref="CZ197:CZ203" si="208">$CZ$3</f>
        <v>294.38852181137639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1.1527845344971866E-13</v>
      </c>
      <c r="P198" s="14">
        <f t="shared" si="203"/>
        <v>1.7033846239409443E-12</v>
      </c>
      <c r="Q198" s="22">
        <f t="shared" si="162"/>
        <v>3.1675048597887374E-12</v>
      </c>
      <c r="R198" s="62">
        <f t="shared" si="191"/>
        <v>293.3333333333365</v>
      </c>
      <c r="S198" s="62">
        <f ca="1">AVERAGE(OFFSET($R$3,0,0,'Données projet'!$E$9+1,1))-AVERAGE(OFFSET($H$3,0,0,'Données projet'!$E$9+1,1))</f>
        <v>411.98877330238821</v>
      </c>
      <c r="T198" s="62">
        <f t="shared" si="204"/>
        <v>256.4377087753457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3.1180476004830811E-2</v>
      </c>
      <c r="AB198" s="23">
        <f>EXP(-LN(2)/2)*AB197+(1-EXP(-LN(2)/2))/(LN(2)/2)*V198*Y198*VLOOKUP('Données projet'!$B$9,Paramètres!$A$1:$I$89,3,0)*0.475*44/12</f>
        <v>2.056529485671607E-24</v>
      </c>
      <c r="AC198" s="24">
        <f t="shared" si="163"/>
        <v>3.1180476004830811E-2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-5.9412741393316544E-14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356.31271939877655</v>
      </c>
      <c r="AO198" s="62">
        <f t="shared" si="205"/>
        <v>499.70544707812991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0.41734717042853081</v>
      </c>
      <c r="AW198" s="23">
        <f>EXP(-LN(2)/2)*AW197+(1-EXP(-LN(2)/2))/(LN(2)/2)*AQ198*AT198*VLOOKUP('Données projet'!$B$10,Paramètres!$A$1:$I$89,3,0)*0.475*44/12</f>
        <v>2.8492236779440191E-24</v>
      </c>
      <c r="AX198" s="23">
        <f t="shared" si="166"/>
        <v>0.41734717042853081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195.30963433439501</v>
      </c>
      <c r="BJ198" s="62">
        <f t="shared" si="206"/>
        <v>185.00219255324504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-4.9658410716801891E-14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303.33040062722074</v>
      </c>
      <c r="CE198" s="62">
        <f t="shared" si="207"/>
        <v>425.30058672361548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0.34882748573130989</v>
      </c>
      <c r="CM198" s="23">
        <f>EXP(-LN(2)/2)*CM197+(1-EXP(-LN(2)/2))/(LN(2)/2)*CG198*CJ198*VLOOKUP('Données projet'!$B$12,Paramètres!$A$1:$I$89,3,0)*0.475*44/12</f>
        <v>2.3814406860427611E-24</v>
      </c>
      <c r="CN198" s="24">
        <f t="shared" si="172"/>
        <v>0.34882748573130989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-5.3205440053716299E-14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396.92963589781414</v>
      </c>
      <c r="CZ198" s="62">
        <f t="shared" si="208"/>
        <v>294.38852181137639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1.1527845344971866E-13</v>
      </c>
      <c r="P199" s="14">
        <f t="shared" si="203"/>
        <v>1.7033846239409443E-12</v>
      </c>
      <c r="Q199" s="22">
        <f t="shared" si="162"/>
        <v>3.1675048597887374E-12</v>
      </c>
      <c r="R199" s="62">
        <f t="shared" si="191"/>
        <v>293.3333333333365</v>
      </c>
      <c r="S199" s="62">
        <f ca="1">AVERAGE(OFFSET($R$3,0,0,'Données projet'!$E$9+1,1))-AVERAGE(OFFSET($H$3,0,0,'Données projet'!$E$9+1,1))</f>
        <v>411.98877330238821</v>
      </c>
      <c r="T199" s="62">
        <f t="shared" si="204"/>
        <v>256.4377087753457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3.0327844248768745E-2</v>
      </c>
      <c r="AB199" s="23">
        <f>EXP(-LN(2)/2)*AB198+(1-EXP(-LN(2)/2))/(LN(2)/2)*V199*Y199*VLOOKUP('Données projet'!$B$9,Paramètres!$A$1:$I$89,3,0)*0.475*44/12</f>
        <v>1.4541859450284761E-24</v>
      </c>
      <c r="AC199" s="24">
        <f t="shared" si="163"/>
        <v>3.0327844248768745E-2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-5.9412741393316544E-14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356.31271939877655</v>
      </c>
      <c r="AO199" s="62">
        <f t="shared" si="205"/>
        <v>499.70544707812991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0.40593479010582878</v>
      </c>
      <c r="AW199" s="23">
        <f>EXP(-LN(2)/2)*AW198+(1-EXP(-LN(2)/2))/(LN(2)/2)*AQ199*AT199*VLOOKUP('Données projet'!$B$10,Paramètres!$A$1:$I$89,3,0)*0.475*44/12</f>
        <v>2.0147053837914916E-24</v>
      </c>
      <c r="AX199" s="23">
        <f t="shared" si="166"/>
        <v>0.40593479010582878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195.30963433439501</v>
      </c>
      <c r="BJ199" s="62">
        <f t="shared" si="206"/>
        <v>185.00219255324504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-4.9658410716801891E-14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303.33040062722074</v>
      </c>
      <c r="CE199" s="62">
        <f t="shared" si="207"/>
        <v>425.30058672361548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0.33928877978994698</v>
      </c>
      <c r="CM199" s="23">
        <f>EXP(-LN(2)/2)*CM198+(1-EXP(-LN(2)/2))/(LN(2)/2)*CG199*CJ199*VLOOKUP('Données projet'!$B$12,Paramètres!$A$1:$I$89,3,0)*0.475*44/12</f>
        <v>1.6839328580943802E-24</v>
      </c>
      <c r="CN199" s="24">
        <f t="shared" si="172"/>
        <v>0.33928877978994698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-5.3205440053716299E-14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396.92963589781414</v>
      </c>
      <c r="CZ199" s="62">
        <f t="shared" si="208"/>
        <v>294.38852181137639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1.1527845344971866E-13</v>
      </c>
      <c r="P200" s="14">
        <f t="shared" si="203"/>
        <v>1.7033846239409443E-12</v>
      </c>
      <c r="Q200" s="22">
        <f t="shared" si="162"/>
        <v>3.1675048597887374E-12</v>
      </c>
      <c r="R200" s="62">
        <f t="shared" si="191"/>
        <v>293.3333333333365</v>
      </c>
      <c r="S200" s="62">
        <f ca="1">AVERAGE(OFFSET($R$3,0,0,'Données projet'!$E$9+1,1))-AVERAGE(OFFSET($H$3,0,0,'Données projet'!$E$9+1,1))</f>
        <v>411.98877330238821</v>
      </c>
      <c r="T200" s="62">
        <f t="shared" si="204"/>
        <v>256.4377087753457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2.9498527752914151E-2</v>
      </c>
      <c r="AB200" s="23">
        <f>EXP(-LN(2)/2)*AB199+(1-EXP(-LN(2)/2))/(LN(2)/2)*V200*Y200*VLOOKUP('Données projet'!$B$9,Paramètres!$A$1:$I$89,3,0)*0.475*44/12</f>
        <v>1.0282647428358035E-24</v>
      </c>
      <c r="AC200" s="24">
        <f t="shared" si="163"/>
        <v>2.9498527752914151E-2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-5.9412741393316544E-14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356.31271939877655</v>
      </c>
      <c r="AO200" s="62">
        <f t="shared" si="205"/>
        <v>499.70544707812991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0.39483448192320203</v>
      </c>
      <c r="AW200" s="23">
        <f>EXP(-LN(2)/2)*AW199+(1-EXP(-LN(2)/2))/(LN(2)/2)*AQ200*AT200*VLOOKUP('Données projet'!$B$10,Paramètres!$A$1:$I$89,3,0)*0.475*44/12</f>
        <v>1.4246118389720095E-24</v>
      </c>
      <c r="AX200" s="23">
        <f t="shared" si="166"/>
        <v>0.39483448192320203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195.30963433439501</v>
      </c>
      <c r="BJ200" s="62">
        <f t="shared" si="206"/>
        <v>185.00219255324504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-4.9658410716801891E-14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303.33040062722074</v>
      </c>
      <c r="CE200" s="62">
        <f t="shared" si="207"/>
        <v>425.30058672361548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0.3300109102641694</v>
      </c>
      <c r="CM200" s="23">
        <f>EXP(-LN(2)/2)*CM199+(1-EXP(-LN(2)/2))/(LN(2)/2)*CG200*CJ200*VLOOKUP('Données projet'!$B$12,Paramètres!$A$1:$I$89,3,0)*0.475*44/12</f>
        <v>1.1907203430213805E-24</v>
      </c>
      <c r="CN200" s="24">
        <f t="shared" si="172"/>
        <v>0.3300109102641694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-5.3205440053716299E-14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396.92963589781414</v>
      </c>
      <c r="CZ200" s="62">
        <f t="shared" si="208"/>
        <v>294.38852181137639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1.1527845344971866E-13</v>
      </c>
      <c r="P201" s="14">
        <f t="shared" si="203"/>
        <v>1.7033846239409443E-12</v>
      </c>
      <c r="Q201" s="22">
        <f t="shared" si="162"/>
        <v>3.1675048597887374E-12</v>
      </c>
      <c r="R201" s="62">
        <f t="shared" si="191"/>
        <v>293.3333333333365</v>
      </c>
      <c r="S201" s="62">
        <f ca="1">AVERAGE(OFFSET($R$3,0,0,'Données projet'!$E$9+1,1))-AVERAGE(OFFSET($H$3,0,0,'Données projet'!$E$9+1,1))</f>
        <v>411.98877330238821</v>
      </c>
      <c r="T201" s="62">
        <f t="shared" si="204"/>
        <v>256.4377087753457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2.8691888960250558E-2</v>
      </c>
      <c r="AB201" s="23">
        <f>EXP(-LN(2)/2)*AB200+(1-EXP(-LN(2)/2))/(LN(2)/2)*V201*Y201*VLOOKUP('Données projet'!$B$9,Paramètres!$A$1:$I$89,3,0)*0.475*44/12</f>
        <v>7.2709297251423806E-25</v>
      </c>
      <c r="AC201" s="24">
        <f t="shared" si="163"/>
        <v>2.8691888960250558E-2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-5.9412741393316544E-14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356.31271939877655</v>
      </c>
      <c r="AO201" s="62">
        <f t="shared" si="205"/>
        <v>499.70544707812991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0.38403771225156907</v>
      </c>
      <c r="AW201" s="23">
        <f>EXP(-LN(2)/2)*AW200+(1-EXP(-LN(2)/2))/(LN(2)/2)*AQ201*AT201*VLOOKUP('Données projet'!$B$10,Paramètres!$A$1:$I$89,3,0)*0.475*44/12</f>
        <v>1.0073526918957458E-24</v>
      </c>
      <c r="AX201" s="23">
        <f t="shared" si="166"/>
        <v>0.38403771225156907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195.30963433439501</v>
      </c>
      <c r="BJ201" s="62">
        <f t="shared" si="206"/>
        <v>185.00219255324504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-4.9658410716801891E-14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303.33040062722074</v>
      </c>
      <c r="CE201" s="62">
        <f t="shared" si="207"/>
        <v>425.30058672361548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0.32098674456847615</v>
      </c>
      <c r="CM201" s="23">
        <f>EXP(-LN(2)/2)*CM200+(1-EXP(-LN(2)/2))/(LN(2)/2)*CG201*CJ201*VLOOKUP('Données projet'!$B$12,Paramètres!$A$1:$I$89,3,0)*0.475*44/12</f>
        <v>8.4196642904719012E-25</v>
      </c>
      <c r="CN201" s="24">
        <f t="shared" si="172"/>
        <v>0.32098674456847615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-5.3205440053716299E-14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396.92963589781414</v>
      </c>
      <c r="CZ201" s="62">
        <f t="shared" si="208"/>
        <v>294.38852181137639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1.1527845344971866E-13</v>
      </c>
      <c r="P202" s="14">
        <f t="shared" si="203"/>
        <v>1.7033846239409443E-12</v>
      </c>
      <c r="Q202" s="22">
        <f t="shared" si="162"/>
        <v>3.1675048597887374E-12</v>
      </c>
      <c r="R202" s="62">
        <f t="shared" si="191"/>
        <v>293.3333333333365</v>
      </c>
      <c r="S202" s="62">
        <f ca="1">AVERAGE(OFFSET($R$3,0,0,'Données projet'!$E$9+1,1))-AVERAGE(OFFSET($H$3,0,0,'Données projet'!$E$9+1,1))</f>
        <v>411.98877330238821</v>
      </c>
      <c r="T202" s="62">
        <f t="shared" si="204"/>
        <v>256.4377087753457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2.7907307747791644E-2</v>
      </c>
      <c r="AB202" s="23">
        <f>EXP(-LN(2)/2)*AB201+(1-EXP(-LN(2)/2))/(LN(2)/2)*V202*Y202*VLOOKUP('Données projet'!$B$9,Paramètres!$A$1:$I$89,3,0)*0.475*44/12</f>
        <v>5.1413237141790174E-25</v>
      </c>
      <c r="AC202" s="24">
        <f t="shared" si="163"/>
        <v>2.7907307747791644E-2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-5.9412741393316544E-14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356.31271939877655</v>
      </c>
      <c r="AO202" s="62">
        <f t="shared" si="205"/>
        <v>499.70544707812991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0.37353618081438433</v>
      </c>
      <c r="AW202" s="23">
        <f>EXP(-LN(2)/2)*AW201+(1-EXP(-LN(2)/2))/(LN(2)/2)*AQ202*AT202*VLOOKUP('Données projet'!$B$10,Paramètres!$A$1:$I$89,3,0)*0.475*44/12</f>
        <v>7.1230591948600477E-25</v>
      </c>
      <c r="AX202" s="23">
        <f t="shared" si="166"/>
        <v>0.37353618081438433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195.30963433439501</v>
      </c>
      <c r="BJ202" s="62">
        <f t="shared" si="206"/>
        <v>185.00219255324504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-4.9658410716801891E-14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303.33040062722074</v>
      </c>
      <c r="CE202" s="62">
        <f t="shared" si="207"/>
        <v>425.30058672361548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0.31220934515829191</v>
      </c>
      <c r="CM202" s="23">
        <f>EXP(-LN(2)/2)*CM201+(1-EXP(-LN(2)/2))/(LN(2)/2)*CG202*CJ202*VLOOKUP('Données projet'!$B$12,Paramètres!$A$1:$I$89,3,0)*0.475*44/12</f>
        <v>5.9536017151069027E-25</v>
      </c>
      <c r="CN202" s="24">
        <f t="shared" si="172"/>
        <v>0.31220934515829191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-5.3205440053716299E-14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396.92963589781414</v>
      </c>
      <c r="CZ202" s="62">
        <f t="shared" si="208"/>
        <v>294.38852181137639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1.1527845344971866E-13</v>
      </c>
      <c r="P203" s="14">
        <f t="shared" si="203"/>
        <v>1.7033846239409443E-12</v>
      </c>
      <c r="Q203" s="22">
        <f t="shared" si="162"/>
        <v>3.1675048597887374E-12</v>
      </c>
      <c r="R203" s="62">
        <f t="shared" si="191"/>
        <v>293.3333333333365</v>
      </c>
      <c r="S203" s="62">
        <f ca="1">AVERAGE(OFFSET($R$3,0,0,'Données projet'!$E$9+1,1))-AVERAGE(OFFSET($H$3,0,0,'Données projet'!$E$9+1,1))</f>
        <v>411.98877330238821</v>
      </c>
      <c r="T203" s="62">
        <f t="shared" si="204"/>
        <v>256.4377087753457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2.714418094984675E-2</v>
      </c>
      <c r="AB203" s="23">
        <f>EXP(-LN(2)/2)*AB202+(1-EXP(-LN(2)/2))/(LN(2)/2)*V203*Y203*VLOOKUP('Données projet'!$B$9,Paramètres!$A$1:$I$89,3,0)*0.475*44/12</f>
        <v>3.6354648625711903E-25</v>
      </c>
      <c r="AC203" s="24">
        <f t="shared" si="163"/>
        <v>2.714418094984675E-2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-5.9412741393316544E-14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356.31271939877655</v>
      </c>
      <c r="AO203" s="62">
        <f t="shared" si="205"/>
        <v>499.70544707812991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0.36332181430660099</v>
      </c>
      <c r="AW203" s="23">
        <f>EXP(-LN(2)/2)*AW202+(1-EXP(-LN(2)/2))/(LN(2)/2)*AQ203*AT203*VLOOKUP('Données projet'!$B$10,Paramètres!$A$1:$I$89,3,0)*0.475*44/12</f>
        <v>5.0367634594787291E-25</v>
      </c>
      <c r="AX203" s="23">
        <f t="shared" si="166"/>
        <v>0.36332181430660099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195.30963433439501</v>
      </c>
      <c r="BJ203" s="62">
        <f t="shared" si="206"/>
        <v>185.00219255324504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-4.9658410716801891E-14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303.33040062722074</v>
      </c>
      <c r="CE203" s="62">
        <f t="shared" si="207"/>
        <v>425.30058672361548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0.3036719641965625</v>
      </c>
      <c r="CM203" s="23">
        <f>EXP(-LN(2)/2)*CM202+(1-EXP(-LN(2)/2))/(LN(2)/2)*CG203*CJ203*VLOOKUP('Données projet'!$B$12,Paramètres!$A$1:$I$89,3,0)*0.475*44/12</f>
        <v>4.2098321452359506E-25</v>
      </c>
      <c r="CN203" s="24">
        <f t="shared" si="172"/>
        <v>0.3036719641965625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-5.3205440053716299E-14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396.92963589781414</v>
      </c>
      <c r="CZ203" s="62">
        <f t="shared" si="208"/>
        <v>294.38852181137639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1.3655017210306359</v>
      </c>
      <c r="BA205" s="88">
        <f>EXP(LN('Données projet'!B88)/'Données projet'!A88)</f>
        <v>1.1554831727638066</v>
      </c>
      <c r="BV205" s="88">
        <f>EXP(LN('Données projet'!B114)/'Données projet'!A114)</f>
        <v>1.3655017210306359</v>
      </c>
      <c r="CQ205" s="88">
        <f>EXP(LN('Données projet'!B140)/'Données projet'!A140)</f>
        <v>1.2880503926580862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J26" sqref="J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1.0816237886027187</v>
      </c>
      <c r="C6" s="156">
        <f ca="1">IF(OR('Données projet'!B9="",'Données projet'!C9="",'Données projet'!C9=0%),0,Calculateur!S3)</f>
        <v>411.98877330238821</v>
      </c>
      <c r="D6" s="156">
        <f>IF(OR('Données projet'!B9="",'Données projet'!C9="",'Données projet'!C9=0%),0,Calculateur!T3)</f>
        <v>256.4377087753457</v>
      </c>
      <c r="E6" s="156">
        <f ca="1">MIN(C6,D6)</f>
        <v>256.4377087753457</v>
      </c>
      <c r="F6" s="156">
        <f ca="1">E6*B6</f>
        <v>277.36912610619004</v>
      </c>
      <c r="G6" s="156">
        <f ca="1">F6*(100%-'Données projet'!$C$24)*(100%-'Données projet'!$C$25)*(100%-'Données projet'!$C$26)*(100%-'Données projet'!$C$27)</f>
        <v>237.1506028207925</v>
      </c>
      <c r="H6" s="157">
        <f>IF(OR('Données projet'!B9="",'Données projet'!C9="",'Données projet'!C9=0%),0,AVERAGE(Calculateur!$AC$3:$AC$33)*B6)</f>
        <v>0.59624380092675722</v>
      </c>
      <c r="I6" s="158">
        <f>H6*(100%-'Données projet'!$C$24)*(100%-'Données projet'!$C$25)*(100%-'Données projet'!$C$26)*(100%-'Données projet'!$C$27)</f>
        <v>0.50978844979237747</v>
      </c>
      <c r="J6" s="159">
        <f>IF(OR('Données projet'!B9="",'Données projet'!C9="",'Données projet'!C9=0%),0,SUM(Calculateur!$V$3:$V$33)*VLOOKUP('Données projet'!$B$9,Paramètres!$A$1:$I$89,9,0)*B6)</f>
        <v>7.8417724673697107</v>
      </c>
      <c r="K6" s="160">
        <f>J6*(100%-'Données projet'!$C$24)*(100%-'Données projet'!$C$25)*(100%-'Données projet'!$C$26)*(100%-'Données projet'!$C$27)</f>
        <v>6.7047154596011023</v>
      </c>
      <c r="L6" s="161">
        <f ca="1">G6+I6+K6</f>
        <v>244.36510673018597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chevelu</v>
      </c>
      <c r="B7" s="163">
        <f>'Données projet'!D10</f>
        <v>0.18155827880117062</v>
      </c>
      <c r="C7" s="156">
        <f ca="1">IF(OR('Données projet'!B10="",'Données projet'!C10="",'Données projet'!C10=0%),0,Calculateur!AN3)</f>
        <v>356.31271939877655</v>
      </c>
      <c r="D7" s="156">
        <f>IF(OR('Données projet'!B10="",'Données projet'!C10="",'Données projet'!C10=0%),0,Calculateur!AO3)</f>
        <v>499.70544707812991</v>
      </c>
      <c r="E7" s="156">
        <f t="shared" ref="E7:E15" ca="1" si="0">MIN(C7,D7)</f>
        <v>356.31271939877655</v>
      </c>
      <c r="F7" s="156">
        <f t="shared" ref="F7:F15" ca="1" si="1">E7*B7</f>
        <v>64.691524049006347</v>
      </c>
      <c r="G7" s="156">
        <f ca="1">F7*(100%-'Données projet'!$C$24)*(100%-'Données projet'!$C$25)*(100%-'Données projet'!$C$26)*(100%-'Données projet'!$C$27)</f>
        <v>55.311253061900423</v>
      </c>
      <c r="H7" s="164">
        <f>IF(OR('Données projet'!B10="",'Données projet'!C10="",'Données projet'!C10=0%),0,AVERAGE(Calculateur!$AX$3:$AX$33)*B7)</f>
        <v>2.2361933289510114</v>
      </c>
      <c r="I7" s="158">
        <f>H7*(100%-'Données projet'!$C$24)*(100%-'Données projet'!$C$25)*(100%-'Données projet'!$C$26)*(100%-'Données projet'!$C$27)</f>
        <v>1.9119452962531147</v>
      </c>
      <c r="J7" s="159">
        <f>IF(OR('Données projet'!B10="",'Données projet'!C10="",'Données projet'!C10=0%),0,SUM(Calculateur!$AQ$3:$AQ$33)*VLOOKUP('Données projet'!$B$10,Paramètres!$A$1:$I$89,9,0)*B7)</f>
        <v>8.4878495339547264</v>
      </c>
      <c r="K7" s="160">
        <f>J7*(100%-'Données projet'!$C$24)*(100%-'Données projet'!$C$25)*(100%-'Données projet'!$C$26)*(100%-'Données projet'!$C$27)</f>
        <v>7.2571113515312913</v>
      </c>
      <c r="L7" s="161">
        <f t="shared" ref="L7:L15" ca="1" si="2">G7+I7+K7</f>
        <v>64.480309709684832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champêtre</v>
      </c>
      <c r="B8" s="163">
        <f>'Données projet'!D11</f>
        <v>0.18155827880117062</v>
      </c>
      <c r="C8" s="156">
        <f ca="1">IF(OR('Données projet'!B11="",'Données projet'!C11="",'Données projet'!C11=0%),0,Calculateur!BI3)</f>
        <v>195.30963433439501</v>
      </c>
      <c r="D8" s="156">
        <f>IF(OR('Données projet'!B11="",'Données projet'!C11="",'Données projet'!C11=0%),0,Calculateur!BJ3)</f>
        <v>185.00219255324504</v>
      </c>
      <c r="E8" s="156">
        <f t="shared" ca="1" si="0"/>
        <v>185.00219255324504</v>
      </c>
      <c r="F8" s="156">
        <f t="shared" ca="1" si="1"/>
        <v>33.588679654409916</v>
      </c>
      <c r="G8" s="156">
        <f ca="1">F8*(100%-'Données projet'!$C$24)*(100%-'Données projet'!$C$25)*(100%-'Données projet'!$C$26)*(100%-'Données projet'!$C$27)</f>
        <v>28.718321104520477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1.4070766607090723</v>
      </c>
      <c r="K8" s="160">
        <f>J8*(100%-'Données projet'!$C$24)*(100%-'Données projet'!$C$25)*(100%-'Données projet'!$C$26)*(100%-'Données projet'!$C$27)</f>
        <v>1.2030505449062567</v>
      </c>
      <c r="L8" s="161">
        <f t="shared" ca="1" si="2"/>
        <v>29.921371649426735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rouge d'Amérique</v>
      </c>
      <c r="B9" s="163">
        <f>'Données projet'!D12</f>
        <v>0.27559</v>
      </c>
      <c r="C9" s="156">
        <f ca="1">IF(OR('Données projet'!B12="",'Données projet'!C12="",'Données projet'!C12=0%),0,Calculateur!CD3)</f>
        <v>303.33040062722074</v>
      </c>
      <c r="D9" s="156">
        <f>IF(OR('Données projet'!B12="",'Données projet'!C12="",'Données projet'!C12=0%),0,Calculateur!CE3)</f>
        <v>425.30058672361548</v>
      </c>
      <c r="E9" s="156">
        <f t="shared" ca="1" si="0"/>
        <v>303.33040062722074</v>
      </c>
      <c r="F9" s="156">
        <f t="shared" ca="1" si="1"/>
        <v>83.594825108855758</v>
      </c>
      <c r="G9" s="156">
        <f ca="1">F9*(100%-'Données projet'!$C$24)*(100%-'Données projet'!$C$25)*(100%-'Données projet'!$C$26)*(100%-'Données projet'!$C$27)</f>
        <v>71.473575468071672</v>
      </c>
      <c r="H9" s="164">
        <f>IF(OR('Données projet'!B12="",'Données projet'!C12="",'Données projet'!C12=0%),0,AVERAGE(Calculateur!$CN$3:$CN$33)*B9)</f>
        <v>2.837069466382339</v>
      </c>
      <c r="I9" s="158">
        <f>H9*(100%-'Données projet'!$C$24)*(100%-'Données projet'!$C$25)*(100%-'Données projet'!$C$26)*(100%-'Données projet'!$C$27)</f>
        <v>2.4256943937568995</v>
      </c>
      <c r="J9" s="159">
        <f>IF(OR('Données projet'!B12="",'Données projet'!C12="",'Données projet'!C12=0%),0,SUM(Calculateur!$CG$3:$CG$33)*VLOOKUP('Données projet'!$B$12,Paramètres!$A$1:$I$89,9,0)*B9)</f>
        <v>12.8838325</v>
      </c>
      <c r="K9" s="160">
        <f>J9*(100%-'Données projet'!$C$24)*(100%-'Données projet'!$C$25)*(100%-'Données projet'!$C$26)*(100%-'Données projet'!$C$27)</f>
        <v>11.0156767875</v>
      </c>
      <c r="L9" s="161">
        <f t="shared" ca="1" si="2"/>
        <v>84.91494664932857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Cèdre de l'Atlas</v>
      </c>
      <c r="B10" s="163">
        <f>'Données projet'!D13</f>
        <v>0.44701999999999997</v>
      </c>
      <c r="C10" s="156">
        <f ca="1">IF(OR('Données projet'!B13="",'Données projet'!C13="",'Données projet'!C13=0%),0,Calculateur!CY3)</f>
        <v>396.92963589781414</v>
      </c>
      <c r="D10" s="156">
        <f>IF(OR('Données projet'!B13="",'Données projet'!C13="",'Données projet'!C13=0%),0,Calculateur!CZ3)</f>
        <v>294.38852181137639</v>
      </c>
      <c r="E10" s="156">
        <f t="shared" ca="1" si="0"/>
        <v>294.38852181137639</v>
      </c>
      <c r="F10" s="156">
        <f t="shared" ca="1" si="1"/>
        <v>131.59755702012146</v>
      </c>
      <c r="G10" s="156">
        <f ca="1">F10*(100%-'Données projet'!$C$24)*(100%-'Données projet'!$C$25)*(100%-'Données projet'!$C$26)*(100%-'Données projet'!$C$27)</f>
        <v>112.51591125220384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112.51591125220384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590.84171193858356</v>
      </c>
      <c r="G16" s="175">
        <f t="shared" ca="1" si="3"/>
        <v>505.16966370748889</v>
      </c>
      <c r="H16" s="176">
        <f t="shared" si="3"/>
        <v>5.6695065962601081</v>
      </c>
      <c r="I16" s="176">
        <f t="shared" si="3"/>
        <v>4.8474281398023917</v>
      </c>
      <c r="J16" s="177">
        <f t="shared" si="3"/>
        <v>30.620531162033512</v>
      </c>
      <c r="K16" s="177">
        <f t="shared" si="3"/>
        <v>26.18055414353865</v>
      </c>
      <c r="L16" s="178">
        <f t="shared" ca="1" si="3"/>
        <v>536.19764599082998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champêtre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Cèdre de l'Atlas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4" zoomScale="90" zoomScaleNormal="90" workbookViewId="0">
      <selection activeCell="M42" sqref="M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60" t="s">
        <v>315</v>
      </c>
      <c r="I4" s="360"/>
      <c r="K4" s="357" t="s">
        <v>253</v>
      </c>
      <c r="L4" s="35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9" t="s">
        <v>310</v>
      </c>
      <c r="S7" s="350"/>
      <c r="T7" s="350"/>
      <c r="U7" s="350"/>
      <c r="V7" s="35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1.0816237886027187</v>
      </c>
      <c r="V10" s="189">
        <f>U10*T10</f>
        <v>621.69072467367096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2833.8524674465871</v>
      </c>
      <c r="U11" s="190">
        <f>'Données projet'!D10</f>
        <v>0.18155827880117062</v>
      </c>
      <c r="V11" s="189">
        <f t="shared" ref="V11" si="0">U11*T11</f>
        <v>514.50937636605272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champêtre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464.9273563041196</v>
      </c>
      <c r="U12" s="190">
        <f>'Données projet'!D11</f>
        <v>0.18155827880117062</v>
      </c>
      <c r="V12" s="189">
        <f t="shared" ref="V12:V19" si="1">U12*T12</f>
        <v>84.411410578154531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2978.977468336192</v>
      </c>
      <c r="U13" s="190">
        <f>'Données projet'!D12</f>
        <v>0.27559</v>
      </c>
      <c r="V13" s="189">
        <f t="shared" si="1"/>
        <v>820.97640049877111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Cèdre de l'Atlas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1073.3775350824558</v>
      </c>
      <c r="U14" s="190">
        <f>'Données projet'!D13</f>
        <v>0.44701999999999997</v>
      </c>
      <c r="V14" s="189">
        <f t="shared" si="1"/>
        <v>479.82122573255936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6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61"/>
      <c r="H16" s="203"/>
      <c r="I16" s="204"/>
      <c r="J16" s="216"/>
      <c r="K16" s="225"/>
      <c r="L16" s="357" t="s">
        <v>254</v>
      </c>
      <c r="M16" s="35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61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61"/>
      <c r="J18" s="216"/>
      <c r="K18" s="225"/>
      <c r="L18" s="315" t="s">
        <v>255</v>
      </c>
      <c r="M18" s="31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61"/>
      <c r="H19" s="232" t="s">
        <v>178</v>
      </c>
      <c r="I19" s="232" t="s">
        <v>287</v>
      </c>
      <c r="J19" s="260"/>
      <c r="K19" s="183"/>
      <c r="L19" s="357" t="s">
        <v>288</v>
      </c>
      <c r="M19" s="35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61"/>
      <c r="H20" s="203">
        <v>0</v>
      </c>
      <c r="I20" s="204">
        <v>5462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1099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200</v>
      </c>
      <c r="K23" s="225"/>
      <c r="L23" s="359" t="s">
        <v>260</v>
      </c>
      <c r="M23" s="359"/>
      <c r="N23" s="359"/>
      <c r="O23" s="25"/>
      <c r="P23" s="25"/>
      <c r="Q23" s="265"/>
      <c r="R23" s="25"/>
      <c r="S23" s="185" t="s">
        <v>264</v>
      </c>
      <c r="T23" s="3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-14670.390629556099</v>
      </c>
      <c r="U23" s="354"/>
      <c r="V23" s="35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200</v>
      </c>
      <c r="K24" s="225"/>
      <c r="O24" s="25"/>
      <c r="P24" s="25"/>
      <c r="Q24" s="265"/>
      <c r="R24" s="25"/>
      <c r="S24" s="185" t="s">
        <v>261</v>
      </c>
      <c r="T24" s="3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55"/>
      <c r="V24" s="35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>
        <v>5</v>
      </c>
      <c r="I25" s="204">
        <v>1100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56">
        <f ca="1">T23-T24</f>
        <v>-14670.390629556099</v>
      </c>
      <c r="U25" s="356"/>
      <c r="V25" s="35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43" t="s">
        <v>258</v>
      </c>
      <c r="M26" s="344"/>
      <c r="N26" s="344"/>
      <c r="O26" s="344"/>
      <c r="P26" s="345"/>
      <c r="Q26" s="265"/>
      <c r="R26" s="25"/>
      <c r="S26" s="198" t="s">
        <v>265</v>
      </c>
      <c r="T26" s="353" t="str">
        <f ca="1">IF(T25&lt;0,"Votre projet est additionnel","Votre projet n'est pas additionnel")</f>
        <v>Votre projet est additionnel</v>
      </c>
      <c r="U26" s="353"/>
      <c r="V26" s="35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46"/>
      <c r="M27" s="347"/>
      <c r="N27" s="347"/>
      <c r="O27" s="347"/>
      <c r="P27" s="348"/>
      <c r="Q27" s="265"/>
      <c r="R27" s="25"/>
      <c r="S27" s="352" t="s">
        <v>267</v>
      </c>
      <c r="T27" s="352"/>
      <c r="U27" s="352"/>
      <c r="V27" s="35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06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34</v>
      </c>
      <c r="C54" s="204">
        <v>5</v>
      </c>
      <c r="D54" s="191">
        <f>B54*C54</f>
        <v>170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50</v>
      </c>
      <c r="C55" s="204">
        <v>7</v>
      </c>
      <c r="D55" s="191">
        <f t="shared" ref="D55:D73" si="4">B55*C55</f>
        <v>350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52</v>
      </c>
      <c r="C56" s="204">
        <v>9</v>
      </c>
      <c r="D56" s="191">
        <f t="shared" si="4"/>
        <v>468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51</v>
      </c>
      <c r="C57" s="204">
        <v>14</v>
      </c>
      <c r="D57" s="191">
        <f t="shared" si="4"/>
        <v>714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49</v>
      </c>
      <c r="C58" s="204">
        <v>14</v>
      </c>
      <c r="D58" s="191">
        <f t="shared" si="4"/>
        <v>686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45</v>
      </c>
      <c r="C59" s="204">
        <v>20</v>
      </c>
      <c r="D59" s="191">
        <f t="shared" si="4"/>
        <v>900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41</v>
      </c>
      <c r="C60" s="204">
        <v>25</v>
      </c>
      <c r="D60" s="191">
        <f t="shared" si="4"/>
        <v>1025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37</v>
      </c>
      <c r="C61" s="204">
        <v>30</v>
      </c>
      <c r="D61" s="191">
        <f t="shared" si="4"/>
        <v>1110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258</v>
      </c>
      <c r="C62" s="204">
        <v>80</v>
      </c>
      <c r="D62" s="191">
        <f t="shared" si="4"/>
        <v>20640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champêtre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</v>
      </c>
      <c r="C85" s="204">
        <v>4</v>
      </c>
      <c r="D85" s="191">
        <f>B85*C85</f>
        <v>12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14</v>
      </c>
      <c r="C86" s="204">
        <v>4</v>
      </c>
      <c r="D86" s="191">
        <f t="shared" ref="D86:D104" si="6">B86*C86</f>
        <v>56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14</v>
      </c>
      <c r="C87" s="204">
        <v>4</v>
      </c>
      <c r="D87" s="191">
        <f t="shared" si="6"/>
        <v>56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14</v>
      </c>
      <c r="C88" s="204">
        <v>8</v>
      </c>
      <c r="D88" s="191">
        <f t="shared" si="6"/>
        <v>112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14</v>
      </c>
      <c r="C89" s="204">
        <v>8</v>
      </c>
      <c r="D89" s="191">
        <f t="shared" si="6"/>
        <v>112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14</v>
      </c>
      <c r="C90" s="204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11</v>
      </c>
      <c r="C91" s="204">
        <v>15</v>
      </c>
      <c r="D91" s="191">
        <f t="shared" si="6"/>
        <v>165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9</v>
      </c>
      <c r="C92" s="204">
        <v>20</v>
      </c>
      <c r="D92" s="191">
        <f t="shared" si="6"/>
        <v>180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7</v>
      </c>
      <c r="C93" s="204">
        <v>30</v>
      </c>
      <c r="D93" s="191">
        <f t="shared" si="6"/>
        <v>210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6</v>
      </c>
      <c r="C94" s="204">
        <v>40</v>
      </c>
      <c r="D94" s="191">
        <f t="shared" si="6"/>
        <v>240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5</v>
      </c>
      <c r="C95" s="204">
        <v>50</v>
      </c>
      <c r="D95" s="191">
        <f t="shared" si="6"/>
        <v>250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4</v>
      </c>
      <c r="C96" s="204">
        <v>50</v>
      </c>
      <c r="D96" s="191">
        <f t="shared" si="6"/>
        <v>200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159</v>
      </c>
      <c r="C97" s="204">
        <v>60</v>
      </c>
      <c r="D97" s="191">
        <f t="shared" si="6"/>
        <v>9540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34</v>
      </c>
      <c r="C116" s="204">
        <v>5</v>
      </c>
      <c r="D116" s="191">
        <f>B116*C116</f>
        <v>170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50</v>
      </c>
      <c r="C117" s="204">
        <v>7</v>
      </c>
      <c r="D117" s="191">
        <f t="shared" ref="D117:D135" si="8">B117*C117</f>
        <v>350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52</v>
      </c>
      <c r="C118" s="204">
        <v>9</v>
      </c>
      <c r="D118" s="191">
        <f t="shared" si="8"/>
        <v>468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51</v>
      </c>
      <c r="C119" s="204">
        <v>14</v>
      </c>
      <c r="D119" s="191">
        <f t="shared" si="8"/>
        <v>714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49</v>
      </c>
      <c r="C120" s="204">
        <v>14</v>
      </c>
      <c r="D120" s="191">
        <f t="shared" si="8"/>
        <v>686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45</v>
      </c>
      <c r="C121" s="204">
        <v>20</v>
      </c>
      <c r="D121" s="191">
        <f t="shared" si="8"/>
        <v>900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41</v>
      </c>
      <c r="C122" s="204">
        <v>25</v>
      </c>
      <c r="D122" s="191">
        <f t="shared" si="8"/>
        <v>1025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37</v>
      </c>
      <c r="C123" s="204">
        <v>30</v>
      </c>
      <c r="D123" s="191">
        <f t="shared" si="8"/>
        <v>1110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258</v>
      </c>
      <c r="C124" s="204">
        <v>80</v>
      </c>
      <c r="D124" s="191">
        <f t="shared" si="8"/>
        <v>20640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Cèdre de l'Atlas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40</v>
      </c>
      <c r="B149" s="187">
        <f>'Données projet'!D142</f>
        <v>88</v>
      </c>
      <c r="C149" s="204">
        <v>15</v>
      </c>
      <c r="D149" s="194">
        <f t="shared" si="10"/>
        <v>1320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50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60</v>
      </c>
      <c r="B151" s="187">
        <f>'Données projet'!D144</f>
        <v>102</v>
      </c>
      <c r="C151" s="204">
        <v>18</v>
      </c>
      <c r="D151" s="194">
        <f t="shared" si="10"/>
        <v>1836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70</v>
      </c>
      <c r="B152" s="187">
        <f>'Données projet'!D145</f>
        <v>113</v>
      </c>
      <c r="C152" s="204">
        <v>20</v>
      </c>
      <c r="D152" s="194">
        <f t="shared" si="10"/>
        <v>2260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80</v>
      </c>
      <c r="B153" s="187">
        <f>'Données projet'!D146</f>
        <v>124</v>
      </c>
      <c r="C153" s="204">
        <v>25</v>
      </c>
      <c r="D153" s="194">
        <f t="shared" si="10"/>
        <v>3100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90</v>
      </c>
      <c r="B154" s="187">
        <f>'Données projet'!D147</f>
        <v>135</v>
      </c>
      <c r="C154" s="204">
        <v>30</v>
      </c>
      <c r="D154" s="194">
        <f t="shared" si="10"/>
        <v>4050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100</v>
      </c>
      <c r="B155" s="187">
        <f>'Données projet'!D148</f>
        <v>723</v>
      </c>
      <c r="C155" s="204">
        <v>50</v>
      </c>
      <c r="D155" s="194">
        <f t="shared" si="10"/>
        <v>36150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pubescent</v>
      </c>
      <c r="D3" s="292" t="str">
        <f>'Données projet'!B10</f>
        <v>Chêne chevelu</v>
      </c>
      <c r="E3" s="292" t="str">
        <f>'Données projet'!B11</f>
        <v>Erable champêtre</v>
      </c>
      <c r="F3" s="292" t="str">
        <f>'Données projet'!B12</f>
        <v>Chêne rouge d'Amérique</v>
      </c>
      <c r="G3" s="292" t="str">
        <f>'Données projet'!B13</f>
        <v>Cèdre de l'Atlas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1.0816237886027187</v>
      </c>
      <c r="D4" s="300">
        <f>'Données projet'!$D$10</f>
        <v>0.18155827880117062</v>
      </c>
      <c r="E4" s="300">
        <f>'Données projet'!$D$11</f>
        <v>0.18155827880117062</v>
      </c>
      <c r="F4" s="300">
        <f>'Données projet'!$D$12</f>
        <v>0.27559</v>
      </c>
      <c r="G4" s="300">
        <f>'Données projet'!$D$13</f>
        <v>0.44701999999999997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2.1673503462050601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2025-01-06T14:41:06Z</dcterms:modified>
</cp:coreProperties>
</file>