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114"/>
  <workbookPr codeName="ThisWorkbook"/>
  <mc:AlternateContent xmlns:mc="http://schemas.openxmlformats.org/markup-compatibility/2006">
    <mc:Choice Requires="x15">
      <x15ac:absPath xmlns:x15ac="http://schemas.microsoft.com/office/spreadsheetml/2010/11/ac" url="/Users/a.l-l/Library/CloudStorage/GoogleDrive-alabergere@stock-co2.fr/Drive partagés/STOCK CO2/4 - STOCKEURS/02-FORET-VERGERS/3-DEPOSE/394-R-SOCOGEF-NAQ(33)-CAP-indivBRUN-BelinBéliet-6,75ha/"/>
    </mc:Choice>
  </mc:AlternateContent>
  <xr:revisionPtr revIDLastSave="0" documentId="13_ncr:1_{234CB3C4-D3DF-C34D-8B0D-51811DD0D9F3}" xr6:coauthVersionLast="47" xr6:coauthVersionMax="47" xr10:uidLastSave="{00000000-0000-0000-0000-000000000000}"/>
  <bookViews>
    <workbookView xWindow="0" yWindow="760" windowWidth="30240" windowHeight="18880" tabRatio="866" activeTab="6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9" i="1" l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FR4" i="2" s="1"/>
  <c r="DY4" i="2"/>
  <c r="ES4" i="2"/>
  <c r="DX4" i="2"/>
  <c r="EA4" i="2" s="1"/>
  <c r="GI4" i="2"/>
  <c r="CI4" i="2"/>
  <c r="ET4" i="2"/>
  <c r="DC4" i="2"/>
  <c r="BM4" i="2"/>
  <c r="DD4" i="2"/>
  <c r="CH4" i="2"/>
  <c r="BN4" i="2"/>
  <c r="AS4" i="2"/>
  <c r="AR4" i="2"/>
  <c r="FN4" i="2"/>
  <c r="FQ4" i="2" s="1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EX8" i="2" s="1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HG8" i="2" l="1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EB10" i="2" s="1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G11" i="2" s="1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EC11" i="2" l="1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EW12" i="2" s="1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EA18" i="2" s="1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V18" i="2" l="1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G22" i="2" s="1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EB22" i="2" l="1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HH24" i="2" l="1"/>
  <c r="FR24" i="2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X27" i="2" l="1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EV28" i="2" s="1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B28" i="2" l="1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FS29" i="2" l="1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V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FQ35" i="2" s="1"/>
  <c r="DY35" i="2"/>
  <c r="EB35" i="2" s="1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A35" i="2" l="1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I38" i="2" l="1"/>
  <c r="EW38" i="2"/>
  <c r="EA38" i="2"/>
  <c r="HH38" i="2"/>
  <c r="EX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HG41" i="2" s="1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I41" i="2" l="1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X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W44" i="2" l="1"/>
  <c r="HH44" i="2"/>
  <c r="EC44" i="2"/>
  <c r="HG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I46" i="2" s="1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HI48" i="2" s="1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G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I50" i="2" s="1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G50" i="2" l="1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EA51" i="2" s="1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B51" i="2" l="1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HG53" i="2" s="1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HG56" i="2" s="1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FS56" i="2" l="1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HI57" i="2" s="1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FS57" i="2" l="1"/>
  <c r="EV57" i="2"/>
  <c r="HH57" i="2"/>
  <c r="EB57" i="2"/>
  <c r="HG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HH59" i="2" s="1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EC59" i="2" s="1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B59" i="2" l="1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HH60" i="2" l="1"/>
  <c r="EW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V61" i="2" l="1"/>
  <c r="EW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G63" i="2" s="1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EB63" i="2" l="1"/>
  <c r="EX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S66" i="2" s="1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EV67" i="2" l="1"/>
  <c r="HH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HI70" i="2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EW71" i="2" s="1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A71" i="2" l="1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S74" i="2" s="1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EW74" i="2" l="1"/>
  <c r="FR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G75" i="2" s="1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HH76" i="2" s="1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I76" i="2" l="1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EB77" i="2" s="1"/>
  <c r="X77" i="2"/>
  <c r="DC77" i="2"/>
  <c r="BN77" i="2"/>
  <c r="AR77" i="2"/>
  <c r="DX77" i="2"/>
  <c r="EA77" i="2" s="1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I78" i="2" s="1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C78" i="2"/>
  <c r="EB78" i="2"/>
  <c r="EW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G79" i="2" s="1"/>
  <c r="HE79" i="2"/>
  <c r="GI79" i="2"/>
  <c r="GJ79" i="2"/>
  <c r="ES79" i="2"/>
  <c r="ET79" i="2"/>
  <c r="FN79" i="2"/>
  <c r="DY79" i="2"/>
  <c r="EB79" i="2" s="1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HG84" i="2" s="1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EC84" i="2" l="1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HG85" i="2" s="1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EA86" i="2" s="1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B86" i="2" l="1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EB95" i="2" s="1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X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I98" i="2" s="1"/>
  <c r="HF98" i="2"/>
  <c r="HB98" i="2"/>
  <c r="GS98" i="2"/>
  <c r="GR98" i="2"/>
  <c r="GH98" i="2"/>
  <c r="FL98" i="2"/>
  <c r="FC98" i="2"/>
  <c r="FW98" i="2"/>
  <c r="FM98" i="2"/>
  <c r="FS98" i="2" s="1"/>
  <c r="FP98" i="2"/>
  <c r="FX98" i="2"/>
  <c r="DZ98" i="2"/>
  <c r="DL98" i="2"/>
  <c r="DE98" i="2"/>
  <c r="GG98" i="2"/>
  <c r="EQ98" i="2"/>
  <c r="EH98" i="2"/>
  <c r="CJ98" i="2"/>
  <c r="CR98" i="2"/>
  <c r="FB98" i="2"/>
  <c r="ER98" i="2"/>
  <c r="EX98" i="2" s="1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W98" i="2" l="1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X100" i="2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HI101" i="2" s="1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EC101" i="2" l="1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EA105" i="2" s="1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V105" i="2" l="1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G106" i="2" s="1"/>
  <c r="HE106" i="2"/>
  <c r="GI106" i="2"/>
  <c r="GJ106" i="2"/>
  <c r="ET106" i="2"/>
  <c r="FN106" i="2"/>
  <c r="FO106" i="2"/>
  <c r="DY106" i="2"/>
  <c r="EB106" i="2" s="1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I106" i="2" l="1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EC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EA108" i="2" s="1"/>
  <c r="CI108" i="2"/>
  <c r="BM108" i="2"/>
  <c r="FN108" i="2"/>
  <c r="DY108" i="2"/>
  <c r="EB108" i="2" s="1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EX109" i="2" s="1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H110" i="2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FQ112" i="2" s="1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EC112" i="2" s="1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B112" i="2" l="1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EC113" i="2" s="1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HI113" i="2" l="1"/>
  <c r="EX113" i="2"/>
  <c r="FS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EV114" i="2" s="1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FS115" i="2" l="1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FS118" i="2"/>
  <c r="EX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EX119" i="2" l="1"/>
  <c r="HG119" i="2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FR120" i="2" s="1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I120" i="2" s="1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EX120" i="2" s="1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FQ120" i="2" l="1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FR121" i="2" l="1"/>
  <c r="EA121" i="2"/>
  <c r="EB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EW122" i="2" s="1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HH122" i="2" l="1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G124" i="2" s="1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EV128" i="2" s="1"/>
  <c r="DX128" i="2"/>
  <c r="FN128" i="2"/>
  <c r="ET128" i="2"/>
  <c r="DY128" i="2"/>
  <c r="EB128" i="2" s="1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X128" i="2" l="1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I130" i="2" l="1"/>
  <c r="EW130" i="2"/>
  <c r="EX130" i="2"/>
  <c r="EB130" i="2"/>
  <c r="HH130" i="2"/>
  <c r="FS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I131" i="2" s="1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EX131" i="2" l="1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HG132" i="2" l="1"/>
  <c r="EC132" i="2"/>
  <c r="FS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HH133" i="2" s="1"/>
  <c r="GJ133" i="2"/>
  <c r="GI133" i="2"/>
  <c r="HD133" i="2"/>
  <c r="FO133" i="2"/>
  <c r="FN133" i="2"/>
  <c r="ET133" i="2"/>
  <c r="ES133" i="2"/>
  <c r="EV133" i="2" s="1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G134" i="2" s="1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EX135" i="2" s="1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EX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EV138" i="2" s="1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B138" i="2" l="1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EA139" i="2" s="1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B139" i="2" l="1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EC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HH141" i="2" s="1"/>
  <c r="GJ141" i="2"/>
  <c r="FO141" i="2"/>
  <c r="FN141" i="2"/>
  <c r="GI141" i="2"/>
  <c r="ET141" i="2"/>
  <c r="ES141" i="2"/>
  <c r="HD141" i="2"/>
  <c r="HG141" i="2" s="1"/>
  <c r="CH141" i="2"/>
  <c r="CI141" i="2"/>
  <c r="BM141" i="2"/>
  <c r="DY141" i="2"/>
  <c r="EB141" i="2" s="1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X141" i="2" l="1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C142" i="2" l="1"/>
  <c r="EW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EX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H145" i="2" s="1"/>
  <c r="HD145" i="2"/>
  <c r="HG145" i="2" s="1"/>
  <c r="GJ145" i="2"/>
  <c r="FO145" i="2"/>
  <c r="FN145" i="2"/>
  <c r="GI145" i="2"/>
  <c r="ET145" i="2"/>
  <c r="CH145" i="2"/>
  <c r="DY145" i="2"/>
  <c r="EB145" i="2" s="1"/>
  <c r="CI145" i="2"/>
  <c r="BM145" i="2"/>
  <c r="X145" i="2"/>
  <c r="AR145" i="2"/>
  <c r="ES145" i="2"/>
  <c r="BN145" i="2"/>
  <c r="AS145" i="2"/>
  <c r="W145" i="2"/>
  <c r="DC145" i="2"/>
  <c r="DX145" i="2"/>
  <c r="EA145" i="2" s="1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X145" i="2" l="1"/>
  <c r="FR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EA146" i="2" s="1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EW147" i="2" s="1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EX147" i="2" s="1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HI147" i="2" l="1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C151" i="2" l="1"/>
  <c r="EV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B152" i="2" l="1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HG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GI156" i="2"/>
  <c r="FP156" i="2"/>
  <c r="HD156" i="2"/>
  <c r="HG156" i="2" s="1"/>
  <c r="HE156" i="2"/>
  <c r="HH156" i="2" s="1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AB156" i="2" s="1"/>
  <c r="H194" i="2"/>
  <c r="D195" i="2"/>
  <c r="G195" i="2" s="1"/>
  <c r="EY155" i="2"/>
  <c r="ED155" i="2"/>
  <c r="AX152" i="2"/>
  <c r="FS156" i="2" l="1"/>
  <c r="HI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EC157" i="2" s="1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B157" i="2" l="1"/>
  <c r="EX157" i="2"/>
  <c r="HH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V158" i="2" l="1"/>
  <c r="HG158" i="2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EC159" i="2" s="1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HI159" i="2"/>
  <c r="ED158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FS161" i="2" s="1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EA161" i="2" s="1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EB161" i="2" l="1"/>
  <c r="AB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D162" i="2" s="1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A163" i="2" l="1"/>
  <c r="EV163" i="2"/>
  <c r="HI163" i="2"/>
  <c r="FS163" i="2"/>
  <c r="EC163" i="2"/>
  <c r="EX163" i="2"/>
  <c r="DH163" i="2"/>
  <c r="EW163" i="2"/>
  <c r="GN163" i="2"/>
  <c r="DF163" i="2"/>
  <c r="DG163" i="2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ET164" i="2"/>
  <c r="ES164" i="2"/>
  <c r="EV164" i="2" s="1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HG164" i="2" l="1"/>
  <c r="EA164" i="2"/>
  <c r="EX164" i="2"/>
  <c r="DI163" i="2"/>
  <c r="DH164" i="2"/>
  <c r="FS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HG165" i="2" s="1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B165" i="2" s="1"/>
  <c r="EG165" i="2"/>
  <c r="GK165" i="2"/>
  <c r="EQ165" i="2"/>
  <c r="DM165" i="2"/>
  <c r="FB165" i="2"/>
  <c r="ES165" i="2"/>
  <c r="DW165" i="2"/>
  <c r="CQ165" i="2"/>
  <c r="BW165" i="2"/>
  <c r="ET165" i="2"/>
  <c r="DX165" i="2"/>
  <c r="EA165" i="2" s="1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HG166" i="2" s="1"/>
  <c r="GJ166" i="2"/>
  <c r="HE166" i="2"/>
  <c r="GK166" i="2"/>
  <c r="FB166" i="2"/>
  <c r="HF166" i="2"/>
  <c r="FW166" i="2"/>
  <c r="FL166" i="2"/>
  <c r="GR166" i="2"/>
  <c r="FX166" i="2"/>
  <c r="FM166" i="2"/>
  <c r="FS166" i="2" s="1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I166" i="2" l="1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EB167" i="2" s="1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A167" i="2" l="1"/>
  <c r="HH167" i="2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EV168" i="2" l="1"/>
  <c r="EW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FS169" i="2"/>
  <c r="EX169" i="2"/>
  <c r="EA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I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EW173" i="2" s="1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HH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Y173" i="2" s="1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HH174" i="2" s="1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AX171" i="2"/>
  <c r="EC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EW175" i="2" s="1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HH176" i="2" s="1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EB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FS177" i="2" l="1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EB178" i="2"/>
  <c r="HG178" i="2"/>
  <c r="EA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I179" i="2" s="1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EB179" i="2" l="1"/>
  <c r="EV179" i="2"/>
  <c r="DF179" i="2"/>
  <c r="EA179" i="2"/>
  <c r="HG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I180" i="2" l="1"/>
  <c r="HG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W181" i="2" l="1"/>
  <c r="HG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C182" i="2"/>
  <c r="EX182" i="2"/>
  <c r="DG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EB183" i="2" s="1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FS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Y184" i="2" s="1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AX182" i="2"/>
  <c r="EA185" i="2" l="1"/>
  <c r="EV185" i="2"/>
  <c r="EW185" i="2"/>
  <c r="HH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HH186" i="2" s="1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FR186" i="2" l="1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HI188" i="2" s="1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V189" i="2" l="1"/>
  <c r="EC189" i="2"/>
  <c r="FS189" i="2"/>
  <c r="HI189" i="2"/>
  <c r="EX189" i="2"/>
  <c r="EA189" i="2"/>
  <c r="GN189" i="2"/>
  <c r="HG189" i="2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HJ189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EW190" i="2" s="1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ED190" i="2" s="1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C192" i="2" l="1"/>
  <c r="EW192" i="2"/>
  <c r="HG192" i="2"/>
  <c r="EA192" i="2"/>
  <c r="EV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B193" i="2" l="1"/>
  <c r="EA193" i="2"/>
  <c r="EX193" i="2"/>
  <c r="HI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I195" i="2" s="1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FQ195" i="2" s="1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X192" i="2"/>
  <c r="HG195" i="2" l="1"/>
  <c r="AA195" i="2"/>
  <c r="EA195" i="2"/>
  <c r="EB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EV199" i="2"/>
  <c r="FS199" i="2"/>
  <c r="EW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EX200" i="2" s="1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EB201" i="2" s="1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HH202" i="2" s="1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R203" i="2" s="1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BC181" i="2" a="1"/>
  <c r="BC181" i="2" s="1"/>
  <c r="BC117" i="2" a="1"/>
  <c r="BC117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DN103" i="2" a="1"/>
  <c r="DN103" i="2" s="1"/>
  <c r="DN114" i="2" a="1"/>
  <c r="DN114" i="2" s="1"/>
  <c r="CS77" i="2" a="1"/>
  <c r="CS77" i="2" s="1"/>
  <c r="AH166" i="2" a="1"/>
  <c r="AH166" i="2" s="1"/>
  <c r="AH62" i="2" a="1"/>
  <c r="AH62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164" i="2" a="1"/>
  <c r="BC164" i="2" s="1"/>
  <c r="BC32" i="2" a="1"/>
  <c r="BC32" i="2" s="1"/>
  <c r="BC84" i="2" a="1"/>
  <c r="BC84" i="2" s="1"/>
  <c r="BC31" i="2" a="1"/>
  <c r="BC31" i="2" s="1"/>
  <c r="BC143" i="2" a="1"/>
  <c r="BC143" i="2" s="1"/>
  <c r="BC185" i="2" a="1"/>
  <c r="BC185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AH151" i="2" l="1" a="1"/>
  <c r="AH151" i="2" s="1"/>
  <c r="AH90" i="2" a="1"/>
  <c r="AH90" i="2" s="1"/>
  <c r="AH19" i="2" a="1"/>
  <c r="AH19" i="2" s="1"/>
  <c r="AH92" i="2" a="1"/>
  <c r="AH92" i="2" s="1"/>
  <c r="AH163" i="2" a="1"/>
  <c r="AH163" i="2" s="1"/>
  <c r="AH199" i="2" a="1"/>
  <c r="AH199" i="2" s="1"/>
  <c r="BP203" i="2"/>
  <c r="HG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FZ10" i="2" s="1"/>
  <c r="FZ11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FZ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3" i="2" l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<sst xmlns="http://schemas.openxmlformats.org/spreadsheetml/2006/main" count="1170" uniqueCount="324">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</sst>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5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9" fillId="14" borderId="1" xfId="0" quotePrefix="1" applyFont="1" applyFill="1" applyBorder="1" applyAlignment="1" applyProtection="1">
      <alignment horizontal="center"/>
      <protection locked="0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2.1740695541445767</c:v>
                </c:pt>
                <c:pt idx="2">
                  <c:v>3.0483597194677956</c:v>
                </c:pt>
                <c:pt idx="3">
                  <c:v>4.2757682089175599</c:v>
                </c:pt>
                <c:pt idx="4">
                  <c:v>5.9994967062251234</c:v>
                </c:pt>
                <c:pt idx="5">
                  <c:v>8.4210395885844349</c:v>
                </c:pt>
                <c:pt idx="6">
                  <c:v>11.823995638036267</c:v>
                </c:pt>
                <c:pt idx="7">
                  <c:v>16.607637515193812</c:v>
                </c:pt>
                <c:pt idx="8">
                  <c:v>23.334249216647464</c:v>
                </c:pt>
                <c:pt idx="9">
                  <c:v>32.795894174289465</c:v>
                </c:pt>
                <c:pt idx="10">
                  <c:v>46.108611596759225</c:v>
                </c:pt>
                <c:pt idx="11">
                  <c:v>64.845338591082097</c:v>
                </c:pt>
                <c:pt idx="12">
                  <c:v>91.223520171519496</c:v>
                </c:pt>
                <c:pt idx="13">
                  <c:v>118.00106434859693</c:v>
                </c:pt>
                <c:pt idx="14">
                  <c:v>144.62948990738442</c:v>
                </c:pt>
                <c:pt idx="15">
                  <c:v>128.60946872101411</c:v>
                </c:pt>
                <c:pt idx="16">
                  <c:v>157.23320596601718</c:v>
                </c:pt>
                <c:pt idx="17">
                  <c:v>185.73291888589367</c:v>
                </c:pt>
                <c:pt idx="18">
                  <c:v>214.13035769575148</c:v>
                </c:pt>
                <c:pt idx="19">
                  <c:v>242.44100517915163</c:v>
                </c:pt>
                <c:pt idx="20">
                  <c:v>192.39353515466735</c:v>
                </c:pt>
                <c:pt idx="21">
                  <c:v>220.22000307077266</c:v>
                </c:pt>
                <c:pt idx="22">
                  <c:v>247.96567699426421</c:v>
                </c:pt>
                <c:pt idx="23">
                  <c:v>275.6408681416313</c:v>
                </c:pt>
                <c:pt idx="24">
                  <c:v>303.25364525407053</c:v>
                </c:pt>
                <c:pt idx="25">
                  <c:v>330.81048669188147</c:v>
                </c:pt>
                <c:pt idx="26">
                  <c:v>278.42061666636533</c:v>
                </c:pt>
                <c:pt idx="27">
                  <c:v>304.10769056490716</c:v>
                </c:pt>
                <c:pt idx="28">
                  <c:v>329.7465119967348</c:v>
                </c:pt>
                <c:pt idx="29">
                  <c:v>355.34135739264133</c:v>
                </c:pt>
                <c:pt idx="30">
                  <c:v>382.48090928935699</c:v>
                </c:pt>
                <c:pt idx="31">
                  <c:v>409.57860438621697</c:v>
                </c:pt>
                <c:pt idx="32">
                  <c:v>436.63759831329827</c:v>
                </c:pt>
                <c:pt idx="33">
                  <c:v>362.8764911788914</c:v>
                </c:pt>
                <c:pt idx="34">
                  <c:v>386.41271716430532</c:v>
                </c:pt>
                <c:pt idx="35">
                  <c:v>409.91781659620875</c:v>
                </c:pt>
                <c:pt idx="36">
                  <c:v>433.39382378979275</c:v>
                </c:pt>
                <c:pt idx="37">
                  <c:v>456.84253483717094</c:v>
                </c:pt>
                <c:pt idx="38">
                  <c:v>480.26554654805312</c:v>
                </c:pt>
                <c:pt idx="39">
                  <c:v>504.47540239285649</c:v>
                </c:pt>
                <c:pt idx="40">
                  <c:v>528.66069480859915</c:v>
                </c:pt>
                <c:pt idx="41">
                  <c:v>552.82270438344437</c:v>
                </c:pt>
                <c:pt idx="42">
                  <c:v>576.96259075103353</c:v>
                </c:pt>
                <c:pt idx="43">
                  <c:v>601.08140869889337</c:v>
                </c:pt>
                <c:pt idx="44">
                  <c:v>625.18012155859981</c:v>
                </c:pt>
                <c:pt idx="45">
                  <c:v>649.25961242550727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5" x14ac:dyDescent="0.2"/>
  <cols>
    <col min="1" max="1" width="6.6640625" customWidth="1"/>
    <col min="2" max="13" width="15.83203125" customWidth="1"/>
  </cols>
  <sheetData>
    <row r="12" spans="2:13" ht="15" customHeight="1" x14ac:dyDescent="0.2">
      <c r="B12" s="258" t="s">
        <v>291</v>
      </c>
      <c r="C12" s="258"/>
      <c r="D12" s="258"/>
      <c r="E12" s="258"/>
      <c r="F12" s="258"/>
      <c r="G12" s="258"/>
      <c r="H12" s="258"/>
      <c r="I12" s="258"/>
      <c r="J12" s="258"/>
      <c r="K12" s="258"/>
      <c r="L12" s="258"/>
      <c r="M12" s="258"/>
    </row>
    <row r="13" spans="2:13" ht="15" customHeight="1" x14ac:dyDescent="0.2">
      <c r="B13" s="258"/>
      <c r="C13" s="258"/>
      <c r="D13" s="258"/>
      <c r="E13" s="258"/>
      <c r="F13" s="258"/>
      <c r="G13" s="258"/>
      <c r="H13" s="258"/>
      <c r="I13" s="258"/>
      <c r="J13" s="258"/>
      <c r="K13" s="258"/>
      <c r="L13" s="258"/>
      <c r="M13" s="258"/>
    </row>
    <row r="14" spans="2:13" ht="15" customHeight="1" x14ac:dyDescent="0.2">
      <c r="B14" s="258"/>
      <c r="C14" s="258"/>
      <c r="D14" s="258"/>
      <c r="E14" s="258"/>
      <c r="F14" s="258"/>
      <c r="G14" s="258"/>
      <c r="H14" s="258"/>
      <c r="I14" s="258"/>
      <c r="J14" s="258"/>
      <c r="K14" s="258"/>
      <c r="L14" s="258"/>
      <c r="M14" s="258"/>
    </row>
    <row r="15" spans="2:13" ht="18.75" customHeight="1" x14ac:dyDescent="0.2">
      <c r="B15" s="258"/>
      <c r="C15" s="258"/>
      <c r="D15" s="258"/>
      <c r="E15" s="258"/>
      <c r="F15" s="258"/>
      <c r="G15" s="258"/>
      <c r="H15" s="258"/>
      <c r="I15" s="258"/>
      <c r="J15" s="258"/>
      <c r="K15" s="258"/>
      <c r="L15" s="258"/>
      <c r="M15" s="258"/>
    </row>
    <row r="16" spans="2:13" ht="18.75" customHeight="1" x14ac:dyDescent="0.2">
      <c r="B16" s="258"/>
      <c r="C16" s="258"/>
      <c r="D16" s="258"/>
      <c r="E16" s="258"/>
      <c r="F16" s="258"/>
      <c r="G16" s="258"/>
      <c r="H16" s="258"/>
      <c r="I16" s="258"/>
      <c r="J16" s="258"/>
      <c r="K16" s="258"/>
      <c r="L16" s="258"/>
      <c r="M16" s="258"/>
    </row>
    <row r="18" spans="2:13" ht="12" customHeight="1" x14ac:dyDescent="0.2">
      <c r="B18" s="258" t="s">
        <v>292</v>
      </c>
      <c r="C18" s="258"/>
      <c r="D18" s="258"/>
      <c r="E18" s="258"/>
      <c r="F18" s="258"/>
      <c r="G18" s="258"/>
      <c r="H18" s="258"/>
      <c r="I18" s="258"/>
      <c r="J18" s="258"/>
      <c r="K18" s="258"/>
      <c r="L18" s="258"/>
      <c r="M18" s="258"/>
    </row>
    <row r="19" spans="2:13" ht="12" customHeight="1" x14ac:dyDescent="0.2">
      <c r="B19" s="258"/>
      <c r="C19" s="258"/>
      <c r="D19" s="258"/>
      <c r="E19" s="258"/>
      <c r="F19" s="258"/>
      <c r="G19" s="258"/>
      <c r="H19" s="258"/>
      <c r="I19" s="258"/>
      <c r="J19" s="258"/>
      <c r="K19" s="258"/>
      <c r="L19" s="258"/>
      <c r="M19" s="258"/>
    </row>
    <row r="20" spans="2:13" ht="12" customHeight="1" x14ac:dyDescent="0.2">
      <c r="B20" s="258"/>
      <c r="C20" s="258"/>
      <c r="D20" s="258"/>
      <c r="E20" s="258"/>
      <c r="F20" s="258"/>
      <c r="G20" s="258"/>
      <c r="H20" s="258"/>
      <c r="I20" s="258"/>
      <c r="J20" s="258"/>
      <c r="K20" s="258"/>
      <c r="L20" s="258"/>
      <c r="M20" s="258"/>
    </row>
    <row r="21" spans="2:13" ht="12" customHeight="1" x14ac:dyDescent="0.2">
      <c r="B21" s="258"/>
      <c r="C21" s="258"/>
      <c r="D21" s="258"/>
      <c r="E21" s="258"/>
      <c r="F21" s="258"/>
      <c r="G21" s="258"/>
      <c r="H21" s="258"/>
      <c r="I21" s="258"/>
      <c r="J21" s="258"/>
      <c r="K21" s="258"/>
      <c r="L21" s="258"/>
      <c r="M21" s="258"/>
    </row>
    <row r="22" spans="2:13" ht="12" customHeight="1" x14ac:dyDescent="0.2">
      <c r="B22" s="258"/>
      <c r="C22" s="258"/>
      <c r="D22" s="258"/>
      <c r="E22" s="258"/>
      <c r="F22" s="258"/>
      <c r="G22" s="258"/>
      <c r="H22" s="258"/>
      <c r="I22" s="258"/>
      <c r="J22" s="258"/>
      <c r="K22" s="258"/>
      <c r="L22" s="258"/>
      <c r="M22" s="258"/>
    </row>
    <row r="23" spans="2:13" ht="12" customHeight="1" x14ac:dyDescent="0.2">
      <c r="B23" s="258"/>
      <c r="C23" s="258"/>
      <c r="D23" s="258"/>
      <c r="E23" s="258"/>
      <c r="F23" s="258"/>
      <c r="G23" s="258"/>
      <c r="H23" s="258"/>
      <c r="I23" s="258"/>
      <c r="J23" s="258"/>
      <c r="K23" s="258"/>
      <c r="L23" s="258"/>
      <c r="M23" s="258"/>
    </row>
    <row r="24" spans="2:13" ht="12" customHeight="1" x14ac:dyDescent="0.2">
      <c r="B24" s="258"/>
      <c r="C24" s="258"/>
      <c r="D24" s="258"/>
      <c r="E24" s="258"/>
      <c r="F24" s="258"/>
      <c r="G24" s="258"/>
      <c r="H24" s="258"/>
      <c r="I24" s="258"/>
      <c r="J24" s="258"/>
      <c r="K24" s="258"/>
      <c r="L24" s="258"/>
      <c r="M24" s="258"/>
    </row>
    <row r="25" spans="2:13" ht="12" customHeight="1" x14ac:dyDescent="0.2">
      <c r="B25" s="258"/>
      <c r="C25" s="258"/>
      <c r="D25" s="258"/>
      <c r="E25" s="258"/>
      <c r="F25" s="258"/>
      <c r="G25" s="258"/>
      <c r="H25" s="258"/>
      <c r="I25" s="258"/>
      <c r="J25" s="258"/>
      <c r="K25" s="258"/>
      <c r="L25" s="258"/>
      <c r="M25" s="258"/>
    </row>
    <row r="26" spans="2:13" ht="12" customHeight="1" x14ac:dyDescent="0.2">
      <c r="B26" s="258"/>
      <c r="C26" s="258"/>
      <c r="D26" s="258"/>
      <c r="E26" s="258"/>
      <c r="F26" s="258"/>
      <c r="G26" s="258"/>
      <c r="H26" s="258"/>
      <c r="I26" s="258"/>
      <c r="J26" s="258"/>
      <c r="K26" s="258"/>
      <c r="L26" s="258"/>
      <c r="M26" s="258"/>
    </row>
    <row r="27" spans="2:13" ht="12" customHeight="1" x14ac:dyDescent="0.2">
      <c r="B27" s="258"/>
      <c r="C27" s="258"/>
      <c r="D27" s="258"/>
      <c r="E27" s="258"/>
      <c r="F27" s="258"/>
      <c r="G27" s="258"/>
      <c r="H27" s="258"/>
      <c r="I27" s="258"/>
      <c r="J27" s="258"/>
      <c r="K27" s="258"/>
      <c r="L27" s="258"/>
      <c r="M27" s="258"/>
    </row>
    <row r="28" spans="2:13" ht="12" customHeight="1" x14ac:dyDescent="0.2">
      <c r="B28" s="258"/>
      <c r="C28" s="258"/>
      <c r="D28" s="258"/>
      <c r="E28" s="258"/>
      <c r="F28" s="258"/>
      <c r="G28" s="258"/>
      <c r="H28" s="258"/>
      <c r="I28" s="258"/>
      <c r="J28" s="258"/>
      <c r="K28" s="258"/>
      <c r="L28" s="258"/>
      <c r="M28" s="258"/>
    </row>
    <row r="29" spans="2:13" ht="12" customHeight="1" x14ac:dyDescent="0.2">
      <c r="B29" s="258"/>
      <c r="C29" s="258"/>
      <c r="D29" s="258"/>
      <c r="E29" s="258"/>
      <c r="F29" s="258"/>
      <c r="G29" s="258"/>
      <c r="H29" s="258"/>
      <c r="I29" s="258"/>
      <c r="J29" s="258"/>
      <c r="K29" s="258"/>
      <c r="L29" s="258"/>
      <c r="M29" s="258"/>
    </row>
    <row r="30" spans="2:13" ht="12" customHeight="1" x14ac:dyDescent="0.2">
      <c r="B30" s="258"/>
      <c r="C30" s="258"/>
      <c r="D30" s="258"/>
      <c r="E30" s="258"/>
      <c r="F30" s="258"/>
      <c r="G30" s="258"/>
      <c r="H30" s="258"/>
      <c r="I30" s="258"/>
      <c r="J30" s="258"/>
      <c r="K30" s="258"/>
      <c r="L30" s="258"/>
      <c r="M30" s="258"/>
    </row>
    <row r="31" spans="2:13" ht="12" customHeight="1" x14ac:dyDescent="0.2">
      <c r="B31" s="258"/>
      <c r="C31" s="258"/>
      <c r="D31" s="258"/>
      <c r="E31" s="258"/>
      <c r="F31" s="258"/>
      <c r="G31" s="258"/>
      <c r="H31" s="258"/>
      <c r="I31" s="258"/>
      <c r="J31" s="258"/>
      <c r="K31" s="258"/>
      <c r="L31" s="258"/>
      <c r="M31" s="258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>
    <pageSetUpPr fitToPage="1"/>
  </sheetPr>
  <dimension ref="A1:AS427"/>
  <sheetViews>
    <sheetView zoomScale="82" zoomScaleNormal="55" workbookViewId="0">
      <selection activeCell="E10" sqref="E10"/>
    </sheetView>
  </sheetViews>
  <sheetFormatPr baseColWidth="10" defaultColWidth="11.5" defaultRowHeight="15" x14ac:dyDescent="0.2"/>
  <cols>
    <col min="1" max="1" width="13.6640625" style="23" customWidth="1"/>
    <col min="2" max="2" width="36.1640625" style="23" customWidth="1"/>
    <col min="3" max="3" width="14.83203125" style="23" bestFit="1" customWidth="1"/>
    <col min="4" max="4" width="16.5" style="23" customWidth="1"/>
    <col min="5" max="5" width="23.33203125" style="23" customWidth="1"/>
    <col min="6" max="6" width="28.83203125" style="23" bestFit="1" customWidth="1"/>
    <col min="7" max="8" width="14.6640625" style="23" customWidth="1"/>
    <col min="9" max="9" width="17" style="23" customWidth="1"/>
    <col min="10" max="10" width="13.83203125" style="23" customWidth="1"/>
    <col min="11" max="16384" width="11.5" style="23"/>
  </cols>
  <sheetData>
    <row r="1" spans="1:38" x14ac:dyDescent="0.2">
      <c r="A1" s="4"/>
      <c r="B1" s="4"/>
      <c r="C1" s="263" t="s">
        <v>190</v>
      </c>
      <c r="D1" s="263"/>
      <c r="E1" s="263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6" thickBot="1" x14ac:dyDescent="0.2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7" thickBot="1" x14ac:dyDescent="0.25">
      <c r="A3" s="4"/>
      <c r="B3" s="264" t="s">
        <v>192</v>
      </c>
      <c r="C3" s="265"/>
      <c r="D3" s="265"/>
      <c r="E3" s="265"/>
      <c r="F3" s="266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2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2">
      <c r="A5" s="269" t="s">
        <v>231</v>
      </c>
      <c r="B5" s="269"/>
      <c r="C5" s="24">
        <v>6.7510000000000003</v>
      </c>
      <c r="D5" s="270" t="s">
        <v>229</v>
      </c>
      <c r="E5" s="271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2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2">
      <c r="A7" s="268" t="s">
        <v>226</v>
      </c>
      <c r="B7" s="268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2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2">
      <c r="A9" s="30" t="s">
        <v>165</v>
      </c>
      <c r="B9" s="31" t="s">
        <v>36</v>
      </c>
      <c r="C9" s="32">
        <v>1</v>
      </c>
      <c r="D9" s="33">
        <f t="shared" ref="D9:D18" si="0">C9*$C$5</f>
        <v>6.7510000000000003</v>
      </c>
      <c r="E9" s="34">
        <v>45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2">
      <c r="A10" s="30" t="s">
        <v>166</v>
      </c>
      <c r="B10" s="31"/>
      <c r="C10" s="32"/>
      <c r="D10" s="33">
        <f t="shared" si="0"/>
        <v>0</v>
      </c>
      <c r="E10" s="34"/>
      <c r="F10" s="35" t="str">
        <f t="array" ref="F10">IF(E10="","",IF(INDEX(A:A,MAX(IF(ISNUMBER($A$62:$A$81),ROW($A$62:$A$81),"")))&lt;&gt;E10,"Corrigez : révolution incorrecte","OK"))</f>
        <v/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2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2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2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2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2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2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2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2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2">
      <c r="A19" s="78"/>
      <c r="B19" s="36" t="s">
        <v>175</v>
      </c>
      <c r="C19" s="37">
        <f>SUM(C9:C18)</f>
        <v>1</v>
      </c>
      <c r="D19" s="38">
        <f>SUM(D9:D18)</f>
        <v>6.7510000000000003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2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2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25">
      <c r="A22" s="267" t="s">
        <v>232</v>
      </c>
      <c r="B22" s="267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2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2">
      <c r="A24" s="41" t="s">
        <v>218</v>
      </c>
      <c r="B24" s="42" t="s">
        <v>224</v>
      </c>
      <c r="C24" s="43">
        <v>0.2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2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2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2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2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2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2">
      <c r="A30" s="268" t="s">
        <v>227</v>
      </c>
      <c r="B30" s="268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2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2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2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2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32" x14ac:dyDescent="0.2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2">
      <c r="A36" s="50">
        <v>12</v>
      </c>
      <c r="B36" s="60">
        <v>67.39</v>
      </c>
      <c r="C36" s="60"/>
      <c r="D36" s="60"/>
      <c r="E36" s="51"/>
      <c r="F36" s="51"/>
      <c r="G36" s="51"/>
      <c r="H36" s="51"/>
      <c r="I36" s="49">
        <f>IFERROR(B36/A36,"")</f>
        <v>5.6158333333333337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2">
      <c r="A37" s="50">
        <v>14</v>
      </c>
      <c r="B37" s="60">
        <v>108.18</v>
      </c>
      <c r="C37" s="60">
        <v>1</v>
      </c>
      <c r="D37" s="60">
        <v>34.25</v>
      </c>
      <c r="E37" s="51">
        <v>0.2</v>
      </c>
      <c r="F37" s="51">
        <v>0.45</v>
      </c>
      <c r="G37" s="51">
        <v>0.35</v>
      </c>
      <c r="H37" s="51"/>
      <c r="I37" s="53">
        <f t="shared" ref="I37:I55" si="1">IF(A37&lt;&gt;0,(B37-(B36-D36))/(A37-A36),"")</f>
        <v>20.395000000000003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2">
      <c r="A38" s="50">
        <v>19</v>
      </c>
      <c r="B38" s="60">
        <v>183.77</v>
      </c>
      <c r="C38" s="60">
        <v>2</v>
      </c>
      <c r="D38" s="60">
        <v>59.5</v>
      </c>
      <c r="E38" s="51">
        <v>0.4</v>
      </c>
      <c r="F38" s="51">
        <v>0.34</v>
      </c>
      <c r="G38" s="51">
        <v>0.26</v>
      </c>
      <c r="H38" s="51"/>
      <c r="I38" s="53">
        <f t="shared" si="1"/>
        <v>21.968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2">
      <c r="A39" s="50">
        <v>20</v>
      </c>
      <c r="B39" s="60">
        <v>144.97999999999999</v>
      </c>
      <c r="C39" s="60"/>
      <c r="D39" s="60"/>
      <c r="E39" s="51"/>
      <c r="F39" s="51"/>
      <c r="G39" s="51"/>
      <c r="H39" s="51"/>
      <c r="I39" s="49">
        <f t="shared" si="1"/>
        <v>20.70999999999998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2">
      <c r="A40" s="50">
        <v>25</v>
      </c>
      <c r="B40" s="60">
        <v>252.69</v>
      </c>
      <c r="C40" s="60">
        <v>3</v>
      </c>
      <c r="D40" s="60">
        <v>60.96</v>
      </c>
      <c r="E40" s="51">
        <v>0.6</v>
      </c>
      <c r="F40" s="51">
        <v>0.22</v>
      </c>
      <c r="G40" s="51">
        <v>0.18</v>
      </c>
      <c r="H40" s="51"/>
      <c r="I40" s="49">
        <f t="shared" si="1"/>
        <v>21.542000000000002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2">
      <c r="A41" s="50">
        <v>29</v>
      </c>
      <c r="B41" s="60">
        <v>271.89999999999998</v>
      </c>
      <c r="C41" s="60"/>
      <c r="D41" s="60"/>
      <c r="E41" s="51"/>
      <c r="F41" s="51"/>
      <c r="G41" s="51"/>
      <c r="H41" s="51"/>
      <c r="I41" s="53">
        <f t="shared" si="1"/>
        <v>20.042499999999997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2">
      <c r="A42" s="50">
        <v>32</v>
      </c>
      <c r="B42" s="60">
        <v>335.76</v>
      </c>
      <c r="C42" s="60">
        <v>4</v>
      </c>
      <c r="D42" s="60">
        <v>76.42</v>
      </c>
      <c r="E42" s="51">
        <v>0.8</v>
      </c>
      <c r="F42" s="51">
        <v>0.11</v>
      </c>
      <c r="G42" s="51">
        <v>0.09</v>
      </c>
      <c r="H42" s="51"/>
      <c r="I42" s="53">
        <f t="shared" si="1"/>
        <v>21.286666666666672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2">
      <c r="A43" s="50">
        <v>38</v>
      </c>
      <c r="B43" s="60">
        <v>370.14</v>
      </c>
      <c r="C43" s="60"/>
      <c r="D43" s="60"/>
      <c r="E43" s="51"/>
      <c r="F43" s="51"/>
      <c r="G43" s="51"/>
      <c r="H43" s="51"/>
      <c r="I43" s="49">
        <f t="shared" si="1"/>
        <v>18.466666666666669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2">
      <c r="A44" s="50">
        <v>45</v>
      </c>
      <c r="B44" s="60">
        <v>503.89</v>
      </c>
      <c r="C44" s="60">
        <v>5</v>
      </c>
      <c r="D44" s="60">
        <v>503.89</v>
      </c>
      <c r="E44" s="51">
        <v>0.9</v>
      </c>
      <c r="F44" s="51">
        <v>0.06</v>
      </c>
      <c r="G44" s="51">
        <v>0.04</v>
      </c>
      <c r="H44" s="51"/>
      <c r="I44" s="49">
        <f t="shared" si="1"/>
        <v>19.107142857142858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2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2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2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2">
      <c r="A48" s="50"/>
      <c r="B48" s="257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2">
      <c r="A49" s="50"/>
      <c r="B49" s="257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2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2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2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2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2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2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2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2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2">
      <c r="A58" s="46" t="s">
        <v>166</v>
      </c>
      <c r="B58" s="52" t="str">
        <f>IF(B10="","",B10)</f>
        <v/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2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2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32" x14ac:dyDescent="0.2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2">
      <c r="A62" s="50"/>
      <c r="B62" s="60"/>
      <c r="C62" s="60"/>
      <c r="D62" s="60"/>
      <c r="E62" s="51"/>
      <c r="F62" s="51"/>
      <c r="G62" s="51"/>
      <c r="H62" s="51"/>
      <c r="I62" s="53" t="str">
        <f>IFERROR(B62/A62,"")</f>
        <v/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2">
      <c r="A63" s="50"/>
      <c r="B63" s="60"/>
      <c r="C63" s="60"/>
      <c r="D63" s="257"/>
      <c r="E63" s="51"/>
      <c r="F63" s="51"/>
      <c r="G63" s="51"/>
      <c r="H63" s="51"/>
      <c r="I63" s="49" t="str">
        <f>IF(A63&lt;&gt;0,(B63-(B62-D62))/(A63-A62),"")</f>
        <v/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2">
      <c r="A64" s="50"/>
      <c r="B64" s="60"/>
      <c r="C64" s="60"/>
      <c r="D64" s="60"/>
      <c r="E64" s="51"/>
      <c r="F64" s="51"/>
      <c r="G64" s="51"/>
      <c r="H64" s="51"/>
      <c r="I64" s="49" t="str">
        <f>IF(A64&lt;&gt;0,(B64-(B63-D63))/(A64-A63),"")</f>
        <v/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2">
      <c r="A65" s="50"/>
      <c r="B65" s="60"/>
      <c r="C65" s="60"/>
      <c r="D65" s="60"/>
      <c r="E65" s="51"/>
      <c r="F65" s="51"/>
      <c r="G65" s="51"/>
      <c r="H65" s="51"/>
      <c r="I65" s="49" t="str">
        <f>IF(A65&lt;&gt;0,(B65-(B64-D64))/(A65-A64),"")</f>
        <v/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2">
      <c r="A66" s="50"/>
      <c r="B66" s="60"/>
      <c r="C66" s="60"/>
      <c r="D66" s="60"/>
      <c r="E66" s="51"/>
      <c r="F66" s="51"/>
      <c r="G66" s="51"/>
      <c r="H66" s="51"/>
      <c r="I66" s="49" t="str">
        <f t="shared" ref="I66:I81" si="2">IF(A66&lt;&gt;0,(B66-(B65-D65))/(A66-A65),"")</f>
        <v/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2">
      <c r="A67" s="50"/>
      <c r="B67" s="60"/>
      <c r="C67" s="60"/>
      <c r="D67" s="60"/>
      <c r="E67" s="51"/>
      <c r="F67" s="51"/>
      <c r="G67" s="51"/>
      <c r="H67" s="51"/>
      <c r="I67" s="49" t="str">
        <f t="shared" si="2"/>
        <v/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2">
      <c r="A68" s="50"/>
      <c r="B68" s="60"/>
      <c r="C68" s="60"/>
      <c r="D68" s="60"/>
      <c r="E68" s="51"/>
      <c r="F68" s="51"/>
      <c r="G68" s="51"/>
      <c r="H68" s="51"/>
      <c r="I68" s="49" t="str">
        <f t="shared" si="2"/>
        <v/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2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2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2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2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2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2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2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2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2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2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2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2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2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2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2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2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2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2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32" x14ac:dyDescent="0.2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2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2">
      <c r="A89" s="50"/>
      <c r="B89" s="60"/>
      <c r="C89" s="60"/>
      <c r="D89" s="60"/>
      <c r="E89" s="51"/>
      <c r="F89" s="51"/>
      <c r="G89" s="51"/>
      <c r="H89" s="87"/>
      <c r="I89" s="53" t="str">
        <f t="shared" ref="I89:I107" si="3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2">
      <c r="A90" s="50"/>
      <c r="B90" s="60"/>
      <c r="C90" s="60"/>
      <c r="D90" s="60"/>
      <c r="E90" s="87"/>
      <c r="F90" s="87"/>
      <c r="G90" s="87"/>
      <c r="H90" s="87"/>
      <c r="I90" s="53" t="str">
        <f t="shared" si="3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2">
      <c r="A91" s="50"/>
      <c r="B91" s="60"/>
      <c r="C91" s="60"/>
      <c r="D91" s="60"/>
      <c r="E91" s="87"/>
      <c r="F91" s="87"/>
      <c r="G91" s="87"/>
      <c r="H91" s="87"/>
      <c r="I91" s="53" t="str">
        <f t="shared" si="3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2">
      <c r="A92" s="50"/>
      <c r="B92" s="60"/>
      <c r="C92" s="60"/>
      <c r="D92" s="60"/>
      <c r="E92" s="87"/>
      <c r="F92" s="87"/>
      <c r="G92" s="87"/>
      <c r="H92" s="87"/>
      <c r="I92" s="53" t="str">
        <f t="shared" si="3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2">
      <c r="A93" s="50"/>
      <c r="B93" s="60"/>
      <c r="C93" s="60"/>
      <c r="D93" s="60"/>
      <c r="E93" s="87"/>
      <c r="F93" s="87"/>
      <c r="G93" s="87"/>
      <c r="H93" s="87"/>
      <c r="I93" s="53" t="str">
        <f t="shared" si="3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2">
      <c r="A94" s="50"/>
      <c r="B94" s="60"/>
      <c r="C94" s="60"/>
      <c r="D94" s="60"/>
      <c r="E94" s="87"/>
      <c r="F94" s="87"/>
      <c r="G94" s="87"/>
      <c r="H94" s="87"/>
      <c r="I94" s="53" t="str">
        <f t="shared" si="3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2">
      <c r="A95" s="60"/>
      <c r="B95" s="60"/>
      <c r="C95" s="60"/>
      <c r="D95" s="60"/>
      <c r="E95" s="87"/>
      <c r="F95" s="87"/>
      <c r="G95" s="87"/>
      <c r="H95" s="87"/>
      <c r="I95" s="53" t="str">
        <f t="shared" si="3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2">
      <c r="A96" s="60"/>
      <c r="B96" s="60"/>
      <c r="C96" s="60"/>
      <c r="D96" s="60"/>
      <c r="E96" s="87"/>
      <c r="F96" s="87"/>
      <c r="G96" s="87"/>
      <c r="H96" s="87"/>
      <c r="I96" s="53" t="str">
        <f t="shared" si="3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2">
      <c r="A97" s="60"/>
      <c r="B97" s="60"/>
      <c r="C97" s="60"/>
      <c r="D97" s="60"/>
      <c r="E97" s="87"/>
      <c r="F97" s="87"/>
      <c r="G97" s="87"/>
      <c r="H97" s="87"/>
      <c r="I97" s="53" t="str">
        <f t="shared" si="3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2">
      <c r="A98" s="60"/>
      <c r="B98" s="60"/>
      <c r="C98" s="60"/>
      <c r="D98" s="60"/>
      <c r="E98" s="87"/>
      <c r="F98" s="87"/>
      <c r="G98" s="87"/>
      <c r="H98" s="87"/>
      <c r="I98" s="53" t="str">
        <f t="shared" si="3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2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2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2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2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2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2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2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2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2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2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2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2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2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2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32" x14ac:dyDescent="0.2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2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2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4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2">
      <c r="A116" s="50"/>
      <c r="B116" s="60"/>
      <c r="C116" s="50"/>
      <c r="D116" s="60"/>
      <c r="E116" s="51"/>
      <c r="F116" s="51"/>
      <c r="G116" s="51"/>
      <c r="H116" s="51"/>
      <c r="I116" s="53" t="str">
        <f t="shared" si="4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2">
      <c r="A117" s="50"/>
      <c r="B117" s="60"/>
      <c r="C117" s="50"/>
      <c r="D117" s="60"/>
      <c r="E117" s="51"/>
      <c r="F117" s="51"/>
      <c r="G117" s="51"/>
      <c r="H117" s="51"/>
      <c r="I117" s="53" t="str">
        <f t="shared" si="4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2">
      <c r="A118" s="50"/>
      <c r="B118" s="60"/>
      <c r="C118" s="50"/>
      <c r="D118" s="60"/>
      <c r="E118" s="51"/>
      <c r="F118" s="51"/>
      <c r="G118" s="51"/>
      <c r="H118" s="51"/>
      <c r="I118" s="53" t="str">
        <f t="shared" si="4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2">
      <c r="A119" s="50"/>
      <c r="B119" s="60"/>
      <c r="C119" s="50"/>
      <c r="D119" s="60"/>
      <c r="E119" s="51"/>
      <c r="F119" s="51"/>
      <c r="G119" s="51"/>
      <c r="H119" s="51"/>
      <c r="I119" s="53" t="str">
        <f t="shared" si="4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2">
      <c r="A120" s="60"/>
      <c r="B120" s="60"/>
      <c r="C120" s="60"/>
      <c r="D120" s="60"/>
      <c r="E120" s="87"/>
      <c r="F120" s="87"/>
      <c r="G120" s="87"/>
      <c r="H120" s="87"/>
      <c r="I120" s="53" t="str">
        <f t="shared" si="4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2">
      <c r="A121" s="60"/>
      <c r="B121" s="60"/>
      <c r="C121" s="60"/>
      <c r="D121" s="60"/>
      <c r="E121" s="87"/>
      <c r="F121" s="87"/>
      <c r="G121" s="87"/>
      <c r="H121" s="87"/>
      <c r="I121" s="53" t="str">
        <f t="shared" si="4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2">
      <c r="A122" s="60"/>
      <c r="B122" s="60"/>
      <c r="C122" s="60"/>
      <c r="D122" s="60"/>
      <c r="E122" s="87"/>
      <c r="F122" s="87"/>
      <c r="G122" s="87"/>
      <c r="H122" s="87"/>
      <c r="I122" s="53" t="str">
        <f t="shared" si="4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2">
      <c r="A123" s="60"/>
      <c r="B123" s="60"/>
      <c r="C123" s="60"/>
      <c r="D123" s="60"/>
      <c r="E123" s="87"/>
      <c r="F123" s="87"/>
      <c r="G123" s="87"/>
      <c r="H123" s="87"/>
      <c r="I123" s="53" t="str">
        <f t="shared" si="4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2">
      <c r="A124" s="60"/>
      <c r="B124" s="60"/>
      <c r="C124" s="60"/>
      <c r="D124" s="60"/>
      <c r="E124" s="87"/>
      <c r="F124" s="87"/>
      <c r="G124" s="87"/>
      <c r="H124" s="87"/>
      <c r="I124" s="53" t="str">
        <f t="shared" si="4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2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2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2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2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2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2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2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2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2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2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2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2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2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2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32" x14ac:dyDescent="0.2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2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2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2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2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2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2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2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2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2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2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2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2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2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2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2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2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2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2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2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2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2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2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2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2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2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32" x14ac:dyDescent="0.2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2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2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2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2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2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2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2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2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2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2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2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2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2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2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2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2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2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2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2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2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2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2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2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2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2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32" x14ac:dyDescent="0.2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2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2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2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2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2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2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2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2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2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2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2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2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2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2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2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2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2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2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2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2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2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2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2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2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2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32" x14ac:dyDescent="0.2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2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2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2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2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2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2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2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2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2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2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2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2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2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2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2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2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2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2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2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2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2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2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2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2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2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32" x14ac:dyDescent="0.2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2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2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2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2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2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2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2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2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2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2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2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2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2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2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2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2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2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2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2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2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2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2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2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2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2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32" x14ac:dyDescent="0.2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2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2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2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2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2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2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2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2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2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2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2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2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2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2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2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2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2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2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2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2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2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2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2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2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2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2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2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2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2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2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2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2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2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2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2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2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2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2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2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2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2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2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2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2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2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2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2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2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2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2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2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2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2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2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2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2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2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2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2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2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2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2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2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2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2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2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2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2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2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2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2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2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2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2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2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2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2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2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2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2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2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2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2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2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2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2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2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2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2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2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2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2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2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2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2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2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2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2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2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2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2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2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2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2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2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2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2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2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2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2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2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2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2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2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2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2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2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2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2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2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2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2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2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2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2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2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2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2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2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2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2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2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2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2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2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2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2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2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2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2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2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2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2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2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2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2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2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2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2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2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2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2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2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2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2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2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2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2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scale="1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>
    <pageSetUpPr fitToPage="1"/>
  </sheetPr>
  <dimension ref="A1:AL163"/>
  <sheetViews>
    <sheetView zoomScaleNormal="100" workbookViewId="0">
      <selection activeCell="G15" sqref="G15"/>
    </sheetView>
  </sheetViews>
  <sheetFormatPr baseColWidth="10" defaultColWidth="11.5" defaultRowHeight="15" x14ac:dyDescent="0.2"/>
  <cols>
    <col min="1" max="1" width="5.83203125" style="1" customWidth="1"/>
    <col min="2" max="2" width="14.1640625" style="1" customWidth="1"/>
    <col min="3" max="3" width="62.164062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5" style="1"/>
    <col min="11" max="11" width="12.5" style="1" customWidth="1"/>
    <col min="12" max="16384" width="11.5" style="1"/>
  </cols>
  <sheetData>
    <row r="1" spans="1:38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7" thickBot="1" x14ac:dyDescent="0.35">
      <c r="A2" s="4"/>
      <c r="B2" s="273" t="s">
        <v>191</v>
      </c>
      <c r="C2" s="274"/>
      <c r="D2" s="274"/>
      <c r="E2" s="274"/>
      <c r="F2" s="274"/>
      <c r="G2" s="275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2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2">
      <c r="A4" s="4"/>
      <c r="B4" s="272"/>
      <c r="C4" s="272"/>
      <c r="D4" s="272"/>
      <c r="E4" s="272"/>
      <c r="F4" s="272"/>
      <c r="G4" s="272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2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2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2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2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2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2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2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2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2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2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2">
      <c r="A15" s="23"/>
      <c r="B15" s="26" t="s">
        <v>295</v>
      </c>
      <c r="C15" s="4"/>
      <c r="D15" s="23"/>
      <c r="E15" s="4"/>
      <c r="F15" s="4"/>
      <c r="G15" s="2" t="s">
        <v>36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2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2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2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2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2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2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2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2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2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2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2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2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2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2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2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2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2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2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2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2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2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2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2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2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2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2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2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2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2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2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2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2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2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2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2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2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2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2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2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2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2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2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2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2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2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2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2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2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2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2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2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2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2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2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2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2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2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2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2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2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2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2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2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2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2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2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2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2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2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2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2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2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2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2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2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2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2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2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2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2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2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2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2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2">
      <c r="C104" s="4"/>
      <c r="F104" s="4"/>
    </row>
    <row r="105" spans="3:35" x14ac:dyDescent="0.2">
      <c r="C105" s="4"/>
      <c r="F105" s="4"/>
    </row>
    <row r="106" spans="3:35" x14ac:dyDescent="0.2">
      <c r="C106" s="4"/>
      <c r="F106" s="4"/>
    </row>
    <row r="107" spans="3:35" x14ac:dyDescent="0.2">
      <c r="C107" s="4"/>
      <c r="F107" s="4"/>
    </row>
    <row r="108" spans="3:35" x14ac:dyDescent="0.2">
      <c r="C108" s="4"/>
      <c r="F108" s="4"/>
    </row>
    <row r="109" spans="3:35" x14ac:dyDescent="0.2">
      <c r="C109" s="4"/>
      <c r="F109" s="4"/>
    </row>
    <row r="110" spans="3:35" x14ac:dyDescent="0.2">
      <c r="C110" s="4"/>
      <c r="F110" s="4"/>
    </row>
    <row r="111" spans="3:35" x14ac:dyDescent="0.2">
      <c r="C111" s="4"/>
      <c r="F111" s="4"/>
    </row>
    <row r="112" spans="3:35" x14ac:dyDescent="0.2">
      <c r="C112" s="4"/>
      <c r="F112" s="4"/>
    </row>
    <row r="113" spans="3:6" x14ac:dyDescent="0.2">
      <c r="C113" s="4"/>
      <c r="F113" s="4"/>
    </row>
    <row r="114" spans="3:6" x14ac:dyDescent="0.2">
      <c r="C114" s="4"/>
      <c r="F114" s="4"/>
    </row>
    <row r="115" spans="3:6" x14ac:dyDescent="0.2">
      <c r="C115" s="4"/>
      <c r="F115" s="4"/>
    </row>
    <row r="116" spans="3:6" x14ac:dyDescent="0.2">
      <c r="C116" s="4"/>
      <c r="F116" s="4"/>
    </row>
    <row r="117" spans="3:6" x14ac:dyDescent="0.2">
      <c r="C117" s="4"/>
      <c r="F117" s="4"/>
    </row>
    <row r="118" spans="3:6" x14ac:dyDescent="0.2">
      <c r="C118" s="4"/>
      <c r="F118" s="4"/>
    </row>
    <row r="119" spans="3:6" x14ac:dyDescent="0.2">
      <c r="C119" s="4"/>
      <c r="F119" s="4"/>
    </row>
    <row r="120" spans="3:6" x14ac:dyDescent="0.2">
      <c r="C120" s="4"/>
      <c r="F120" s="4"/>
    </row>
    <row r="121" spans="3:6" x14ac:dyDescent="0.2">
      <c r="C121" s="4"/>
      <c r="F121" s="4"/>
    </row>
    <row r="122" spans="3:6" x14ac:dyDescent="0.2">
      <c r="C122" s="4"/>
      <c r="F122" s="4"/>
    </row>
    <row r="123" spans="3:6" x14ac:dyDescent="0.2">
      <c r="C123" s="4"/>
      <c r="F123" s="4"/>
    </row>
    <row r="124" spans="3:6" x14ac:dyDescent="0.2">
      <c r="C124" s="4"/>
      <c r="F124" s="4"/>
    </row>
    <row r="125" spans="3:6" x14ac:dyDescent="0.2">
      <c r="C125" s="4"/>
      <c r="F125" s="4"/>
    </row>
    <row r="126" spans="3:6" x14ac:dyDescent="0.2">
      <c r="C126" s="4"/>
      <c r="F126" s="4"/>
    </row>
    <row r="127" spans="3:6" x14ac:dyDescent="0.2">
      <c r="C127" s="4"/>
      <c r="F127" s="4"/>
    </row>
    <row r="128" spans="3:6" x14ac:dyDescent="0.2">
      <c r="C128" s="4"/>
      <c r="F128" s="4"/>
    </row>
    <row r="129" spans="3:6" x14ac:dyDescent="0.2">
      <c r="C129" s="4"/>
      <c r="F129" s="4"/>
    </row>
    <row r="130" spans="3:6" x14ac:dyDescent="0.2">
      <c r="C130" s="4"/>
      <c r="F130" s="4"/>
    </row>
    <row r="131" spans="3:6" x14ac:dyDescent="0.2">
      <c r="C131" s="4"/>
      <c r="F131" s="4"/>
    </row>
    <row r="132" spans="3:6" x14ac:dyDescent="0.2">
      <c r="F132" s="4"/>
    </row>
    <row r="133" spans="3:6" x14ac:dyDescent="0.2">
      <c r="F133" s="4"/>
    </row>
    <row r="134" spans="3:6" x14ac:dyDescent="0.2">
      <c r="F134" s="4"/>
    </row>
    <row r="135" spans="3:6" x14ac:dyDescent="0.2">
      <c r="F135" s="4"/>
    </row>
    <row r="136" spans="3:6" x14ac:dyDescent="0.2">
      <c r="F136" s="4"/>
    </row>
    <row r="137" spans="3:6" x14ac:dyDescent="0.2">
      <c r="F137" s="4"/>
    </row>
    <row r="138" spans="3:6" x14ac:dyDescent="0.2">
      <c r="F138" s="4"/>
    </row>
    <row r="139" spans="3:6" x14ac:dyDescent="0.2">
      <c r="F139" s="4"/>
    </row>
    <row r="140" spans="3:6" x14ac:dyDescent="0.2">
      <c r="F140" s="4"/>
    </row>
    <row r="141" spans="3:6" x14ac:dyDescent="0.2">
      <c r="F141" s="4"/>
    </row>
    <row r="142" spans="3:6" x14ac:dyDescent="0.2">
      <c r="F142" s="4"/>
    </row>
    <row r="143" spans="3:6" x14ac:dyDescent="0.2">
      <c r="F143" s="4"/>
    </row>
    <row r="144" spans="3:6" x14ac:dyDescent="0.2">
      <c r="F144" s="4"/>
    </row>
    <row r="145" spans="6:6" x14ac:dyDescent="0.2">
      <c r="F145" s="4"/>
    </row>
    <row r="146" spans="6:6" x14ac:dyDescent="0.2">
      <c r="F146" s="4"/>
    </row>
    <row r="147" spans="6:6" x14ac:dyDescent="0.2">
      <c r="F147" s="4"/>
    </row>
    <row r="148" spans="6:6" x14ac:dyDescent="0.2">
      <c r="F148" s="4"/>
    </row>
    <row r="149" spans="6:6" x14ac:dyDescent="0.2">
      <c r="F149" s="4"/>
    </row>
    <row r="150" spans="6:6" x14ac:dyDescent="0.2">
      <c r="F150" s="4"/>
    </row>
    <row r="151" spans="6:6" x14ac:dyDescent="0.2">
      <c r="F151" s="4"/>
    </row>
    <row r="152" spans="6:6" x14ac:dyDescent="0.2">
      <c r="F152" s="4"/>
    </row>
    <row r="153" spans="6:6" x14ac:dyDescent="0.2">
      <c r="F153" s="4"/>
    </row>
    <row r="154" spans="6:6" x14ac:dyDescent="0.2">
      <c r="F154" s="4"/>
    </row>
    <row r="155" spans="6:6" x14ac:dyDescent="0.2">
      <c r="F155" s="4"/>
    </row>
    <row r="156" spans="6:6" x14ac:dyDescent="0.2">
      <c r="F156" s="4"/>
    </row>
    <row r="157" spans="6:6" x14ac:dyDescent="0.2">
      <c r="F157" s="4"/>
    </row>
    <row r="158" spans="6:6" x14ac:dyDescent="0.2">
      <c r="F158" s="4"/>
    </row>
    <row r="159" spans="6:6" x14ac:dyDescent="0.2">
      <c r="F159" s="4"/>
    </row>
    <row r="160" spans="6:6" x14ac:dyDescent="0.2">
      <c r="F160" s="4"/>
    </row>
    <row r="161" spans="6:6" x14ac:dyDescent="0.2">
      <c r="F161" s="4"/>
    </row>
    <row r="162" spans="6:6" x14ac:dyDescent="0.2">
      <c r="F162" s="4"/>
    </row>
    <row r="163" spans="6:6" x14ac:dyDescent="0.2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scale="7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5" defaultRowHeight="15" x14ac:dyDescent="0.2"/>
  <cols>
    <col min="1" max="1" width="6.83203125" style="4" bestFit="1" customWidth="1"/>
    <col min="2" max="4" width="11.5" style="4"/>
    <col min="5" max="5" width="9.5" style="4" customWidth="1"/>
    <col min="6" max="7" width="11.5" style="4"/>
    <col min="8" max="8" width="10.6640625" style="4" customWidth="1"/>
    <col min="9" max="9" width="9.5" style="4" customWidth="1"/>
    <col min="10" max="11" width="10.5" style="4" bestFit="1" customWidth="1"/>
    <col min="12" max="12" width="14" style="4" bestFit="1" customWidth="1"/>
    <col min="13" max="13" width="14" style="4" customWidth="1"/>
    <col min="14" max="23" width="11.5" style="4"/>
    <col min="24" max="24" width="11.6640625" style="4" bestFit="1" customWidth="1"/>
    <col min="25" max="25" width="14.5" style="4" bestFit="1" customWidth="1"/>
    <col min="26" max="26" width="12.5" style="4" bestFit="1" customWidth="1"/>
    <col min="27" max="27" width="9.6640625" style="4" bestFit="1" customWidth="1"/>
    <col min="28" max="28" width="11" style="4" bestFit="1" customWidth="1"/>
    <col min="29" max="29" width="9.5" style="4" bestFit="1" customWidth="1"/>
    <col min="30" max="31" width="9.5" style="4" customWidth="1"/>
    <col min="32" max="32" width="11.5" style="4"/>
    <col min="33" max="34" width="14" style="4" bestFit="1" customWidth="1"/>
    <col min="35" max="35" width="10.5" style="4" bestFit="1" customWidth="1"/>
    <col min="36" max="36" width="9.5" style="4" bestFit="1" customWidth="1"/>
    <col min="37" max="38" width="10.5" style="4" bestFit="1" customWidth="1"/>
    <col min="39" max="41" width="10.5" style="4" customWidth="1"/>
    <col min="42" max="42" width="9" style="4" bestFit="1" customWidth="1"/>
    <col min="43" max="43" width="10.5" style="4" bestFit="1" customWidth="1"/>
    <col min="44" max="44" width="9.33203125" style="4" bestFit="1" customWidth="1"/>
    <col min="45" max="45" width="11.6640625" style="4" bestFit="1" customWidth="1"/>
    <col min="46" max="46" width="8.5" style="4" bestFit="1" customWidth="1"/>
    <col min="47" max="47" width="9.5" style="4" bestFit="1" customWidth="1"/>
    <col min="48" max="48" width="9.6640625" style="4" bestFit="1" customWidth="1"/>
    <col min="49" max="49" width="11" style="4" bestFit="1" customWidth="1"/>
    <col min="50" max="50" width="9.5" style="4" bestFit="1" customWidth="1"/>
    <col min="51" max="52" width="9.5" style="4" customWidth="1"/>
    <col min="53" max="53" width="10.5" style="4" bestFit="1" customWidth="1"/>
    <col min="54" max="54" width="14.33203125" style="4" customWidth="1"/>
    <col min="55" max="55" width="14" style="4" customWidth="1"/>
    <col min="56" max="56" width="10.5" style="4" bestFit="1" customWidth="1"/>
    <col min="57" max="57" width="9.5" style="4" bestFit="1" customWidth="1"/>
    <col min="58" max="59" width="10.5" style="4" bestFit="1" customWidth="1"/>
    <col min="60" max="62" width="10.5" style="4" customWidth="1"/>
    <col min="63" max="63" width="9" style="4" bestFit="1" customWidth="1"/>
    <col min="64" max="64" width="10.5" style="4" bestFit="1" customWidth="1"/>
    <col min="65" max="65" width="9.33203125" style="4" bestFit="1" customWidth="1"/>
    <col min="66" max="66" width="11.6640625" style="4" bestFit="1" customWidth="1"/>
    <col min="67" max="67" width="8.5" style="4" bestFit="1" customWidth="1"/>
    <col min="68" max="68" width="9.5" style="4" bestFit="1" customWidth="1"/>
    <col min="69" max="69" width="9.6640625" style="4" bestFit="1" customWidth="1"/>
    <col min="70" max="70" width="11" style="4" bestFit="1" customWidth="1"/>
    <col min="71" max="71" width="9.5" style="4" bestFit="1" customWidth="1"/>
    <col min="72" max="73" width="9.5" style="4" customWidth="1"/>
    <col min="74" max="74" width="10.5" style="4" bestFit="1" customWidth="1"/>
    <col min="75" max="75" width="14" style="4" bestFit="1" customWidth="1"/>
    <col min="76" max="76" width="13.83203125" style="4" customWidth="1"/>
    <col min="77" max="77" width="10.5" style="4" bestFit="1" customWidth="1"/>
    <col min="78" max="78" width="9.5" style="4" bestFit="1" customWidth="1"/>
    <col min="79" max="80" width="10.5" style="4" bestFit="1" customWidth="1"/>
    <col min="81" max="83" width="10.5" style="4" customWidth="1"/>
    <col min="84" max="84" width="11.5" style="4"/>
    <col min="85" max="85" width="10.5" style="4" bestFit="1" customWidth="1"/>
    <col min="86" max="86" width="9.33203125" style="4" bestFit="1" customWidth="1"/>
    <col min="87" max="87" width="11.6640625" style="4" bestFit="1" customWidth="1"/>
    <col min="88" max="88" width="8.5" style="4" bestFit="1" customWidth="1"/>
    <col min="89" max="89" width="9.5" style="4" bestFit="1" customWidth="1"/>
    <col min="90" max="90" width="9.6640625" style="4" bestFit="1" customWidth="1"/>
    <col min="91" max="91" width="11" style="4" bestFit="1" customWidth="1"/>
    <col min="92" max="92" width="9.5" style="4" bestFit="1" customWidth="1"/>
    <col min="93" max="94" width="9.5" style="4" customWidth="1"/>
    <col min="95" max="95" width="11.5" style="4"/>
    <col min="96" max="97" width="14" style="4" customWidth="1"/>
    <col min="98" max="98" width="10.5" style="4" bestFit="1" customWidth="1"/>
    <col min="99" max="99" width="9.5" style="4" bestFit="1" customWidth="1"/>
    <col min="100" max="101" width="10.5" style="4" bestFit="1" customWidth="1"/>
    <col min="102" max="104" width="10.5" style="4" customWidth="1"/>
    <col min="105" max="105" width="9" style="4" bestFit="1" customWidth="1"/>
    <col min="106" max="106" width="10.5" style="4" bestFit="1" customWidth="1"/>
    <col min="107" max="107" width="9.33203125" style="4" bestFit="1" customWidth="1"/>
    <col min="108" max="108" width="11.6640625" style="4" bestFit="1" customWidth="1"/>
    <col min="109" max="109" width="8.5" style="4" bestFit="1" customWidth="1"/>
    <col min="110" max="110" width="9.5" style="4" bestFit="1" customWidth="1"/>
    <col min="111" max="111" width="9.6640625" style="4" bestFit="1" customWidth="1"/>
    <col min="112" max="112" width="11" style="4" bestFit="1" customWidth="1"/>
    <col min="113" max="113" width="9.5" style="4" bestFit="1" customWidth="1"/>
    <col min="114" max="115" width="9.5" style="4" customWidth="1"/>
    <col min="116" max="116" width="10.5" style="4" bestFit="1" customWidth="1"/>
    <col min="117" max="117" width="14.33203125" style="4" customWidth="1"/>
    <col min="118" max="118" width="14" style="4" bestFit="1" customWidth="1"/>
    <col min="119" max="119" width="10.5" style="4" bestFit="1" customWidth="1"/>
    <col min="120" max="120" width="9.5" style="4" bestFit="1" customWidth="1"/>
    <col min="121" max="122" width="10.5" style="4" bestFit="1" customWidth="1"/>
    <col min="123" max="125" width="10.5" style="4" customWidth="1"/>
    <col min="126" max="126" width="9" style="4" bestFit="1" customWidth="1"/>
    <col min="127" max="127" width="10.5" style="4" bestFit="1" customWidth="1"/>
    <col min="128" max="128" width="9.33203125" style="4" bestFit="1" customWidth="1"/>
    <col min="129" max="129" width="11.6640625" style="4" bestFit="1" customWidth="1"/>
    <col min="130" max="130" width="8.5" style="4" bestFit="1" customWidth="1"/>
    <col min="131" max="131" width="9.5" style="4" bestFit="1" customWidth="1"/>
    <col min="132" max="132" width="9.6640625" style="4" bestFit="1" customWidth="1"/>
    <col min="133" max="133" width="11" style="4" bestFit="1" customWidth="1"/>
    <col min="134" max="134" width="9.5" style="4" bestFit="1" customWidth="1"/>
    <col min="135" max="136" width="9.5" style="4" customWidth="1"/>
    <col min="137" max="137" width="10.5" style="4" bestFit="1" customWidth="1"/>
    <col min="138" max="139" width="14" style="4" customWidth="1"/>
    <col min="140" max="140" width="10.5" style="4" bestFit="1" customWidth="1"/>
    <col min="141" max="141" width="9.5" style="4" bestFit="1" customWidth="1"/>
    <col min="142" max="143" width="10.5" style="4" bestFit="1" customWidth="1"/>
    <col min="144" max="146" width="10.5" style="4" customWidth="1"/>
    <col min="147" max="147" width="9" style="4" bestFit="1" customWidth="1"/>
    <col min="148" max="148" width="10.5" style="4" bestFit="1" customWidth="1"/>
    <col min="149" max="149" width="9.33203125" style="4" bestFit="1" customWidth="1"/>
    <col min="150" max="150" width="11.6640625" style="4" bestFit="1" customWidth="1"/>
    <col min="151" max="151" width="8.5" style="4" bestFit="1" customWidth="1"/>
    <col min="152" max="152" width="9.5" style="4" bestFit="1" customWidth="1"/>
    <col min="153" max="153" width="9.6640625" style="4" bestFit="1" customWidth="1"/>
    <col min="154" max="154" width="11" style="4" bestFit="1" customWidth="1"/>
    <col min="155" max="155" width="9.5" style="4" bestFit="1" customWidth="1"/>
    <col min="156" max="157" width="9.5" style="4" customWidth="1"/>
    <col min="158" max="158" width="11.5" style="4"/>
    <col min="159" max="160" width="14" style="4" bestFit="1" customWidth="1"/>
    <col min="161" max="161" width="10.5" style="4" bestFit="1" customWidth="1"/>
    <col min="162" max="162" width="9.5" style="4" bestFit="1" customWidth="1"/>
    <col min="163" max="164" width="10.5" style="4" bestFit="1" customWidth="1"/>
    <col min="165" max="167" width="10.5" style="4" customWidth="1"/>
    <col min="168" max="168" width="9" style="4" bestFit="1" customWidth="1"/>
    <col min="169" max="169" width="10.5" style="4" bestFit="1" customWidth="1"/>
    <col min="170" max="170" width="9.33203125" style="4" bestFit="1" customWidth="1"/>
    <col min="171" max="171" width="11.6640625" style="4" bestFit="1" customWidth="1"/>
    <col min="172" max="172" width="8.1640625" style="4" bestFit="1" customWidth="1"/>
    <col min="173" max="173" width="9.5" style="4" bestFit="1" customWidth="1"/>
    <col min="174" max="174" width="9.6640625" style="4" bestFit="1" customWidth="1"/>
    <col min="175" max="175" width="11" style="4" bestFit="1" customWidth="1"/>
    <col min="176" max="176" width="9.5" style="4" bestFit="1" customWidth="1"/>
    <col min="177" max="178" width="9.5" style="4" customWidth="1"/>
    <col min="179" max="179" width="10.5" style="4" bestFit="1" customWidth="1"/>
    <col min="180" max="181" width="14" style="4" bestFit="1" customWidth="1"/>
    <col min="182" max="182" width="10.5" style="4" bestFit="1" customWidth="1"/>
    <col min="183" max="183" width="9.5" style="4" bestFit="1" customWidth="1"/>
    <col min="184" max="185" width="10.5" style="4" bestFit="1" customWidth="1"/>
    <col min="186" max="188" width="10.5" style="4" customWidth="1"/>
    <col min="189" max="189" width="9" style="4" bestFit="1" customWidth="1"/>
    <col min="190" max="190" width="10.5" style="4" bestFit="1" customWidth="1"/>
    <col min="191" max="191" width="9.33203125" style="4" bestFit="1" customWidth="1"/>
    <col min="192" max="192" width="11.5" style="4"/>
    <col min="193" max="193" width="8.5" style="4" bestFit="1" customWidth="1"/>
    <col min="194" max="194" width="9.5" style="4" bestFit="1" customWidth="1"/>
    <col min="195" max="195" width="9.6640625" style="4" bestFit="1" customWidth="1"/>
    <col min="196" max="196" width="11" style="4" bestFit="1" customWidth="1"/>
    <col min="197" max="197" width="9.5" style="4" bestFit="1" customWidth="1"/>
    <col min="198" max="199" width="9.5" style="4" customWidth="1"/>
    <col min="200" max="200" width="10.5" style="4" bestFit="1" customWidth="1"/>
    <col min="201" max="201" width="14" style="4" customWidth="1"/>
    <col min="202" max="202" width="14.33203125" style="4" customWidth="1"/>
    <col min="203" max="203" width="10.5" style="4" bestFit="1" customWidth="1"/>
    <col min="204" max="204" width="9.5" style="4" bestFit="1" customWidth="1"/>
    <col min="205" max="206" width="10.5" style="4" bestFit="1" customWidth="1"/>
    <col min="207" max="209" width="10.5" style="4" customWidth="1"/>
    <col min="210" max="210" width="9" style="4" bestFit="1" customWidth="1"/>
    <col min="211" max="211" width="10.5" style="4" bestFit="1" customWidth="1"/>
    <col min="212" max="212" width="9.33203125" style="4" bestFit="1" customWidth="1"/>
    <col min="213" max="213" width="11.6640625" style="4" bestFit="1" customWidth="1"/>
    <col min="214" max="214" width="8.5" style="4" bestFit="1" customWidth="1"/>
    <col min="215" max="215" width="9.5" style="4" bestFit="1" customWidth="1"/>
    <col min="216" max="216" width="9.6640625" style="4" bestFit="1" customWidth="1"/>
    <col min="217" max="217" width="11" style="4" bestFit="1" customWidth="1"/>
    <col min="218" max="218" width="9.5" style="4" bestFit="1" customWidth="1"/>
    <col min="219" max="16384" width="11.5" style="4"/>
  </cols>
  <sheetData>
    <row r="1" spans="1:218" ht="27" thickBot="1" x14ac:dyDescent="0.35">
      <c r="B1" s="279" t="s">
        <v>176</v>
      </c>
      <c r="C1" s="280"/>
      <c r="D1" s="280"/>
      <c r="E1" s="280"/>
      <c r="F1" s="280"/>
      <c r="G1" s="280"/>
      <c r="H1" s="281"/>
      <c r="I1" s="276" t="str">
        <f>IF('Données projet'!$B$9="","",'Données projet'!$B$9)</f>
        <v>Pin maritime</v>
      </c>
      <c r="J1" s="277"/>
      <c r="K1" s="277"/>
      <c r="L1" s="277"/>
      <c r="M1" s="277"/>
      <c r="N1" s="277"/>
      <c r="O1" s="277"/>
      <c r="P1" s="277"/>
      <c r="Q1" s="277"/>
      <c r="R1" s="277"/>
      <c r="S1" s="277"/>
      <c r="T1" s="277"/>
      <c r="U1" s="277"/>
      <c r="V1" s="277"/>
      <c r="W1" s="277"/>
      <c r="X1" s="277"/>
      <c r="Y1" s="277"/>
      <c r="Z1" s="277"/>
      <c r="AA1" s="277"/>
      <c r="AB1" s="277"/>
      <c r="AC1" s="278"/>
      <c r="AD1" s="277" t="str">
        <f>IF('Données projet'!$B$10="","",'Données projet'!$B$10)</f>
        <v/>
      </c>
      <c r="AE1" s="277"/>
      <c r="AF1" s="277"/>
      <c r="AG1" s="277"/>
      <c r="AH1" s="277"/>
      <c r="AI1" s="277"/>
      <c r="AJ1" s="277"/>
      <c r="AK1" s="277"/>
      <c r="AL1" s="277"/>
      <c r="AM1" s="277"/>
      <c r="AN1" s="277"/>
      <c r="AO1" s="277"/>
      <c r="AP1" s="277"/>
      <c r="AQ1" s="277"/>
      <c r="AR1" s="277"/>
      <c r="AS1" s="277"/>
      <c r="AT1" s="277"/>
      <c r="AU1" s="277"/>
      <c r="AV1" s="277"/>
      <c r="AW1" s="277"/>
      <c r="AX1" s="278"/>
      <c r="AY1" s="276" t="str">
        <f>IF('Données projet'!$B$11="","",'Données projet'!$B$11)</f>
        <v/>
      </c>
      <c r="AZ1" s="277"/>
      <c r="BA1" s="277"/>
      <c r="BB1" s="277"/>
      <c r="BC1" s="277"/>
      <c r="BD1" s="277"/>
      <c r="BE1" s="277"/>
      <c r="BF1" s="277"/>
      <c r="BG1" s="277"/>
      <c r="BH1" s="277"/>
      <c r="BI1" s="277"/>
      <c r="BJ1" s="277"/>
      <c r="BK1" s="277"/>
      <c r="BL1" s="277"/>
      <c r="BM1" s="277"/>
      <c r="BN1" s="277"/>
      <c r="BO1" s="277"/>
      <c r="BP1" s="277"/>
      <c r="BQ1" s="277"/>
      <c r="BR1" s="277"/>
      <c r="BS1" s="278"/>
      <c r="BT1" s="276" t="str">
        <f>IF('Données projet'!$B$12="","",'Données projet'!$B$12)</f>
        <v/>
      </c>
      <c r="BU1" s="277"/>
      <c r="BV1" s="277"/>
      <c r="BW1" s="277"/>
      <c r="BX1" s="277"/>
      <c r="BY1" s="277"/>
      <c r="BZ1" s="277"/>
      <c r="CA1" s="277"/>
      <c r="CB1" s="277"/>
      <c r="CC1" s="277"/>
      <c r="CD1" s="277"/>
      <c r="CE1" s="277"/>
      <c r="CF1" s="277"/>
      <c r="CG1" s="277"/>
      <c r="CH1" s="277"/>
      <c r="CI1" s="277"/>
      <c r="CJ1" s="277"/>
      <c r="CK1" s="277"/>
      <c r="CL1" s="277"/>
      <c r="CM1" s="277"/>
      <c r="CN1" s="278"/>
      <c r="CO1" s="276" t="str">
        <f>IF('Données projet'!$B$13="","",'Données projet'!$B$13)</f>
        <v/>
      </c>
      <c r="CP1" s="277"/>
      <c r="CQ1" s="277"/>
      <c r="CR1" s="277"/>
      <c r="CS1" s="277"/>
      <c r="CT1" s="277"/>
      <c r="CU1" s="277"/>
      <c r="CV1" s="277"/>
      <c r="CW1" s="277"/>
      <c r="CX1" s="277"/>
      <c r="CY1" s="277"/>
      <c r="CZ1" s="277"/>
      <c r="DA1" s="277"/>
      <c r="DB1" s="277"/>
      <c r="DC1" s="277"/>
      <c r="DD1" s="277"/>
      <c r="DE1" s="277"/>
      <c r="DF1" s="277"/>
      <c r="DG1" s="277"/>
      <c r="DH1" s="277"/>
      <c r="DI1" s="278"/>
      <c r="DJ1" s="276" t="str">
        <f>IF('Données projet'!$B$14="","",'Données projet'!$B$14)</f>
        <v/>
      </c>
      <c r="DK1" s="277"/>
      <c r="DL1" s="277"/>
      <c r="DM1" s="277"/>
      <c r="DN1" s="277"/>
      <c r="DO1" s="277"/>
      <c r="DP1" s="277"/>
      <c r="DQ1" s="277"/>
      <c r="DR1" s="277"/>
      <c r="DS1" s="277"/>
      <c r="DT1" s="277"/>
      <c r="DU1" s="277"/>
      <c r="DV1" s="277"/>
      <c r="DW1" s="277"/>
      <c r="DX1" s="277"/>
      <c r="DY1" s="277"/>
      <c r="DZ1" s="277"/>
      <c r="EA1" s="277"/>
      <c r="EB1" s="277"/>
      <c r="EC1" s="277"/>
      <c r="ED1" s="278"/>
      <c r="EE1" s="276" t="str">
        <f>IF('Données projet'!$B$15="","",'Données projet'!$B$15)</f>
        <v/>
      </c>
      <c r="EF1" s="277"/>
      <c r="EG1" s="277"/>
      <c r="EH1" s="277"/>
      <c r="EI1" s="277"/>
      <c r="EJ1" s="277"/>
      <c r="EK1" s="277"/>
      <c r="EL1" s="277"/>
      <c r="EM1" s="277"/>
      <c r="EN1" s="277"/>
      <c r="EO1" s="277"/>
      <c r="EP1" s="277"/>
      <c r="EQ1" s="277"/>
      <c r="ER1" s="277"/>
      <c r="ES1" s="277"/>
      <c r="ET1" s="277"/>
      <c r="EU1" s="277"/>
      <c r="EV1" s="277"/>
      <c r="EW1" s="277"/>
      <c r="EX1" s="277"/>
      <c r="EY1" s="278"/>
      <c r="EZ1" s="276" t="str">
        <f>IF('Données projet'!$B$16="","",'Données projet'!$B$16)</f>
        <v/>
      </c>
      <c r="FA1" s="277"/>
      <c r="FB1" s="277"/>
      <c r="FC1" s="277"/>
      <c r="FD1" s="277"/>
      <c r="FE1" s="277"/>
      <c r="FF1" s="277"/>
      <c r="FG1" s="277"/>
      <c r="FH1" s="277"/>
      <c r="FI1" s="277"/>
      <c r="FJ1" s="277"/>
      <c r="FK1" s="277"/>
      <c r="FL1" s="277"/>
      <c r="FM1" s="277"/>
      <c r="FN1" s="277"/>
      <c r="FO1" s="277"/>
      <c r="FP1" s="277"/>
      <c r="FQ1" s="277"/>
      <c r="FR1" s="277"/>
      <c r="FS1" s="277"/>
      <c r="FT1" s="278"/>
      <c r="FU1" s="276" t="str">
        <f>IF('Données projet'!$B$17="","",'Données projet'!$B$17)</f>
        <v/>
      </c>
      <c r="FV1" s="277"/>
      <c r="FW1" s="277"/>
      <c r="FX1" s="277"/>
      <c r="FY1" s="277"/>
      <c r="FZ1" s="277"/>
      <c r="GA1" s="277"/>
      <c r="GB1" s="277"/>
      <c r="GC1" s="277"/>
      <c r="GD1" s="277"/>
      <c r="GE1" s="277"/>
      <c r="GF1" s="277"/>
      <c r="GG1" s="277"/>
      <c r="GH1" s="277"/>
      <c r="GI1" s="277"/>
      <c r="GJ1" s="277"/>
      <c r="GK1" s="277"/>
      <c r="GL1" s="277"/>
      <c r="GM1" s="277"/>
      <c r="GN1" s="277"/>
      <c r="GO1" s="278"/>
      <c r="GP1" s="276" t="str">
        <f>IF('Données projet'!$B$18="","",'Données projet'!$B$18)</f>
        <v/>
      </c>
      <c r="GQ1" s="277"/>
      <c r="GR1" s="277"/>
      <c r="GS1" s="277"/>
      <c r="GT1" s="277"/>
      <c r="GU1" s="277"/>
      <c r="GV1" s="277"/>
      <c r="GW1" s="277"/>
      <c r="GX1" s="277"/>
      <c r="GY1" s="277"/>
      <c r="GZ1" s="277"/>
      <c r="HA1" s="277"/>
      <c r="HB1" s="277"/>
      <c r="HC1" s="277"/>
      <c r="HD1" s="277"/>
      <c r="HE1" s="277"/>
      <c r="HF1" s="277"/>
      <c r="HG1" s="277"/>
      <c r="HH1" s="277"/>
      <c r="HI1" s="277"/>
      <c r="HJ1" s="278"/>
    </row>
    <row r="2" spans="1:218" ht="65" thickBot="1" x14ac:dyDescent="0.2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2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232.5902129145469</v>
      </c>
      <c r="T3" s="59">
        <f>IF('Données projet'!E9&gt;30,$R$33-$H$33,LOOKUP('Données projet'!$E$9,$A$3:$A$203,R3:R203)-LOOKUP('Données projet'!$E$9,$A$3:$A$203,$H$3:$H$203))</f>
        <v>340.94590122751879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 t="e">
        <f>AI3*VLOOKUP('Données projet'!$B$10,Paramètres!$A$1:$I$89,3,0)*VLOOKUP('Données projet'!$B$10,Paramètres!$A$1:$I$89,5,0)</f>
        <v>#N/A</v>
      </c>
      <c r="AK3" s="12">
        <v>0</v>
      </c>
      <c r="AL3" s="14" t="e">
        <f>(AJ3+AK3)*0.475*44/12</f>
        <v>#N/A</v>
      </c>
      <c r="AM3" s="59" t="e">
        <f>AL3+(AD3+AE3)*44/12</f>
        <v>#N/A</v>
      </c>
      <c r="AN3" s="59" t="e">
        <f ca="1">AVERAGE(OFFSET($AM$3,0,0,'Données projet'!$E$10+1,1))-AVERAGE(OFFSET($H$3,0,0,'Données projet'!$E$10+1,1))</f>
        <v>#N/A</v>
      </c>
      <c r="AO3" s="59" t="e">
        <f>IF('Données projet'!E10&gt;30,$AM$33-$H$33,LOOKUP('Données projet'!$E$10,$A$3:$A$203,AM3:AM203)-LOOKUP('Données projet'!$E$10,$A$3:$A$203,$H$3:$H$203))</f>
        <v>#N/A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2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0.59800000000000009</v>
      </c>
      <c r="D4" s="11">
        <f>IFERROR(EXP(-1.0587+0.8836*LN(C4)+0.284),0)</f>
        <v>0.29258040116091422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6.8746557282596896</v>
      </c>
      <c r="H4" s="67">
        <f t="shared" ref="H4:H67" si="1">(B4+E4+F4)*44/12+(C4+D4)*0.475*44/12</f>
        <v>294.8844275320219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5.6158333333333337</v>
      </c>
      <c r="N4" s="13">
        <f>IF('Données projet'!$A$36&gt;35,N3+M4-V3,IF(A4&lt;'Données projet'!$A$36,$K$205^A4,IF(A4='Données projet'!$A$36,'Données projet'!$B$36,N3+M4-V3)))</f>
        <v>1.4203093782835541</v>
      </c>
      <c r="O4" s="13">
        <f>N4*VLOOKUP('Données projet'!$B$9,Paramètres!$A$1:$I$89,3,0)*VLOOKUP('Données projet'!$B$9,Paramètres!$A$1:$I$89,5,0)</f>
        <v>0.84934500821356529</v>
      </c>
      <c r="P4" s="13">
        <f>EXP(-1.0587+0.8836*LN(O4)+0.284)</f>
        <v>0.3989245922522206</v>
      </c>
      <c r="Q4" s="20">
        <f t="shared" ref="Q4:Q34" si="2">(O4+P4)*0.475*44/12</f>
        <v>2.1740695541445767</v>
      </c>
      <c r="R4" s="59">
        <f t="shared" si="0"/>
        <v>295.50740288747789</v>
      </c>
      <c r="S4" s="59">
        <f ca="1">AVERAGE(OFFSET($R$3,0,0,'Données projet'!$E$9+1,1))-AVERAGE(OFFSET($H$3,0,0,'Données projet'!$E$9+1,1))</f>
        <v>232.5902129145469</v>
      </c>
      <c r="T4" s="59">
        <f>$T$3</f>
        <v>340.94590122751879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0</v>
      </c>
      <c r="AI4" s="13">
        <f>IF('Données projet'!$A$62&gt;35,AI3+AH4-AQ3,IF(A4&lt;'Données projet'!$A$62,$AF$205^A4,IF(A4='Données projet'!$A$62,'Données projet'!$B$62,AI3+AH4-AQ3)))</f>
        <v>0</v>
      </c>
      <c r="AJ4" s="13" t="e">
        <f>AI4*VLOOKUP('Données projet'!$B$10,Paramètres!$A$1:$I$89,3,0)*VLOOKUP('Données projet'!$B$10,Paramètres!$A$1:$I$89,5,0)</f>
        <v>#N/A</v>
      </c>
      <c r="AK4" s="13" t="e">
        <f>EXP(-1.0587+0.8836*LN(AJ4)+0.284)</f>
        <v>#N/A</v>
      </c>
      <c r="AL4" s="20" t="e">
        <f t="shared" ref="AL4:AL67" si="4">(AJ4+AK4)*0.475*44/12</f>
        <v>#N/A</v>
      </c>
      <c r="AM4" s="59" t="e">
        <f t="shared" ref="AM4:AM67" si="5">AL4+(AD4+AE4)*44/12</f>
        <v>#N/A</v>
      </c>
      <c r="AN4" s="59" t="e">
        <f ca="1">AVERAGE(OFFSET($AM$3,0,0,'Données projet'!$E$10+1,1))-AVERAGE(OFFSET($H$3,0,0,'Données projet'!$E$10+1,1))</f>
        <v>#N/A</v>
      </c>
      <c r="AO4" s="59" t="e">
        <f>$AO$3</f>
        <v>#N/A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 t="e">
        <f>EXP(-LN(2)/35)*AU3+(1-EXP(-LN(2)/35))/(LN(2)/35)*AQ4*AR4*VLOOKUP('Données projet'!$B$10,Paramètres!$A$1:$I$89,3,0)*0.475*44/12</f>
        <v>#N/A</v>
      </c>
      <c r="AV4" s="21" t="e">
        <f>EXP(-LN(2)/25)*AV3+(1-EXP(-LN(2)/25))/(LN(2)/25)*Calculateur!AQ4*Calculateur!AS4*VLOOKUP('Données projet'!$B$10,Paramètres!$A$1:$I$89,3,0)*0.475*44/12</f>
        <v>#N/A</v>
      </c>
      <c r="AW4" s="21" t="e">
        <f>EXP(-LN(2)/2)*AW3+(1-EXP(-LN(2)/2))/(LN(2)/2)*AQ4*AT4*VLOOKUP('Données projet'!$B$10,Paramètres!$A$1:$I$89,3,0)*0.475*44/12</f>
        <v>#N/A</v>
      </c>
      <c r="AX4" s="21" t="e">
        <f t="shared" ref="AX4:AX67" si="6">SUM(AU4:AW4)</f>
        <v>#N/A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2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1.1960000000000002</v>
      </c>
      <c r="D5" s="11">
        <f t="shared" ref="D5:D68" si="32">IFERROR(EXP(-1.0587+0.8836*LN(C5)+0.284),0)</f>
        <v>0.53980305140256757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13.399181449423331</v>
      </c>
      <c r="H5" s="67">
        <f t="shared" si="1"/>
        <v>296.35652364785943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5.6158333333333337</v>
      </c>
      <c r="N5" s="13">
        <f>IF('Données projet'!$A$36&gt;35,N4+M5-V4,IF(A5&lt;'Données projet'!$A$36,$K$205^A5,IF(A5='Données projet'!$A$36,'Données projet'!$B$36,N4+M5-V4)))</f>
        <v>2.017278730040216</v>
      </c>
      <c r="O5" s="13">
        <f>N5*VLOOKUP('Données projet'!$B$9,Paramètres!$A$1:$I$89,3,0)*VLOOKUP('Données projet'!$B$9,Paramètres!$A$1:$I$89,5,0)</f>
        <v>1.2063326805640493</v>
      </c>
      <c r="P5" s="13">
        <f t="shared" ref="P5:P68" si="33">EXP(-1.0587+0.8836*LN(O5)+0.284)</f>
        <v>0.54392170381937432</v>
      </c>
      <c r="Q5" s="20">
        <f t="shared" si="2"/>
        <v>3.0483597194677956</v>
      </c>
      <c r="R5" s="59">
        <f t="shared" si="0"/>
        <v>296.3816930528011</v>
      </c>
      <c r="S5" s="59">
        <f ca="1">AVERAGE(OFFSET($R$3,0,0,'Données projet'!$E$9+1,1))-AVERAGE(OFFSET($H$3,0,0,'Données projet'!$E$9+1,1))</f>
        <v>232.5902129145469</v>
      </c>
      <c r="T5" s="59">
        <f t="shared" ref="T5:T68" si="34">$T$3</f>
        <v>340.94590122751879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0</v>
      </c>
      <c r="AI5" s="13">
        <f>IF('Données projet'!$A$62&gt;35,AI4+AH5-AQ4,IF(A5&lt;'Données projet'!$A$62,$AF$205^A5,IF(A5='Données projet'!$A$62,'Données projet'!$B$62,AI4+AH5-AQ4)))</f>
        <v>0</v>
      </c>
      <c r="AJ5" s="13" t="e">
        <f>AI5*VLOOKUP('Données projet'!$B$10,Paramètres!$A$1:$I$89,3,0)*VLOOKUP('Données projet'!$B$10,Paramètres!$A$1:$I$89,5,0)</f>
        <v>#N/A</v>
      </c>
      <c r="AK5" s="13" t="e">
        <f t="shared" ref="AK5:AK68" si="35">EXP(-1.0587+0.8836*LN(AJ5)+0.284)</f>
        <v>#N/A</v>
      </c>
      <c r="AL5" s="20" t="e">
        <f t="shared" si="4"/>
        <v>#N/A</v>
      </c>
      <c r="AM5" s="59" t="e">
        <f t="shared" si="5"/>
        <v>#N/A</v>
      </c>
      <c r="AN5" s="59" t="e">
        <f ca="1">AVERAGE(OFFSET($AM$3,0,0,'Données projet'!$E$10+1,1))-AVERAGE(OFFSET($H$3,0,0,'Données projet'!$E$10+1,1))</f>
        <v>#N/A</v>
      </c>
      <c r="AO5" s="59" t="e">
        <f t="shared" ref="AO5:AO68" si="36">$AO$3</f>
        <v>#N/A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 t="e">
        <f>EXP(-LN(2)/35)*AU4+(1-EXP(-LN(2)/35))/(LN(2)/35)*AQ5*AR5*VLOOKUP('Données projet'!$B$10,Paramètres!$A$1:$I$89,3,0)*0.475*44/12</f>
        <v>#N/A</v>
      </c>
      <c r="AV5" s="21" t="e">
        <f>EXP(-LN(2)/25)*AV4+(1-EXP(-LN(2)/25))/(LN(2)/25)*Calculateur!AQ5*Calculateur!AS5*VLOOKUP('Données projet'!$B$10,Paramètres!$A$1:$I$89,3,0)*0.475*44/12</f>
        <v>#N/A</v>
      </c>
      <c r="AW5" s="21" t="e">
        <f>EXP(-LN(2)/2)*AW4+(1-EXP(-LN(2)/2))/(LN(2)/2)*AQ5*AT5*VLOOKUP('Données projet'!$B$10,Paramètres!$A$1:$I$89,3,0)*0.475*44/12</f>
        <v>#N/A</v>
      </c>
      <c r="AX5" s="21" t="e">
        <f t="shared" si="6"/>
        <v>#N/A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2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1.7940000000000003</v>
      </c>
      <c r="D6" s="11">
        <f t="shared" si="32"/>
        <v>0.77237742491396744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19.810632753721858</v>
      </c>
      <c r="H6" s="67">
        <f t="shared" si="1"/>
        <v>297.80310734839179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5.6158333333333337</v>
      </c>
      <c r="N6" s="13">
        <f>IF('Données projet'!$A$36&gt;35,N5+M6-V5,IF(A6&lt;'Données projet'!$A$36,$K$205^A6,IF(A6='Données projet'!$A$36,'Données projet'!$B$36,N5+M6-V5)))</f>
        <v>2.8651598988880567</v>
      </c>
      <c r="O6" s="13">
        <f>N6*VLOOKUP('Données projet'!$B$9,Paramètres!$A$1:$I$89,3,0)*VLOOKUP('Données projet'!$B$9,Paramètres!$A$1:$I$89,5,0)</f>
        <v>1.7133656195350582</v>
      </c>
      <c r="P6" s="13">
        <f t="shared" si="33"/>
        <v>0.74162091190086143</v>
      </c>
      <c r="Q6" s="20">
        <f t="shared" si="2"/>
        <v>4.2757682089175599</v>
      </c>
      <c r="R6" s="59">
        <f t="shared" si="0"/>
        <v>297.60910154225087</v>
      </c>
      <c r="S6" s="59">
        <f ca="1">AVERAGE(OFFSET($R$3,0,0,'Données projet'!$E$9+1,1))-AVERAGE(OFFSET($H$3,0,0,'Données projet'!$E$9+1,1))</f>
        <v>232.5902129145469</v>
      </c>
      <c r="T6" s="59">
        <f t="shared" si="34"/>
        <v>340.94590122751879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0</v>
      </c>
      <c r="AI6" s="13">
        <f>IF('Données projet'!$A$62&gt;35,AI5+AH6-AQ5,IF(A6&lt;'Données projet'!$A$62,$AF$205^A6,IF(A6='Données projet'!$A$62,'Données projet'!$B$62,AI5+AH6-AQ5)))</f>
        <v>0</v>
      </c>
      <c r="AJ6" s="13" t="e">
        <f>AI6*VLOOKUP('Données projet'!$B$10,Paramètres!$A$1:$I$89,3,0)*VLOOKUP('Données projet'!$B$10,Paramètres!$A$1:$I$89,5,0)</f>
        <v>#N/A</v>
      </c>
      <c r="AK6" s="13" t="e">
        <f t="shared" si="35"/>
        <v>#N/A</v>
      </c>
      <c r="AL6" s="20" t="e">
        <f t="shared" si="4"/>
        <v>#N/A</v>
      </c>
      <c r="AM6" s="59" t="e">
        <f t="shared" si="5"/>
        <v>#N/A</v>
      </c>
      <c r="AN6" s="59" t="e">
        <f ca="1">AVERAGE(OFFSET($AM$3,0,0,'Données projet'!$E$10+1,1))-AVERAGE(OFFSET($H$3,0,0,'Données projet'!$E$10+1,1))</f>
        <v>#N/A</v>
      </c>
      <c r="AO6" s="59" t="e">
        <f t="shared" si="36"/>
        <v>#N/A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 t="e">
        <f>EXP(-LN(2)/35)*AU5+(1-EXP(-LN(2)/35))/(LN(2)/35)*AQ6*AR6*VLOOKUP('Données projet'!$B$10,Paramètres!$A$1:$I$89,3,0)*0.475*44/12</f>
        <v>#N/A</v>
      </c>
      <c r="AV6" s="21" t="e">
        <f>EXP(-LN(2)/25)*AV5+(1-EXP(-LN(2)/25))/(LN(2)/25)*Calculateur!AQ6*Calculateur!AS6*VLOOKUP('Données projet'!$B$10,Paramètres!$A$1:$I$89,3,0)*0.475*44/12</f>
        <v>#N/A</v>
      </c>
      <c r="AW6" s="21" t="e">
        <f>EXP(-LN(2)/2)*AW5+(1-EXP(-LN(2)/2))/(LN(2)/2)*AQ6*AT6*VLOOKUP('Données projet'!$B$10,Paramètres!$A$1:$I$89,3,0)*0.475*44/12</f>
        <v>#N/A</v>
      </c>
      <c r="AX6" s="21" t="e">
        <f t="shared" si="6"/>
        <v>#N/A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2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2.3920000000000003</v>
      </c>
      <c r="D7" s="11">
        <f t="shared" si="32"/>
        <v>0.99592225982103644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26.152382356513268</v>
      </c>
      <c r="H7" s="67">
        <f t="shared" si="1"/>
        <v>299.23396460252161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5.6158333333333337</v>
      </c>
      <c r="N7" s="13">
        <f>IF('Données projet'!$A$36&gt;35,N6+M7-V6,IF(A7&lt;'Données projet'!$A$36,$K$205^A7,IF(A7='Données projet'!$A$36,'Données projet'!$B$36,N6+M7-V6)))</f>
        <v>4.0694134746726665</v>
      </c>
      <c r="O7" s="13">
        <f>N7*VLOOKUP('Données projet'!$B$9,Paramètres!$A$1:$I$89,3,0)*VLOOKUP('Données projet'!$B$9,Paramètres!$A$1:$I$89,5,0)</f>
        <v>2.4335092578542548</v>
      </c>
      <c r="P7" s="13">
        <f t="shared" si="33"/>
        <v>1.0111778461984482</v>
      </c>
      <c r="Q7" s="20">
        <f t="shared" si="2"/>
        <v>5.9994967062251234</v>
      </c>
      <c r="R7" s="59">
        <f t="shared" si="0"/>
        <v>299.33283003955842</v>
      </c>
      <c r="S7" s="59">
        <f ca="1">AVERAGE(OFFSET($R$3,0,0,'Données projet'!$E$9+1,1))-AVERAGE(OFFSET($H$3,0,0,'Données projet'!$E$9+1,1))</f>
        <v>232.5902129145469</v>
      </c>
      <c r="T7" s="59">
        <f t="shared" si="34"/>
        <v>340.94590122751879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0</v>
      </c>
      <c r="AI7" s="13">
        <f>IF('Données projet'!$A$62&gt;35,AI6+AH7-AQ6,IF(A7&lt;'Données projet'!$A$62,$AF$205^A7,IF(A7='Données projet'!$A$62,'Données projet'!$B$62,AI6+AH7-AQ6)))</f>
        <v>0</v>
      </c>
      <c r="AJ7" s="13" t="e">
        <f>AI7*VLOOKUP('Données projet'!$B$10,Paramètres!$A$1:$I$89,3,0)*VLOOKUP('Données projet'!$B$10,Paramètres!$A$1:$I$89,5,0)</f>
        <v>#N/A</v>
      </c>
      <c r="AK7" s="13" t="e">
        <f t="shared" si="35"/>
        <v>#N/A</v>
      </c>
      <c r="AL7" s="20" t="e">
        <f t="shared" si="4"/>
        <v>#N/A</v>
      </c>
      <c r="AM7" s="59" t="e">
        <f t="shared" si="5"/>
        <v>#N/A</v>
      </c>
      <c r="AN7" s="59" t="e">
        <f ca="1">AVERAGE(OFFSET($AM$3,0,0,'Données projet'!$E$10+1,1))-AVERAGE(OFFSET($H$3,0,0,'Données projet'!$E$10+1,1))</f>
        <v>#N/A</v>
      </c>
      <c r="AO7" s="59" t="e">
        <f t="shared" si="36"/>
        <v>#N/A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 t="e">
        <f>EXP(-LN(2)/35)*AU6+(1-EXP(-LN(2)/35))/(LN(2)/35)*AQ7*AR7*VLOOKUP('Données projet'!$B$10,Paramètres!$A$1:$I$89,3,0)*0.475*44/12</f>
        <v>#N/A</v>
      </c>
      <c r="AV7" s="21" t="e">
        <f>EXP(-LN(2)/25)*AV6+(1-EXP(-LN(2)/25))/(LN(2)/25)*Calculateur!AQ7*Calculateur!AS7*VLOOKUP('Données projet'!$B$10,Paramètres!$A$1:$I$89,3,0)*0.475*44/12</f>
        <v>#N/A</v>
      </c>
      <c r="AW7" s="21" t="e">
        <f>EXP(-LN(2)/2)*AW6+(1-EXP(-LN(2)/2))/(LN(2)/2)*AQ7*AT7*VLOOKUP('Données projet'!$B$10,Paramètres!$A$1:$I$89,3,0)*0.475*44/12</f>
        <v>#N/A</v>
      </c>
      <c r="AX7" s="21" t="e">
        <f t="shared" si="6"/>
        <v>#N/A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2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2.99</v>
      </c>
      <c r="D8" s="11">
        <f t="shared" si="32"/>
        <v>1.2129841524368585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32.444088194249439</v>
      </c>
      <c r="H8" s="67">
        <f t="shared" si="1"/>
        <v>300.65353073216085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5.6158333333333337</v>
      </c>
      <c r="N8" s="13">
        <f>IF('Données projet'!$A$36&gt;35,N7+M8-V7,IF(A8&lt;'Données projet'!$A$36,$K$205^A8,IF(A8='Données projet'!$A$36,'Données projet'!$B$36,N7+M8-V7)))</f>
        <v>5.7798261221910527</v>
      </c>
      <c r="O8" s="13">
        <f>N8*VLOOKUP('Données projet'!$B$9,Paramètres!$A$1:$I$89,3,0)*VLOOKUP('Données projet'!$B$9,Paramètres!$A$1:$I$89,5,0)</f>
        <v>3.4563360210702498</v>
      </c>
      <c r="P8" s="13">
        <f t="shared" si="33"/>
        <v>1.3787106326624405</v>
      </c>
      <c r="Q8" s="20">
        <f t="shared" si="2"/>
        <v>8.4210395885844349</v>
      </c>
      <c r="R8" s="59">
        <f t="shared" si="0"/>
        <v>301.75437292191776</v>
      </c>
      <c r="S8" s="59">
        <f ca="1">AVERAGE(OFFSET($R$3,0,0,'Données projet'!$E$9+1,1))-AVERAGE(OFFSET($H$3,0,0,'Données projet'!$E$9+1,1))</f>
        <v>232.5902129145469</v>
      </c>
      <c r="T8" s="59">
        <f t="shared" si="34"/>
        <v>340.94590122751879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0</v>
      </c>
      <c r="AI8" s="13">
        <f>IF('Données projet'!$A$62&gt;35,AI7+AH8-AQ7,IF(A8&lt;'Données projet'!$A$62,$AF$205^A8,IF(A8='Données projet'!$A$62,'Données projet'!$B$62,AI7+AH8-AQ7)))</f>
        <v>0</v>
      </c>
      <c r="AJ8" s="13" t="e">
        <f>AI8*VLOOKUP('Données projet'!$B$10,Paramètres!$A$1:$I$89,3,0)*VLOOKUP('Données projet'!$B$10,Paramètres!$A$1:$I$89,5,0)</f>
        <v>#N/A</v>
      </c>
      <c r="AK8" s="13" t="e">
        <f t="shared" si="35"/>
        <v>#N/A</v>
      </c>
      <c r="AL8" s="20" t="e">
        <f t="shared" si="4"/>
        <v>#N/A</v>
      </c>
      <c r="AM8" s="59" t="e">
        <f t="shared" si="5"/>
        <v>#N/A</v>
      </c>
      <c r="AN8" s="59" t="e">
        <f ca="1">AVERAGE(OFFSET($AM$3,0,0,'Données projet'!$E$10+1,1))-AVERAGE(OFFSET($H$3,0,0,'Données projet'!$E$10+1,1))</f>
        <v>#N/A</v>
      </c>
      <c r="AO8" s="59" t="e">
        <f t="shared" si="36"/>
        <v>#N/A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 t="e">
        <f>EXP(-LN(2)/35)*AU7+(1-EXP(-LN(2)/35))/(LN(2)/35)*AQ8*AR8*VLOOKUP('Données projet'!$B$10,Paramètres!$A$1:$I$89,3,0)*0.475*44/12</f>
        <v>#N/A</v>
      </c>
      <c r="AV8" s="21" t="e">
        <f>EXP(-LN(2)/25)*AV7+(1-EXP(-LN(2)/25))/(LN(2)/25)*Calculateur!AQ8*Calculateur!AS8*VLOOKUP('Données projet'!$B$10,Paramètres!$A$1:$I$89,3,0)*0.475*44/12</f>
        <v>#N/A</v>
      </c>
      <c r="AW8" s="21" t="e">
        <f>EXP(-LN(2)/2)*AW7+(1-EXP(-LN(2)/2))/(LN(2)/2)*AQ8*AT8*VLOOKUP('Données projet'!$B$10,Paramètres!$A$1:$I$89,3,0)*0.475*44/12</f>
        <v>#N/A</v>
      </c>
      <c r="AX8" s="21" t="e">
        <f t="shared" si="6"/>
        <v>#N/A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2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3.5880000000000001</v>
      </c>
      <c r="D9" s="11">
        <f t="shared" si="32"/>
        <v>1.4250157876217819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38.696963974624289</v>
      </c>
      <c r="H9" s="67">
        <f t="shared" si="1"/>
        <v>302.06433583010789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5.6158333333333337</v>
      </c>
      <c r="N9" s="13">
        <f>IF('Données projet'!$A$36&gt;35,N8+M9-V8,IF(A9&lt;'Données projet'!$A$36,$K$205^A9,IF(A9='Données projet'!$A$36,'Données projet'!$B$36,N8+M9-V8)))</f>
        <v>8.2091412461962197</v>
      </c>
      <c r="O9" s="13">
        <f>N9*VLOOKUP('Données projet'!$B$9,Paramètres!$A$1:$I$89,3,0)*VLOOKUP('Données projet'!$B$9,Paramètres!$A$1:$I$89,5,0)</f>
        <v>4.9090664652253393</v>
      </c>
      <c r="P9" s="13">
        <f t="shared" si="33"/>
        <v>1.8798305518289784</v>
      </c>
      <c r="Q9" s="20">
        <f t="shared" si="2"/>
        <v>11.823995638036267</v>
      </c>
      <c r="R9" s="59">
        <f t="shared" si="0"/>
        <v>305.15732897136957</v>
      </c>
      <c r="S9" s="59">
        <f ca="1">AVERAGE(OFFSET($R$3,0,0,'Données projet'!$E$9+1,1))-AVERAGE(OFFSET($H$3,0,0,'Données projet'!$E$9+1,1))</f>
        <v>232.5902129145469</v>
      </c>
      <c r="T9" s="59">
        <f t="shared" si="34"/>
        <v>340.94590122751879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0</v>
      </c>
      <c r="AI9" s="13">
        <f>IF('Données projet'!$A$62&gt;35,AI8+AH9-AQ8,IF(A9&lt;'Données projet'!$A$62,$AF$205^A9,IF(A9='Données projet'!$A$62,'Données projet'!$B$62,AI8+AH9-AQ8)))</f>
        <v>0</v>
      </c>
      <c r="AJ9" s="13" t="e">
        <f>AI9*VLOOKUP('Données projet'!$B$10,Paramètres!$A$1:$I$89,3,0)*VLOOKUP('Données projet'!$B$10,Paramètres!$A$1:$I$89,5,0)</f>
        <v>#N/A</v>
      </c>
      <c r="AK9" s="13" t="e">
        <f t="shared" si="35"/>
        <v>#N/A</v>
      </c>
      <c r="AL9" s="20" t="e">
        <f t="shared" si="4"/>
        <v>#N/A</v>
      </c>
      <c r="AM9" s="59" t="e">
        <f t="shared" si="5"/>
        <v>#N/A</v>
      </c>
      <c r="AN9" s="59" t="e">
        <f ca="1">AVERAGE(OFFSET($AM$3,0,0,'Données projet'!$E$10+1,1))-AVERAGE(OFFSET($H$3,0,0,'Données projet'!$E$10+1,1))</f>
        <v>#N/A</v>
      </c>
      <c r="AO9" s="59" t="e">
        <f t="shared" si="36"/>
        <v>#N/A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 t="e">
        <f>EXP(-LN(2)/35)*AU8+(1-EXP(-LN(2)/35))/(LN(2)/35)*AQ9*AR9*VLOOKUP('Données projet'!$B$10,Paramètres!$A$1:$I$89,3,0)*0.475*44/12</f>
        <v>#N/A</v>
      </c>
      <c r="AV9" s="21" t="e">
        <f>EXP(-LN(2)/25)*AV8+(1-EXP(-LN(2)/25))/(LN(2)/25)*Calculateur!AQ9*Calculateur!AS9*VLOOKUP('Données projet'!$B$10,Paramètres!$A$1:$I$89,3,0)*0.475*44/12</f>
        <v>#N/A</v>
      </c>
      <c r="AW9" s="21" t="e">
        <f>EXP(-LN(2)/2)*AW8+(1-EXP(-LN(2)/2))/(LN(2)/2)*AQ9*AT9*VLOOKUP('Données projet'!$B$10,Paramètres!$A$1:$I$89,3,0)*0.475*44/12</f>
        <v>#N/A</v>
      </c>
      <c r="AX9" s="21" t="e">
        <f t="shared" si="6"/>
        <v>#N/A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2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4.1859999999999999</v>
      </c>
      <c r="D10" s="11">
        <f t="shared" si="32"/>
        <v>1.6329536551363955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44.918238741403762</v>
      </c>
      <c r="H10" s="67">
        <f t="shared" si="1"/>
        <v>303.46801094936251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5.6158333333333337</v>
      </c>
      <c r="N10" s="13">
        <f>IF('Données projet'!$A$36&gt;35,N9+M10-V9,IF(A10&lt;'Données projet'!$A$36,$K$205^A10,IF(A10='Données projet'!$A$36,'Données projet'!$B$36,N9+M10-V9)))</f>
        <v>11.659520299626832</v>
      </c>
      <c r="O10" s="13">
        <f>N10*VLOOKUP('Données projet'!$B$9,Paramètres!$A$1:$I$89,3,0)*VLOOKUP('Données projet'!$B$9,Paramètres!$A$1:$I$89,5,0)</f>
        <v>6.9723931391768463</v>
      </c>
      <c r="P10" s="13">
        <f t="shared" si="33"/>
        <v>2.5630925154798878</v>
      </c>
      <c r="Q10" s="20">
        <f t="shared" si="2"/>
        <v>16.607637515193812</v>
      </c>
      <c r="R10" s="59">
        <f t="shared" si="0"/>
        <v>309.94097084852712</v>
      </c>
      <c r="S10" s="59">
        <f ca="1">AVERAGE(OFFSET($R$3,0,0,'Données projet'!$E$9+1,1))-AVERAGE(OFFSET($H$3,0,0,'Données projet'!$E$9+1,1))</f>
        <v>232.5902129145469</v>
      </c>
      <c r="T10" s="59">
        <f t="shared" si="34"/>
        <v>340.94590122751879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0</v>
      </c>
      <c r="AI10" s="13">
        <f>IF('Données projet'!$A$62&gt;35,AI9+AH10-AQ9,IF(A10&lt;'Données projet'!$A$62,$AF$205^A10,IF(A10='Données projet'!$A$62,'Données projet'!$B$62,AI9+AH10-AQ9)))</f>
        <v>0</v>
      </c>
      <c r="AJ10" s="13" t="e">
        <f>AI10*VLOOKUP('Données projet'!$B$10,Paramètres!$A$1:$I$89,3,0)*VLOOKUP('Données projet'!$B$10,Paramètres!$A$1:$I$89,5,0)</f>
        <v>#N/A</v>
      </c>
      <c r="AK10" s="13" t="e">
        <f t="shared" si="35"/>
        <v>#N/A</v>
      </c>
      <c r="AL10" s="20" t="e">
        <f t="shared" si="4"/>
        <v>#N/A</v>
      </c>
      <c r="AM10" s="59" t="e">
        <f t="shared" si="5"/>
        <v>#N/A</v>
      </c>
      <c r="AN10" s="59" t="e">
        <f ca="1">AVERAGE(OFFSET($AM$3,0,0,'Données projet'!$E$10+1,1))-AVERAGE(OFFSET($H$3,0,0,'Données projet'!$E$10+1,1))</f>
        <v>#N/A</v>
      </c>
      <c r="AO10" s="59" t="e">
        <f t="shared" si="36"/>
        <v>#N/A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 t="e">
        <f>EXP(-LN(2)/35)*AU9+(1-EXP(-LN(2)/35))/(LN(2)/35)*AQ10*AR10*VLOOKUP('Données projet'!$B$10,Paramètres!$A$1:$I$89,3,0)*0.475*44/12</f>
        <v>#N/A</v>
      </c>
      <c r="AV10" s="21" t="e">
        <f>EXP(-LN(2)/25)*AV9+(1-EXP(-LN(2)/25))/(LN(2)/25)*Calculateur!AQ10*Calculateur!AS10*VLOOKUP('Données projet'!$B$10,Paramètres!$A$1:$I$89,3,0)*0.475*44/12</f>
        <v>#N/A</v>
      </c>
      <c r="AW10" s="21" t="e">
        <f>EXP(-LN(2)/2)*AW9+(1-EXP(-LN(2)/2))/(LN(2)/2)*AQ10*AT10*VLOOKUP('Données projet'!$B$10,Paramètres!$A$1:$I$89,3,0)*0.475*44/12</f>
        <v>#N/A</v>
      </c>
      <c r="AX10" s="21" t="e">
        <f t="shared" si="6"/>
        <v>#N/A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2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4.7839999999999998</v>
      </c>
      <c r="D11" s="11">
        <f t="shared" si="32"/>
        <v>1.8374500570715413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51.112947808973303</v>
      </c>
      <c r="H11" s="67">
        <f t="shared" si="1"/>
        <v>304.86569218273291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5.6158333333333337</v>
      </c>
      <c r="N11" s="13">
        <f>IF('Données projet'!$A$36&gt;35,N10+M11-V10,IF(A11&lt;'Données projet'!$A$36,$K$205^A11,IF(A11='Données projet'!$A$36,'Données projet'!$B$36,N10+M11-V10)))</f>
        <v>16.560126027847463</v>
      </c>
      <c r="O11" s="13">
        <f>N11*VLOOKUP('Données projet'!$B$9,Paramètres!$A$1:$I$89,3,0)*VLOOKUP('Données projet'!$B$9,Paramètres!$A$1:$I$89,5,0)</f>
        <v>9.902955364652783</v>
      </c>
      <c r="P11" s="13">
        <f t="shared" si="33"/>
        <v>3.4946996879677723</v>
      </c>
      <c r="Q11" s="20">
        <f t="shared" si="2"/>
        <v>23.334249216647464</v>
      </c>
      <c r="R11" s="59">
        <f t="shared" si="0"/>
        <v>316.66758254998081</v>
      </c>
      <c r="S11" s="59">
        <f ca="1">AVERAGE(OFFSET($R$3,0,0,'Données projet'!$E$9+1,1))-AVERAGE(OFFSET($H$3,0,0,'Données projet'!$E$9+1,1))</f>
        <v>232.5902129145469</v>
      </c>
      <c r="T11" s="59">
        <f t="shared" si="34"/>
        <v>340.94590122751879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0</v>
      </c>
      <c r="AI11" s="13">
        <f>IF('Données projet'!$A$62&gt;35,AI10+AH11-AQ10,IF(A11&lt;'Données projet'!$A$62,$AF$205^A11,IF(A11='Données projet'!$A$62,'Données projet'!$B$62,AI10+AH11-AQ10)))</f>
        <v>0</v>
      </c>
      <c r="AJ11" s="13" t="e">
        <f>AI11*VLOOKUP('Données projet'!$B$10,Paramètres!$A$1:$I$89,3,0)*VLOOKUP('Données projet'!$B$10,Paramètres!$A$1:$I$89,5,0)</f>
        <v>#N/A</v>
      </c>
      <c r="AK11" s="13" t="e">
        <f t="shared" si="35"/>
        <v>#N/A</v>
      </c>
      <c r="AL11" s="20" t="e">
        <f t="shared" si="4"/>
        <v>#N/A</v>
      </c>
      <c r="AM11" s="59" t="e">
        <f t="shared" si="5"/>
        <v>#N/A</v>
      </c>
      <c r="AN11" s="59" t="e">
        <f ca="1">AVERAGE(OFFSET($AM$3,0,0,'Données projet'!$E$10+1,1))-AVERAGE(OFFSET($H$3,0,0,'Données projet'!$E$10+1,1))</f>
        <v>#N/A</v>
      </c>
      <c r="AO11" s="59" t="e">
        <f t="shared" si="36"/>
        <v>#N/A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 t="e">
        <f>EXP(-LN(2)/35)*AU10+(1-EXP(-LN(2)/35))/(LN(2)/35)*AQ11*AR11*VLOOKUP('Données projet'!$B$10,Paramètres!$A$1:$I$89,3,0)*0.475*44/12</f>
        <v>#N/A</v>
      </c>
      <c r="AV11" s="21" t="e">
        <f>EXP(-LN(2)/25)*AV10+(1-EXP(-LN(2)/25))/(LN(2)/25)*Calculateur!AQ11*Calculateur!AS11*VLOOKUP('Données projet'!$B$10,Paramètres!$A$1:$I$89,3,0)*0.475*44/12</f>
        <v>#N/A</v>
      </c>
      <c r="AW11" s="21" t="e">
        <f>EXP(-LN(2)/2)*AW10+(1-EXP(-LN(2)/2))/(LN(2)/2)*AQ11*AT11*VLOOKUP('Données projet'!$B$10,Paramètres!$A$1:$I$89,3,0)*0.475*44/12</f>
        <v>#N/A</v>
      </c>
      <c r="AX11" s="21" t="e">
        <f t="shared" si="6"/>
        <v>#N/A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2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5.3819999999999997</v>
      </c>
      <c r="D12" s="11">
        <f t="shared" si="32"/>
        <v>2.038984443761938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57.284792197460582</v>
      </c>
      <c r="H12" s="67">
        <f t="shared" si="1"/>
        <v>306.25821457288538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5.6158333333333337</v>
      </c>
      <c r="N12" s="13">
        <f>IF('Données projet'!$A$36&gt;35,N11+M12-V11,IF(A12&lt;'Données projet'!$A$36,$K$205^A12,IF(A12='Données projet'!$A$36,'Données projet'!$B$36,N11+M12-V11)))</f>
        <v>23.520502302909332</v>
      </c>
      <c r="O12" s="13">
        <f>N12*VLOOKUP('Données projet'!$B$9,Paramètres!$A$1:$I$89,3,0)*VLOOKUP('Données projet'!$B$9,Paramètres!$A$1:$I$89,5,0)</f>
        <v>14.065260377139781</v>
      </c>
      <c r="P12" s="13">
        <f t="shared" si="33"/>
        <v>4.7649180961364657</v>
      </c>
      <c r="Q12" s="20">
        <f t="shared" si="2"/>
        <v>32.795894174289465</v>
      </c>
      <c r="R12" s="59">
        <f t="shared" si="0"/>
        <v>326.12922750762277</v>
      </c>
      <c r="S12" s="59">
        <f ca="1">AVERAGE(OFFSET($R$3,0,0,'Données projet'!$E$9+1,1))-AVERAGE(OFFSET($H$3,0,0,'Données projet'!$E$9+1,1))</f>
        <v>232.5902129145469</v>
      </c>
      <c r="T12" s="59">
        <f t="shared" si="34"/>
        <v>340.94590122751879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0</v>
      </c>
      <c r="AI12" s="13">
        <f>IF('Données projet'!$A$62&gt;35,AI11+AH12-AQ11,IF(A12&lt;'Données projet'!$A$62,$AF$205^A12,IF(A12='Données projet'!$A$62,'Données projet'!$B$62,AI11+AH12-AQ11)))</f>
        <v>0</v>
      </c>
      <c r="AJ12" s="13" t="e">
        <f>AI12*VLOOKUP('Données projet'!$B$10,Paramètres!$A$1:$I$89,3,0)*VLOOKUP('Données projet'!$B$10,Paramètres!$A$1:$I$89,5,0)</f>
        <v>#N/A</v>
      </c>
      <c r="AK12" s="13" t="e">
        <f t="shared" si="35"/>
        <v>#N/A</v>
      </c>
      <c r="AL12" s="20" t="e">
        <f t="shared" si="4"/>
        <v>#N/A</v>
      </c>
      <c r="AM12" s="59" t="e">
        <f t="shared" si="5"/>
        <v>#N/A</v>
      </c>
      <c r="AN12" s="59" t="e">
        <f ca="1">AVERAGE(OFFSET($AM$3,0,0,'Données projet'!$E$10+1,1))-AVERAGE(OFFSET($H$3,0,0,'Données projet'!$E$10+1,1))</f>
        <v>#N/A</v>
      </c>
      <c r="AO12" s="59" t="e">
        <f t="shared" si="36"/>
        <v>#N/A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 t="e">
        <f>EXP(-LN(2)/35)*AU11+(1-EXP(-LN(2)/35))/(LN(2)/35)*AQ12*AR12*VLOOKUP('Données projet'!$B$10,Paramètres!$A$1:$I$89,3,0)*0.475*44/12</f>
        <v>#N/A</v>
      </c>
      <c r="AV12" s="21" t="e">
        <f>EXP(-LN(2)/25)*AV11+(1-EXP(-LN(2)/25))/(LN(2)/25)*Calculateur!AQ12*Calculateur!AS12*VLOOKUP('Données projet'!$B$10,Paramètres!$A$1:$I$89,3,0)*0.475*44/12</f>
        <v>#N/A</v>
      </c>
      <c r="AW12" s="21" t="e">
        <f>EXP(-LN(2)/2)*AW11+(1-EXP(-LN(2)/2))/(LN(2)/2)*AQ12*AT12*VLOOKUP('Données projet'!$B$10,Paramètres!$A$1:$I$89,3,0)*0.475*44/12</f>
        <v>#N/A</v>
      </c>
      <c r="AX12" s="21" t="e">
        <f t="shared" si="6"/>
        <v>#N/A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2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5.9799999999999995</v>
      </c>
      <c r="D13" s="11">
        <f t="shared" si="32"/>
        <v>2.2379234705753914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63.436602229003022</v>
      </c>
      <c r="H13" s="67">
        <f t="shared" si="1"/>
        <v>307.64621671125212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5.6158333333333337</v>
      </c>
      <c r="N13" s="13">
        <f>IF('Données projet'!$A$36&gt;35,N12+M13-V12,IF(A13&lt;'Données projet'!$A$36,$K$205^A13,IF(A13='Données projet'!$A$36,'Données projet'!$B$36,N12+M13-V12)))</f>
        <v>33.406390002762059</v>
      </c>
      <c r="O13" s="13">
        <f>N13*VLOOKUP('Données projet'!$B$9,Paramètres!$A$1:$I$89,3,0)*VLOOKUP('Données projet'!$B$9,Paramètres!$A$1:$I$89,5,0)</f>
        <v>19.977021221651714</v>
      </c>
      <c r="P13" s="13">
        <f t="shared" si="33"/>
        <v>6.4968227573487978</v>
      </c>
      <c r="Q13" s="20">
        <f t="shared" si="2"/>
        <v>46.108611596759225</v>
      </c>
      <c r="R13" s="59">
        <f t="shared" si="0"/>
        <v>339.44194493009252</v>
      </c>
      <c r="S13" s="59">
        <f ca="1">AVERAGE(OFFSET($R$3,0,0,'Données projet'!$E$9+1,1))-AVERAGE(OFFSET($H$3,0,0,'Données projet'!$E$9+1,1))</f>
        <v>232.5902129145469</v>
      </c>
      <c r="T13" s="59">
        <f t="shared" si="34"/>
        <v>340.94590122751879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0</v>
      </c>
      <c r="AI13" s="13">
        <f>IF('Données projet'!$A$62&gt;35,AI12+AH13-AQ12,IF(A13&lt;'Données projet'!$A$62,$AF$205^A13,IF(A13='Données projet'!$A$62,'Données projet'!$B$62,AI12+AH13-AQ12)))</f>
        <v>0</v>
      </c>
      <c r="AJ13" s="13" t="e">
        <f>AI13*VLOOKUP('Données projet'!$B$10,Paramètres!$A$1:$I$89,3,0)*VLOOKUP('Données projet'!$B$10,Paramètres!$A$1:$I$89,5,0)</f>
        <v>#N/A</v>
      </c>
      <c r="AK13" s="13" t="e">
        <f t="shared" si="35"/>
        <v>#N/A</v>
      </c>
      <c r="AL13" s="20" t="e">
        <f t="shared" si="4"/>
        <v>#N/A</v>
      </c>
      <c r="AM13" s="59" t="e">
        <f t="shared" si="5"/>
        <v>#N/A</v>
      </c>
      <c r="AN13" s="59" t="e">
        <f ca="1">AVERAGE(OFFSET($AM$3,0,0,'Données projet'!$E$10+1,1))-AVERAGE(OFFSET($H$3,0,0,'Données projet'!$E$10+1,1))</f>
        <v>#N/A</v>
      </c>
      <c r="AO13" s="59" t="e">
        <f t="shared" si="36"/>
        <v>#N/A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 t="e">
        <f>EXP(-LN(2)/35)*AU12+(1-EXP(-LN(2)/35))/(LN(2)/35)*AQ13*AR13*VLOOKUP('Données projet'!$B$10,Paramètres!$A$1:$I$89,3,0)*0.475*44/12</f>
        <v>#N/A</v>
      </c>
      <c r="AV13" s="21" t="e">
        <f>EXP(-LN(2)/25)*AV12+(1-EXP(-LN(2)/25))/(LN(2)/25)*Calculateur!AQ13*Calculateur!AS13*VLOOKUP('Données projet'!$B$10,Paramètres!$A$1:$I$89,3,0)*0.475*44/12</f>
        <v>#N/A</v>
      </c>
      <c r="AW13" s="21" t="e">
        <f>EXP(-LN(2)/2)*AW12+(1-EXP(-LN(2)/2))/(LN(2)/2)*AQ13*AT13*VLOOKUP('Données projet'!$B$10,Paramètres!$A$1:$I$89,3,0)*0.475*44/12</f>
        <v>#N/A</v>
      </c>
      <c r="AX13" s="21" t="e">
        <f t="shared" si="6"/>
        <v>#N/A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2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6.5779999999999994</v>
      </c>
      <c r="D14" s="11">
        <f t="shared" si="32"/>
        <v>2.4345562183329115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69.570609404675096</v>
      </c>
      <c r="H14" s="67">
        <f t="shared" si="1"/>
        <v>309.03020208026311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5.6158333333333337</v>
      </c>
      <c r="N14" s="13">
        <f>IF('Données projet'!$A$36&gt;35,N13+M14-V13,IF(A14&lt;'Données projet'!$A$36,$K$205^A14,IF(A14='Données projet'!$A$36,'Données projet'!$B$36,N13+M14-V13)))</f>
        <v>47.447409015520911</v>
      </c>
      <c r="O14" s="13">
        <f>N14*VLOOKUP('Données projet'!$B$9,Paramètres!$A$1:$I$89,3,0)*VLOOKUP('Données projet'!$B$9,Paramètres!$A$1:$I$89,5,0)</f>
        <v>28.373550591281511</v>
      </c>
      <c r="P14" s="13">
        <f t="shared" si="33"/>
        <v>8.8582227624498397</v>
      </c>
      <c r="Q14" s="20">
        <f t="shared" si="2"/>
        <v>64.845338591082097</v>
      </c>
      <c r="R14" s="59">
        <f t="shared" si="0"/>
        <v>358.17867192441543</v>
      </c>
      <c r="S14" s="59">
        <f ca="1">AVERAGE(OFFSET($R$3,0,0,'Données projet'!$E$9+1,1))-AVERAGE(OFFSET($H$3,0,0,'Données projet'!$E$9+1,1))</f>
        <v>232.5902129145469</v>
      </c>
      <c r="T14" s="59">
        <f t="shared" si="34"/>
        <v>340.94590122751879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0</v>
      </c>
      <c r="AI14" s="13">
        <f>IF('Données projet'!$A$62&gt;35,AI13+AH14-AQ13,IF(A14&lt;'Données projet'!$A$62,$AF$205^A14,IF(A14='Données projet'!$A$62,'Données projet'!$B$62,AI13+AH14-AQ13)))</f>
        <v>0</v>
      </c>
      <c r="AJ14" s="13" t="e">
        <f>AI14*VLOOKUP('Données projet'!$B$10,Paramètres!$A$1:$I$89,3,0)*VLOOKUP('Données projet'!$B$10,Paramètres!$A$1:$I$89,5,0)</f>
        <v>#N/A</v>
      </c>
      <c r="AK14" s="13" t="e">
        <f t="shared" si="35"/>
        <v>#N/A</v>
      </c>
      <c r="AL14" s="20" t="e">
        <f t="shared" si="4"/>
        <v>#N/A</v>
      </c>
      <c r="AM14" s="59" t="e">
        <f t="shared" si="5"/>
        <v>#N/A</v>
      </c>
      <c r="AN14" s="59" t="e">
        <f ca="1">AVERAGE(OFFSET($AM$3,0,0,'Données projet'!$E$10+1,1))-AVERAGE(OFFSET($H$3,0,0,'Données projet'!$E$10+1,1))</f>
        <v>#N/A</v>
      </c>
      <c r="AO14" s="59" t="e">
        <f t="shared" si="36"/>
        <v>#N/A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 t="e">
        <f>EXP(-LN(2)/35)*AU13+(1-EXP(-LN(2)/35))/(LN(2)/35)*AQ14*AR14*VLOOKUP('Données projet'!$B$10,Paramètres!$A$1:$I$89,3,0)*0.475*44/12</f>
        <v>#N/A</v>
      </c>
      <c r="AV14" s="21" t="e">
        <f>EXP(-LN(2)/25)*AV13+(1-EXP(-LN(2)/25))/(LN(2)/25)*Calculateur!AQ14*Calculateur!AS14*VLOOKUP('Données projet'!$B$10,Paramètres!$A$1:$I$89,3,0)*0.475*44/12</f>
        <v>#N/A</v>
      </c>
      <c r="AW14" s="21" t="e">
        <f>EXP(-LN(2)/2)*AW13+(1-EXP(-LN(2)/2))/(LN(2)/2)*AQ14*AT14*VLOOKUP('Données projet'!$B$10,Paramètres!$A$1:$I$89,3,0)*0.475*44/12</f>
        <v>#N/A</v>
      </c>
      <c r="AX14" s="21" t="e">
        <f t="shared" si="6"/>
        <v>#N/A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2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7.1759999999999993</v>
      </c>
      <c r="D15" s="11">
        <f t="shared" si="32"/>
        <v>2.629116193028969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75.688616226890289</v>
      </c>
      <c r="H15" s="67">
        <f t="shared" si="1"/>
        <v>310.41057736952541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67.39</v>
      </c>
      <c r="L15" s="12">
        <f>VLOOKUP(A15,'Données projet'!$A$35:$I$55,9,0)</f>
        <v>5.6158333333333337</v>
      </c>
      <c r="M15" s="12">
        <f t="array" ref="M15">INDEX(L:L,MIN(IF(ISNUMBER(L15:L211),ROW(L15:L211),"")))</f>
        <v>5.6158333333333337</v>
      </c>
      <c r="N15" s="13">
        <f>IF('Données projet'!$A$36&gt;35,N14+M15-V14,IF(A15&lt;'Données projet'!$A$36,$K$205^A15,IF(A15='Données projet'!$A$36,'Données projet'!$B$36,N14+M15-V14)))</f>
        <v>67.39</v>
      </c>
      <c r="O15" s="13">
        <f>N15*VLOOKUP('Données projet'!$B$9,Paramètres!$A$1:$I$89,3,0)*VLOOKUP('Données projet'!$B$9,Paramètres!$A$1:$I$89,5,0)</f>
        <v>40.299220000000005</v>
      </c>
      <c r="P15" s="13">
        <f t="shared" si="33"/>
        <v>12.077920768336536</v>
      </c>
      <c r="Q15" s="20">
        <f t="shared" si="2"/>
        <v>91.223520171519496</v>
      </c>
      <c r="R15" s="59">
        <f t="shared" si="0"/>
        <v>384.55685350485282</v>
      </c>
      <c r="S15" s="59">
        <f ca="1">AVERAGE(OFFSET($R$3,0,0,'Données projet'!$E$9+1,1))-AVERAGE(OFFSET($H$3,0,0,'Données projet'!$E$9+1,1))</f>
        <v>232.5902129145469</v>
      </c>
      <c r="T15" s="59">
        <f t="shared" si="34"/>
        <v>340.94590122751879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0</v>
      </c>
      <c r="AI15" s="13">
        <f>IF('Données projet'!$A$62&gt;35,AI14+AH15-AQ14,IF(A15&lt;'Données projet'!$A$62,$AF$205^A15,IF(A15='Données projet'!$A$62,'Données projet'!$B$62,AI14+AH15-AQ14)))</f>
        <v>0</v>
      </c>
      <c r="AJ15" s="13" t="e">
        <f>AI15*VLOOKUP('Données projet'!$B$10,Paramètres!$A$1:$I$89,3,0)*VLOOKUP('Données projet'!$B$10,Paramètres!$A$1:$I$89,5,0)</f>
        <v>#N/A</v>
      </c>
      <c r="AK15" s="13" t="e">
        <f t="shared" si="35"/>
        <v>#N/A</v>
      </c>
      <c r="AL15" s="20" t="e">
        <f t="shared" si="4"/>
        <v>#N/A</v>
      </c>
      <c r="AM15" s="59" t="e">
        <f t="shared" si="5"/>
        <v>#N/A</v>
      </c>
      <c r="AN15" s="59" t="e">
        <f ca="1">AVERAGE(OFFSET($AM$3,0,0,'Données projet'!$E$10+1,1))-AVERAGE(OFFSET($H$3,0,0,'Données projet'!$E$10+1,1))</f>
        <v>#N/A</v>
      </c>
      <c r="AO15" s="59" t="e">
        <f t="shared" si="36"/>
        <v>#N/A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 t="e">
        <f>EXP(-LN(2)/35)*AU14+(1-EXP(-LN(2)/35))/(LN(2)/35)*AQ15*AR15*VLOOKUP('Données projet'!$B$10,Paramètres!$A$1:$I$89,3,0)*0.475*44/12</f>
        <v>#N/A</v>
      </c>
      <c r="AV15" s="21" t="e">
        <f>EXP(-LN(2)/25)*AV14+(1-EXP(-LN(2)/25))/(LN(2)/25)*Calculateur!AQ15*Calculateur!AS15*VLOOKUP('Données projet'!$B$10,Paramètres!$A$1:$I$89,3,0)*0.475*44/12</f>
        <v>#N/A</v>
      </c>
      <c r="AW15" s="21" t="e">
        <f>EXP(-LN(2)/2)*AW14+(1-EXP(-LN(2)/2))/(LN(2)/2)*AQ15*AT15*VLOOKUP('Données projet'!$B$10,Paramètres!$A$1:$I$89,3,0)*0.475*44/12</f>
        <v>#N/A</v>
      </c>
      <c r="AX15" s="21" t="e">
        <f t="shared" si="6"/>
        <v>#N/A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2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7.7739999999999991</v>
      </c>
      <c r="D16" s="11">
        <f t="shared" si="32"/>
        <v>2.8217957637427893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81.792107649944342</v>
      </c>
      <c r="H16" s="67">
        <f t="shared" si="1"/>
        <v>311.78767762185203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20.395000000000003</v>
      </c>
      <c r="N16" s="13">
        <f>IF('Données projet'!$A$36&gt;35,N15+M16-V15,IF(A16&lt;'Données projet'!$A$36,$K$205^A16,IF(A16='Données projet'!$A$36,'Données projet'!$B$36,N15+M16-V15)))</f>
        <v>87.784999999999997</v>
      </c>
      <c r="O16" s="13">
        <f>N16*VLOOKUP('Données projet'!$B$9,Paramètres!$A$1:$I$89,3,0)*VLOOKUP('Données projet'!$B$9,Paramètres!$A$1:$I$89,5,0)</f>
        <v>52.495430000000006</v>
      </c>
      <c r="P16" s="13">
        <f t="shared" si="33"/>
        <v>15.256377281491064</v>
      </c>
      <c r="Q16" s="20">
        <f t="shared" si="2"/>
        <v>118.00106434859693</v>
      </c>
      <c r="R16" s="59">
        <f t="shared" si="0"/>
        <v>411.33439768193023</v>
      </c>
      <c r="S16" s="59">
        <f ca="1">AVERAGE(OFFSET($R$3,0,0,'Données projet'!$E$9+1,1))-AVERAGE(OFFSET($H$3,0,0,'Données projet'!$E$9+1,1))</f>
        <v>232.5902129145469</v>
      </c>
      <c r="T16" s="59">
        <f t="shared" si="34"/>
        <v>340.94590122751879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0</v>
      </c>
      <c r="AI16" s="13">
        <f>IF('Données projet'!$A$62&gt;35,AI15+AH16-AQ15,IF(A16&lt;'Données projet'!$A$62,$AF$205^A16,IF(A16='Données projet'!$A$62,'Données projet'!$B$62,AI15+AH16-AQ15)))</f>
        <v>0</v>
      </c>
      <c r="AJ16" s="13" t="e">
        <f>AI16*VLOOKUP('Données projet'!$B$10,Paramètres!$A$1:$I$89,3,0)*VLOOKUP('Données projet'!$B$10,Paramètres!$A$1:$I$89,5,0)</f>
        <v>#N/A</v>
      </c>
      <c r="AK16" s="13" t="e">
        <f t="shared" si="35"/>
        <v>#N/A</v>
      </c>
      <c r="AL16" s="20" t="e">
        <f t="shared" si="4"/>
        <v>#N/A</v>
      </c>
      <c r="AM16" s="59" t="e">
        <f t="shared" si="5"/>
        <v>#N/A</v>
      </c>
      <c r="AN16" s="59" t="e">
        <f ca="1">AVERAGE(OFFSET($AM$3,0,0,'Données projet'!$E$10+1,1))-AVERAGE(OFFSET($H$3,0,0,'Données projet'!$E$10+1,1))</f>
        <v>#N/A</v>
      </c>
      <c r="AO16" s="59" t="e">
        <f t="shared" si="36"/>
        <v>#N/A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 t="e">
        <f>EXP(-LN(2)/35)*AU15+(1-EXP(-LN(2)/35))/(LN(2)/35)*AQ16*AR16*VLOOKUP('Données projet'!$B$10,Paramètres!$A$1:$I$89,3,0)*0.475*44/12</f>
        <v>#N/A</v>
      </c>
      <c r="AV16" s="21" t="e">
        <f>EXP(-LN(2)/25)*AV15+(1-EXP(-LN(2)/25))/(LN(2)/25)*Calculateur!AQ16*Calculateur!AS16*VLOOKUP('Données projet'!$B$10,Paramètres!$A$1:$I$89,3,0)*0.475*44/12</f>
        <v>#N/A</v>
      </c>
      <c r="AW16" s="21" t="e">
        <f>EXP(-LN(2)/2)*AW15+(1-EXP(-LN(2)/2))/(LN(2)/2)*AQ16*AT16*VLOOKUP('Données projet'!$B$10,Paramètres!$A$1:$I$89,3,0)*0.475*44/12</f>
        <v>#N/A</v>
      </c>
      <c r="AX16" s="21" t="e">
        <f t="shared" si="6"/>
        <v>#N/A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2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8.3719999999999999</v>
      </c>
      <c r="D17" s="11">
        <f t="shared" si="32"/>
        <v>3.0127560231104038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87.882327195939965</v>
      </c>
      <c r="H17" s="67">
        <f t="shared" si="1"/>
        <v>313.16178340691727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>
        <f>VLOOKUP(A17,'Données projet'!$A$35:$I$55,2,0)</f>
        <v>108.18</v>
      </c>
      <c r="L17" s="12">
        <f>VLOOKUP(A17,'Données projet'!$A$35:$I$55,9,0)</f>
        <v>20.395000000000003</v>
      </c>
      <c r="M17" s="12">
        <f t="array" ref="M17">INDEX(L:L,MIN(IF(ISNUMBER(L17:L213),ROW(L17:L213),"")))</f>
        <v>20.395000000000003</v>
      </c>
      <c r="N17" s="13">
        <f>IF('Données projet'!$A$36&gt;35,N16+M17-V16,IF(A17&lt;'Données projet'!$A$36,$K$205^A17,IF(A17='Données projet'!$A$36,'Données projet'!$B$36,N16+M17-V16)))</f>
        <v>108.18</v>
      </c>
      <c r="O17" s="13">
        <f>N17*VLOOKUP('Données projet'!$B$9,Paramètres!$A$1:$I$89,3,0)*VLOOKUP('Données projet'!$B$9,Paramètres!$A$1:$I$89,5,0)</f>
        <v>64.691640000000007</v>
      </c>
      <c r="P17" s="13">
        <f t="shared" si="33"/>
        <v>18.349215449215929</v>
      </c>
      <c r="Q17" s="20">
        <f t="shared" si="2"/>
        <v>144.62948990738442</v>
      </c>
      <c r="R17" s="59">
        <f t="shared" si="0"/>
        <v>437.96282324071774</v>
      </c>
      <c r="S17" s="59">
        <f ca="1">AVERAGE(OFFSET($R$3,0,0,'Données projet'!$E$9+1,1))-AVERAGE(OFFSET($H$3,0,0,'Données projet'!$E$9+1,1))</f>
        <v>232.5902129145469</v>
      </c>
      <c r="T17" s="59">
        <f t="shared" si="34"/>
        <v>340.94590122751879</v>
      </c>
      <c r="U17" s="15">
        <f>IF(ISNA(VLOOKUP(A17,'Données projet'!$A$35:$I$55,3,0)),0,VLOOKUP(A17,'Données projet'!$A$35:$I$55,3,0))</f>
        <v>1</v>
      </c>
      <c r="V17" s="15">
        <f>IF(ISNA(VLOOKUP(A17,'Données projet'!$A$35:$I$55,4,0)),0,VLOOKUP(A17,'Données projet'!$A$35:$I$55,4,0))</f>
        <v>34.25</v>
      </c>
      <c r="W17" s="16">
        <f>IF(ISNA(VLOOKUP(A17,'Données projet'!$A$35:$I$55,5,0)),0%,VLOOKUP(A17,'Données projet'!$A$35:$I$55,5,0)*VLOOKUP('Données projet'!$B$9,Paramètres!$A$1:$I$89,7,0))</f>
        <v>9.0000000000000011E-2</v>
      </c>
      <c r="X17" s="16">
        <f>IF(ISNA(VLOOKUP(A17,'Données projet'!$A$35:$I$55,6,0)),0%,VLOOKUP(A17,'Données projet'!$A$35:$I$55,6,0)*VLOOKUP('Données projet'!$B$9,Paramètres!$A$1:$I$89,7,0))</f>
        <v>0.20250000000000001</v>
      </c>
      <c r="Y17" s="16">
        <f>IF(ISNA(VLOOKUP(A17,'Données projet'!$A$35:$I$55,7,0)),0%,VLOOKUP(A17,'Données projet'!$A$35:$I$55,7,0))</f>
        <v>0.35</v>
      </c>
      <c r="Z17" s="21">
        <f>EXP(-LN(2)/35)*Z16+(1-EXP(-LN(2)/35))/(LN(2)/35)*V17*W17*VLOOKUP('Données projet'!$B$9,Paramètres!$A$1:$I$89,3,0)*0.475*44/12</f>
        <v>2.4453026904676456</v>
      </c>
      <c r="AA17" s="21">
        <f>EXP(-LN(2)/25)*AA16+(1-EXP(-LN(2)/25))/(LN(2)/25)*Calculateur!V17*Calculateur!X17*VLOOKUP('Données projet'!$B$9,Paramètres!$A$1:$I$89,3,0)*0.475*44/12</f>
        <v>5.4802678545942785</v>
      </c>
      <c r="AB17" s="21">
        <f>EXP(-LN(2)/2)*AB16+(1-EXP(-LN(2)/2))/(LN(2)/2)*V17*Y17*VLOOKUP('Données projet'!$B$9,Paramètres!$A$1:$I$89,3,0)*0.475*44/12</f>
        <v>8.1164355306259086</v>
      </c>
      <c r="AC17" s="22">
        <f t="shared" si="3"/>
        <v>16.042006075687834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0</v>
      </c>
      <c r="AI17" s="13">
        <f>IF('Données projet'!$A$62&gt;35,AI16+AH17-AQ16,IF(A17&lt;'Données projet'!$A$62,$AF$205^A17,IF(A17='Données projet'!$A$62,'Données projet'!$B$62,AI16+AH17-AQ16)))</f>
        <v>0</v>
      </c>
      <c r="AJ17" s="13" t="e">
        <f>AI17*VLOOKUP('Données projet'!$B$10,Paramètres!$A$1:$I$89,3,0)*VLOOKUP('Données projet'!$B$10,Paramètres!$A$1:$I$89,5,0)</f>
        <v>#N/A</v>
      </c>
      <c r="AK17" s="13" t="e">
        <f t="shared" si="35"/>
        <v>#N/A</v>
      </c>
      <c r="AL17" s="20" t="e">
        <f t="shared" si="4"/>
        <v>#N/A</v>
      </c>
      <c r="AM17" s="59" t="e">
        <f t="shared" si="5"/>
        <v>#N/A</v>
      </c>
      <c r="AN17" s="59" t="e">
        <f ca="1">AVERAGE(OFFSET($AM$3,0,0,'Données projet'!$E$10+1,1))-AVERAGE(OFFSET($H$3,0,0,'Données projet'!$E$10+1,1))</f>
        <v>#N/A</v>
      </c>
      <c r="AO17" s="59" t="e">
        <f t="shared" si="36"/>
        <v>#N/A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 t="e">
        <f>EXP(-LN(2)/35)*AU16+(1-EXP(-LN(2)/35))/(LN(2)/35)*AQ17*AR17*VLOOKUP('Données projet'!$B$10,Paramètres!$A$1:$I$89,3,0)*0.475*44/12</f>
        <v>#N/A</v>
      </c>
      <c r="AV17" s="21" t="e">
        <f>EXP(-LN(2)/25)*AV16+(1-EXP(-LN(2)/25))/(LN(2)/25)*Calculateur!AQ17*Calculateur!AS17*VLOOKUP('Données projet'!$B$10,Paramètres!$A$1:$I$89,3,0)*0.475*44/12</f>
        <v>#N/A</v>
      </c>
      <c r="AW17" s="21" t="e">
        <f>EXP(-LN(2)/2)*AW16+(1-EXP(-LN(2)/2))/(LN(2)/2)*AQ17*AT17*VLOOKUP('Données projet'!$B$10,Paramètres!$A$1:$I$89,3,0)*0.475*44/12</f>
        <v>#N/A</v>
      </c>
      <c r="AX17" s="21" t="e">
        <f t="shared" si="6"/>
        <v>#N/A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2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8.9700000000000006</v>
      </c>
      <c r="D18" s="11">
        <f t="shared" si="32"/>
        <v>3.2021337464957651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93.960330674704153</v>
      </c>
      <c r="H18" s="67">
        <f t="shared" si="1"/>
        <v>314.53313294181345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21.968</v>
      </c>
      <c r="N18" s="13">
        <f>IF('Données projet'!$A$36&gt;35,N17+M18-V17,IF(A18&lt;'Données projet'!$A$36,$K$205^A18,IF(A18='Données projet'!$A$36,'Données projet'!$B$36,N17+M18-V17)))</f>
        <v>95.897999999999996</v>
      </c>
      <c r="O18" s="13">
        <f>N18*VLOOKUP('Données projet'!$B$9,Paramètres!$A$1:$I$89,3,0)*VLOOKUP('Données projet'!$B$9,Paramètres!$A$1:$I$89,5,0)</f>
        <v>57.347004000000005</v>
      </c>
      <c r="P18" s="13">
        <f t="shared" si="33"/>
        <v>16.49575316039088</v>
      </c>
      <c r="Q18" s="20">
        <f t="shared" si="2"/>
        <v>128.60946872101411</v>
      </c>
      <c r="R18" s="59">
        <f t="shared" si="0"/>
        <v>421.94280205434745</v>
      </c>
      <c r="S18" s="59">
        <f ca="1">AVERAGE(OFFSET($R$3,0,0,'Données projet'!$E$9+1,1))-AVERAGE(OFFSET($H$3,0,0,'Données projet'!$E$9+1,1))</f>
        <v>232.5902129145469</v>
      </c>
      <c r="T18" s="59">
        <f t="shared" si="34"/>
        <v>340.94590122751879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2.3973517961949442</v>
      </c>
      <c r="AA18" s="21">
        <f>EXP(-LN(2)/25)*AA17+(1-EXP(-LN(2)/25))/(LN(2)/25)*Calculateur!V18*Calculateur!X18*VLOOKUP('Données projet'!$B$9,Paramètres!$A$1:$I$89,3,0)*0.475*44/12</f>
        <v>5.3304096419156366</v>
      </c>
      <c r="AB18" s="21">
        <f>EXP(-LN(2)/2)*AB17+(1-EXP(-LN(2)/2))/(LN(2)/2)*V18*Y18*VLOOKUP('Données projet'!$B$9,Paramètres!$A$1:$I$89,3,0)*0.475*44/12</f>
        <v>5.7391866027690144</v>
      </c>
      <c r="AC18" s="22">
        <f t="shared" si="3"/>
        <v>13.466948040879595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0</v>
      </c>
      <c r="AI18" s="13">
        <f>IF('Données projet'!$A$62&gt;35,AI17+AH18-AQ17,IF(A18&lt;'Données projet'!$A$62,$AF$205^A18,IF(A18='Données projet'!$A$62,'Données projet'!$B$62,AI17+AH18-AQ17)))</f>
        <v>0</v>
      </c>
      <c r="AJ18" s="13" t="e">
        <f>AI18*VLOOKUP('Données projet'!$B$10,Paramètres!$A$1:$I$89,3,0)*VLOOKUP('Données projet'!$B$10,Paramètres!$A$1:$I$89,5,0)</f>
        <v>#N/A</v>
      </c>
      <c r="AK18" s="13" t="e">
        <f t="shared" si="35"/>
        <v>#N/A</v>
      </c>
      <c r="AL18" s="20" t="e">
        <f t="shared" si="4"/>
        <v>#N/A</v>
      </c>
      <c r="AM18" s="59" t="e">
        <f t="shared" si="5"/>
        <v>#N/A</v>
      </c>
      <c r="AN18" s="59" t="e">
        <f ca="1">AVERAGE(OFFSET($AM$3,0,0,'Données projet'!$E$10+1,1))-AVERAGE(OFFSET($H$3,0,0,'Données projet'!$E$10+1,1))</f>
        <v>#N/A</v>
      </c>
      <c r="AO18" s="59" t="e">
        <f t="shared" si="36"/>
        <v>#N/A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 t="e">
        <f>EXP(-LN(2)/35)*AU17+(1-EXP(-LN(2)/35))/(LN(2)/35)*AQ18*AR18*VLOOKUP('Données projet'!$B$10,Paramètres!$A$1:$I$89,3,0)*0.475*44/12</f>
        <v>#N/A</v>
      </c>
      <c r="AV18" s="21" t="e">
        <f>EXP(-LN(2)/25)*AV17+(1-EXP(-LN(2)/25))/(LN(2)/25)*Calculateur!AQ18*Calculateur!AS18*VLOOKUP('Données projet'!$B$10,Paramètres!$A$1:$I$89,3,0)*0.475*44/12</f>
        <v>#N/A</v>
      </c>
      <c r="AW18" s="21" t="e">
        <f>EXP(-LN(2)/2)*AW17+(1-EXP(-LN(2)/2))/(LN(2)/2)*AQ18*AT18*VLOOKUP('Données projet'!$B$10,Paramètres!$A$1:$I$89,3,0)*0.475*44/12</f>
        <v>#N/A</v>
      </c>
      <c r="AX18" s="21" t="e">
        <f t="shared" si="6"/>
        <v>#N/A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2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9.5680000000000014</v>
      </c>
      <c r="D19" s="11">
        <f t="shared" si="32"/>
        <v>3.3900464408124646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100.02702515714888</v>
      </c>
      <c r="H19" s="67">
        <f t="shared" si="1"/>
        <v>315.90193088441504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21.968</v>
      </c>
      <c r="N19" s="13">
        <f>IF('Données projet'!$A$36&gt;35,N18+M19-V18,IF(A19&lt;'Données projet'!$A$36,$K$205^A19,IF(A19='Données projet'!$A$36,'Données projet'!$B$36,N18+M19-V18)))</f>
        <v>117.866</v>
      </c>
      <c r="O19" s="13">
        <f>N19*VLOOKUP('Données projet'!$B$9,Paramètres!$A$1:$I$89,3,0)*VLOOKUP('Données projet'!$B$9,Paramètres!$A$1:$I$89,5,0)</f>
        <v>70.483868000000001</v>
      </c>
      <c r="P19" s="13">
        <f t="shared" si="33"/>
        <v>19.793570832162988</v>
      </c>
      <c r="Q19" s="20">
        <f t="shared" si="2"/>
        <v>157.23320596601718</v>
      </c>
      <c r="R19" s="59">
        <f t="shared" si="0"/>
        <v>450.5665392993505</v>
      </c>
      <c r="S19" s="59">
        <f ca="1">AVERAGE(OFFSET($R$3,0,0,'Données projet'!$E$9+1,1))-AVERAGE(OFFSET($H$3,0,0,'Données projet'!$E$9+1,1))</f>
        <v>232.5902129145469</v>
      </c>
      <c r="T19" s="59">
        <f t="shared" si="34"/>
        <v>340.94590122751879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2.3503411897117727</v>
      </c>
      <c r="AA19" s="21">
        <f>EXP(-LN(2)/25)*AA18+(1-EXP(-LN(2)/25))/(LN(2)/25)*Calculateur!V19*Calculateur!X19*VLOOKUP('Données projet'!$B$9,Paramètres!$A$1:$I$89,3,0)*0.475*44/12</f>
        <v>5.184649309943393</v>
      </c>
      <c r="AB19" s="21">
        <f>EXP(-LN(2)/2)*AB18+(1-EXP(-LN(2)/2))/(LN(2)/2)*V19*Y19*VLOOKUP('Données projet'!$B$9,Paramètres!$A$1:$I$89,3,0)*0.475*44/12</f>
        <v>4.0582177653129552</v>
      </c>
      <c r="AC19" s="22">
        <f t="shared" si="3"/>
        <v>11.593208264968121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0</v>
      </c>
      <c r="AI19" s="13">
        <f>IF('Données projet'!$A$62&gt;35,AI18+AH19-AQ18,IF(A19&lt;'Données projet'!$A$62,$AF$205^A19,IF(A19='Données projet'!$A$62,'Données projet'!$B$62,AI18+AH19-AQ18)))</f>
        <v>0</v>
      </c>
      <c r="AJ19" s="13" t="e">
        <f>AI19*VLOOKUP('Données projet'!$B$10,Paramètres!$A$1:$I$89,3,0)*VLOOKUP('Données projet'!$B$10,Paramètres!$A$1:$I$89,5,0)</f>
        <v>#N/A</v>
      </c>
      <c r="AK19" s="13" t="e">
        <f t="shared" si="35"/>
        <v>#N/A</v>
      </c>
      <c r="AL19" s="20" t="e">
        <f t="shared" si="4"/>
        <v>#N/A</v>
      </c>
      <c r="AM19" s="59" t="e">
        <f t="shared" si="5"/>
        <v>#N/A</v>
      </c>
      <c r="AN19" s="59" t="e">
        <f ca="1">AVERAGE(OFFSET($AM$3,0,0,'Données projet'!$E$10+1,1))-AVERAGE(OFFSET($H$3,0,0,'Données projet'!$E$10+1,1))</f>
        <v>#N/A</v>
      </c>
      <c r="AO19" s="59" t="e">
        <f t="shared" si="36"/>
        <v>#N/A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 t="e">
        <f>EXP(-LN(2)/35)*AU18+(1-EXP(-LN(2)/35))/(LN(2)/35)*AQ19*AR19*VLOOKUP('Données projet'!$B$10,Paramètres!$A$1:$I$89,3,0)*0.475*44/12</f>
        <v>#N/A</v>
      </c>
      <c r="AV19" s="21" t="e">
        <f>EXP(-LN(2)/25)*AV18+(1-EXP(-LN(2)/25))/(LN(2)/25)*Calculateur!AQ19*Calculateur!AS19*VLOOKUP('Données projet'!$B$10,Paramètres!$A$1:$I$89,3,0)*0.475*44/12</f>
        <v>#N/A</v>
      </c>
      <c r="AW19" s="21" t="e">
        <f>EXP(-LN(2)/2)*AW18+(1-EXP(-LN(2)/2))/(LN(2)/2)*AQ19*AT19*VLOOKUP('Données projet'!$B$10,Paramètres!$A$1:$I$89,3,0)*0.475*44/12</f>
        <v>#N/A</v>
      </c>
      <c r="AX19" s="21" t="e">
        <f t="shared" si="6"/>
        <v>#N/A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2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10.166000000000002</v>
      </c>
      <c r="D20" s="11">
        <f t="shared" si="32"/>
        <v>3.576596094420871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106.08319792184534</v>
      </c>
      <c r="H20" s="67">
        <f t="shared" si="1"/>
        <v>317.26835486444969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21.968</v>
      </c>
      <c r="N20" s="13">
        <f>IF('Données projet'!$A$36&gt;35,N19+M20-V19,IF(A20&lt;'Données projet'!$A$36,$K$205^A20,IF(A20='Données projet'!$A$36,'Données projet'!$B$36,N19+M20-V19)))</f>
        <v>139.834</v>
      </c>
      <c r="O20" s="13">
        <f>N20*VLOOKUP('Données projet'!$B$9,Paramètres!$A$1:$I$89,3,0)*VLOOKUP('Données projet'!$B$9,Paramètres!$A$1:$I$89,5,0)</f>
        <v>83.620732000000004</v>
      </c>
      <c r="P20" s="13">
        <f t="shared" si="33"/>
        <v>23.020178365106414</v>
      </c>
      <c r="Q20" s="20">
        <f t="shared" si="2"/>
        <v>185.73291888589367</v>
      </c>
      <c r="R20" s="59">
        <f t="shared" si="0"/>
        <v>479.06625221922695</v>
      </c>
      <c r="S20" s="59">
        <f ca="1">AVERAGE(OFFSET($R$3,0,0,'Données projet'!$E$9+1,1))-AVERAGE(OFFSET($H$3,0,0,'Données projet'!$E$9+1,1))</f>
        <v>232.5902129145469</v>
      </c>
      <c r="T20" s="59">
        <f t="shared" si="34"/>
        <v>340.94590122751879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2.3042524325480978</v>
      </c>
      <c r="AA20" s="21">
        <f>EXP(-LN(2)/25)*AA19+(1-EXP(-LN(2)/25))/(LN(2)/25)*Calculateur!V20*Calculateur!X20*VLOOKUP('Données projet'!$B$9,Paramètres!$A$1:$I$89,3,0)*0.475*44/12</f>
        <v>5.0428748019141336</v>
      </c>
      <c r="AB20" s="21">
        <f>EXP(-LN(2)/2)*AB19+(1-EXP(-LN(2)/2))/(LN(2)/2)*V20*Y20*VLOOKUP('Données projet'!$B$9,Paramètres!$A$1:$I$89,3,0)*0.475*44/12</f>
        <v>2.8695933013845081</v>
      </c>
      <c r="AC20" s="22">
        <f t="shared" si="3"/>
        <v>10.21672053584674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0</v>
      </c>
      <c r="AI20" s="13">
        <f>IF('Données projet'!$A$62&gt;35,AI19+AH20-AQ19,IF(A20&lt;'Données projet'!$A$62,$AF$205^A20,IF(A20='Données projet'!$A$62,'Données projet'!$B$62,AI19+AH20-AQ19)))</f>
        <v>0</v>
      </c>
      <c r="AJ20" s="13" t="e">
        <f>AI20*VLOOKUP('Données projet'!$B$10,Paramètres!$A$1:$I$89,3,0)*VLOOKUP('Données projet'!$B$10,Paramètres!$A$1:$I$89,5,0)</f>
        <v>#N/A</v>
      </c>
      <c r="AK20" s="13" t="e">
        <f t="shared" si="35"/>
        <v>#N/A</v>
      </c>
      <c r="AL20" s="20" t="e">
        <f t="shared" si="4"/>
        <v>#N/A</v>
      </c>
      <c r="AM20" s="59" t="e">
        <f t="shared" si="5"/>
        <v>#N/A</v>
      </c>
      <c r="AN20" s="59" t="e">
        <f ca="1">AVERAGE(OFFSET($AM$3,0,0,'Données projet'!$E$10+1,1))-AVERAGE(OFFSET($H$3,0,0,'Données projet'!$E$10+1,1))</f>
        <v>#N/A</v>
      </c>
      <c r="AO20" s="59" t="e">
        <f t="shared" si="36"/>
        <v>#N/A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 t="e">
        <f>EXP(-LN(2)/35)*AU19+(1-EXP(-LN(2)/35))/(LN(2)/35)*AQ20*AR20*VLOOKUP('Données projet'!$B$10,Paramètres!$A$1:$I$89,3,0)*0.475*44/12</f>
        <v>#N/A</v>
      </c>
      <c r="AV20" s="21" t="e">
        <f>EXP(-LN(2)/25)*AV19+(1-EXP(-LN(2)/25))/(LN(2)/25)*Calculateur!AQ20*Calculateur!AS20*VLOOKUP('Données projet'!$B$10,Paramètres!$A$1:$I$89,3,0)*0.475*44/12</f>
        <v>#N/A</v>
      </c>
      <c r="AW20" s="21" t="e">
        <f>EXP(-LN(2)/2)*AW19+(1-EXP(-LN(2)/2))/(LN(2)/2)*AQ20*AT20*VLOOKUP('Données projet'!$B$10,Paramètres!$A$1:$I$89,3,0)*0.475*44/12</f>
        <v>#N/A</v>
      </c>
      <c r="AX20" s="21" t="e">
        <f t="shared" si="6"/>
        <v>#N/A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2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10.764000000000003</v>
      </c>
      <c r="D21" s="11">
        <f t="shared" si="32"/>
        <v>3.76187201923933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112.12953839412819</v>
      </c>
      <c r="H21" s="67">
        <f t="shared" si="1"/>
        <v>318.6325604335085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21.968</v>
      </c>
      <c r="N21" s="13">
        <f>IF('Données projet'!$A$36&gt;35,N20+M21-V20,IF(A21&lt;'Données projet'!$A$36,$K$205^A21,IF(A21='Données projet'!$A$36,'Données projet'!$B$36,N20+M21-V20)))</f>
        <v>161.80199999999999</v>
      </c>
      <c r="O21" s="13">
        <f>N21*VLOOKUP('Données projet'!$B$9,Paramètres!$A$1:$I$89,3,0)*VLOOKUP('Données projet'!$B$9,Paramètres!$A$1:$I$89,5,0)</f>
        <v>96.757596000000007</v>
      </c>
      <c r="P21" s="13">
        <f t="shared" si="33"/>
        <v>26.188063921005639</v>
      </c>
      <c r="Q21" s="20">
        <f t="shared" si="2"/>
        <v>214.13035769575148</v>
      </c>
      <c r="R21" s="59">
        <f t="shared" si="0"/>
        <v>507.46369102908477</v>
      </c>
      <c r="S21" s="59">
        <f ca="1">AVERAGE(OFFSET($R$3,0,0,'Données projet'!$E$9+1,1))-AVERAGE(OFFSET($H$3,0,0,'Données projet'!$E$9+1,1))</f>
        <v>232.5902129145469</v>
      </c>
      <c r="T21" s="59">
        <f t="shared" si="34"/>
        <v>340.94590122751879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2.2590674478010362</v>
      </c>
      <c r="AA21" s="21">
        <f>EXP(-LN(2)/25)*AA20+(1-EXP(-LN(2)/25))/(LN(2)/25)*Calculateur!V21*Calculateur!X21*VLOOKUP('Données projet'!$B$9,Paramètres!$A$1:$I$89,3,0)*0.475*44/12</f>
        <v>4.9049771252625316</v>
      </c>
      <c r="AB21" s="21">
        <f>EXP(-LN(2)/2)*AB20+(1-EXP(-LN(2)/2))/(LN(2)/2)*V21*Y21*VLOOKUP('Données projet'!$B$9,Paramètres!$A$1:$I$89,3,0)*0.475*44/12</f>
        <v>2.029108882656478</v>
      </c>
      <c r="AC21" s="22">
        <f t="shared" si="3"/>
        <v>9.1931534557200454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0</v>
      </c>
      <c r="AI21" s="13">
        <f>IF('Données projet'!$A$62&gt;35,AI20+AH21-AQ20,IF(A21&lt;'Données projet'!$A$62,$AF$205^A21,IF(A21='Données projet'!$A$62,'Données projet'!$B$62,AI20+AH21-AQ20)))</f>
        <v>0</v>
      </c>
      <c r="AJ21" s="13" t="e">
        <f>AI21*VLOOKUP('Données projet'!$B$10,Paramètres!$A$1:$I$89,3,0)*VLOOKUP('Données projet'!$B$10,Paramètres!$A$1:$I$89,5,0)</f>
        <v>#N/A</v>
      </c>
      <c r="AK21" s="13" t="e">
        <f t="shared" si="35"/>
        <v>#N/A</v>
      </c>
      <c r="AL21" s="20" t="e">
        <f t="shared" si="4"/>
        <v>#N/A</v>
      </c>
      <c r="AM21" s="59" t="e">
        <f t="shared" si="5"/>
        <v>#N/A</v>
      </c>
      <c r="AN21" s="59" t="e">
        <f ca="1">AVERAGE(OFFSET($AM$3,0,0,'Données projet'!$E$10+1,1))-AVERAGE(OFFSET($H$3,0,0,'Données projet'!$E$10+1,1))</f>
        <v>#N/A</v>
      </c>
      <c r="AO21" s="59" t="e">
        <f t="shared" si="36"/>
        <v>#N/A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 t="e">
        <f>EXP(-LN(2)/35)*AU20+(1-EXP(-LN(2)/35))/(LN(2)/35)*AQ21*AR21*VLOOKUP('Données projet'!$B$10,Paramètres!$A$1:$I$89,3,0)*0.475*44/12</f>
        <v>#N/A</v>
      </c>
      <c r="AV21" s="21" t="e">
        <f>EXP(-LN(2)/25)*AV20+(1-EXP(-LN(2)/25))/(LN(2)/25)*Calculateur!AQ21*Calculateur!AS21*VLOOKUP('Données projet'!$B$10,Paramètres!$A$1:$I$89,3,0)*0.475*44/12</f>
        <v>#N/A</v>
      </c>
      <c r="AW21" s="21" t="e">
        <f>EXP(-LN(2)/2)*AW20+(1-EXP(-LN(2)/2))/(LN(2)/2)*AQ21*AT21*VLOOKUP('Données projet'!$B$10,Paramètres!$A$1:$I$89,3,0)*0.475*44/12</f>
        <v>#N/A</v>
      </c>
      <c r="AX21" s="21" t="e">
        <f t="shared" si="6"/>
        <v>#N/A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2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11.362000000000004</v>
      </c>
      <c r="D22" s="11">
        <f t="shared" si="32"/>
        <v>3.9459530431682608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118.16665507007083</v>
      </c>
      <c r="H22" s="67">
        <f t="shared" si="1"/>
        <v>319.99468488351806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>
        <f>VLOOKUP(A22,'Données projet'!$A$35:$I$55,2,0)</f>
        <v>183.77</v>
      </c>
      <c r="L22" s="12">
        <f>VLOOKUP(A22,'Données projet'!$A$35:$I$55,9,0)</f>
        <v>21.968</v>
      </c>
      <c r="M22" s="12">
        <f t="array" ref="M22">INDEX(L:L,MIN(IF(ISNUMBER(L22:L218),ROW(L22:L218),"")))</f>
        <v>21.968</v>
      </c>
      <c r="N22" s="13">
        <f>IF('Données projet'!$A$36&gt;35,N21+M22-V21,IF(A22&lt;'Données projet'!$A$36,$K$205^A22,IF(A22='Données projet'!$A$36,'Données projet'!$B$36,N21+M22-V21)))</f>
        <v>183.76999999999998</v>
      </c>
      <c r="O22" s="13">
        <f>N22*VLOOKUP('Données projet'!$B$9,Paramètres!$A$1:$I$89,3,0)*VLOOKUP('Données projet'!$B$9,Paramètres!$A$1:$I$89,5,0)</f>
        <v>109.89446</v>
      </c>
      <c r="P22" s="13">
        <f t="shared" si="33"/>
        <v>29.30611713635502</v>
      </c>
      <c r="Q22" s="20">
        <f t="shared" si="2"/>
        <v>242.44100517915163</v>
      </c>
      <c r="R22" s="59">
        <f t="shared" si="0"/>
        <v>535.77433851248497</v>
      </c>
      <c r="S22" s="59">
        <f ca="1">AVERAGE(OFFSET($R$3,0,0,'Données projet'!$E$9+1,1))-AVERAGE(OFFSET($H$3,0,0,'Données projet'!$E$9+1,1))</f>
        <v>232.5902129145469</v>
      </c>
      <c r="T22" s="59">
        <f t="shared" si="34"/>
        <v>340.94590122751879</v>
      </c>
      <c r="U22" s="15">
        <f>IF(ISNA(VLOOKUP(A22,'Données projet'!$A$35:$I$55,3,0)),0,VLOOKUP(A22,'Données projet'!$A$35:$I$55,3,0))</f>
        <v>2</v>
      </c>
      <c r="V22" s="15">
        <f>IF(ISNA(VLOOKUP(A22,'Données projet'!$A$35:$I$55,4,0)),0,VLOOKUP(A22,'Données projet'!$A$35:$I$55,4,0))</f>
        <v>59.5</v>
      </c>
      <c r="W22" s="16">
        <f>IF(ISNA(VLOOKUP(A22,'Données projet'!$A$35:$I$55,5,0)),0%,VLOOKUP(A22,'Données projet'!$A$35:$I$55,5,0)*VLOOKUP('Données projet'!$B$9,Paramètres!$A$1:$I$89,7,0))</f>
        <v>0.18000000000000002</v>
      </c>
      <c r="X22" s="16">
        <f>IF(ISNA(VLOOKUP(A22,'Données projet'!$A$35:$I$55,6,0)),0%,VLOOKUP(A22,'Données projet'!$A$35:$I$55,6,0)*VLOOKUP('Données projet'!$B$9,Paramètres!$A$1:$I$89,7,0))</f>
        <v>0.15300000000000002</v>
      </c>
      <c r="Y22" s="16">
        <f>IF(ISNA(VLOOKUP(A22,'Données projet'!$A$35:$I$55,7,0)),0%,VLOOKUP(A22,'Données projet'!$A$35:$I$55,7,0))</f>
        <v>0.26</v>
      </c>
      <c r="Z22" s="21">
        <f>EXP(-LN(2)/35)*Z21+(1-EXP(-LN(2)/35))/(LN(2)/35)*V22*W22*VLOOKUP('Données projet'!$B$9,Paramètres!$A$1:$I$89,3,0)*0.475*44/12</f>
        <v>10.710856693063718</v>
      </c>
      <c r="AA22" s="21">
        <f>EXP(-LN(2)/25)*AA21+(1-EXP(-LN(2)/25))/(LN(2)/25)*Calculateur!V22*Calculateur!X22*VLOOKUP('Données projet'!$B$9,Paramètres!$A$1:$I$89,3,0)*0.475*44/12</f>
        <v>11.964090734882909</v>
      </c>
      <c r="AB22" s="21">
        <f>EXP(-LN(2)/2)*AB21+(1-EXP(-LN(2)/2))/(LN(2)/2)*V22*Y22*VLOOKUP('Données projet'!$B$9,Paramètres!$A$1:$I$89,3,0)*0.475*44/12</f>
        <v>11.909145569047441</v>
      </c>
      <c r="AC22" s="22">
        <f t="shared" si="3"/>
        <v>34.584092996994066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0</v>
      </c>
      <c r="AI22" s="13">
        <f>IF('Données projet'!$A$62&gt;35,AI21+AH22-AQ21,IF(A22&lt;'Données projet'!$A$62,$AF$205^A22,IF(A22='Données projet'!$A$62,'Données projet'!$B$62,AI21+AH22-AQ21)))</f>
        <v>0</v>
      </c>
      <c r="AJ22" s="13" t="e">
        <f>AI22*VLOOKUP('Données projet'!$B$10,Paramètres!$A$1:$I$89,3,0)*VLOOKUP('Données projet'!$B$10,Paramètres!$A$1:$I$89,5,0)</f>
        <v>#N/A</v>
      </c>
      <c r="AK22" s="13" t="e">
        <f t="shared" si="35"/>
        <v>#N/A</v>
      </c>
      <c r="AL22" s="20" t="e">
        <f t="shared" si="4"/>
        <v>#N/A</v>
      </c>
      <c r="AM22" s="59" t="e">
        <f t="shared" si="5"/>
        <v>#N/A</v>
      </c>
      <c r="AN22" s="59" t="e">
        <f ca="1">AVERAGE(OFFSET($AM$3,0,0,'Données projet'!$E$10+1,1))-AVERAGE(OFFSET($H$3,0,0,'Données projet'!$E$10+1,1))</f>
        <v>#N/A</v>
      </c>
      <c r="AO22" s="59" t="e">
        <f t="shared" si="36"/>
        <v>#N/A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 t="e">
        <f>EXP(-LN(2)/35)*AU21+(1-EXP(-LN(2)/35))/(LN(2)/35)*AQ22*AR22*VLOOKUP('Données projet'!$B$10,Paramètres!$A$1:$I$89,3,0)*0.475*44/12</f>
        <v>#N/A</v>
      </c>
      <c r="AV22" s="21" t="e">
        <f>EXP(-LN(2)/25)*AV21+(1-EXP(-LN(2)/25))/(LN(2)/25)*Calculateur!AQ22*Calculateur!AS22*VLOOKUP('Données projet'!$B$10,Paramètres!$A$1:$I$89,3,0)*0.475*44/12</f>
        <v>#N/A</v>
      </c>
      <c r="AW22" s="21" t="e">
        <f>EXP(-LN(2)/2)*AW21+(1-EXP(-LN(2)/2))/(LN(2)/2)*AQ22*AT22*VLOOKUP('Données projet'!$B$10,Paramètres!$A$1:$I$89,3,0)*0.475*44/12</f>
        <v>#N/A</v>
      </c>
      <c r="AX22" s="21" t="e">
        <f t="shared" si="6"/>
        <v>#N/A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2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11.960000000000004</v>
      </c>
      <c r="D23" s="11">
        <f t="shared" si="32"/>
        <v>4.1289092277839252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124.19508877587594</v>
      </c>
      <c r="H23" s="67">
        <f t="shared" si="1"/>
        <v>321.35485023839033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144.97999999999999</v>
      </c>
      <c r="L23" s="12">
        <f>VLOOKUP(A23,'Données projet'!$A$35:$I$55,9,0)</f>
        <v>20.70999999999998</v>
      </c>
      <c r="M23" s="12">
        <f t="array" ref="M23">INDEX(L:L,MIN(IF(ISNUMBER(L23:L219),ROW(L23:L219),"")))</f>
        <v>20.70999999999998</v>
      </c>
      <c r="N23" s="13">
        <f>IF('Données projet'!$A$36&gt;35,N22+M23-V22,IF(A23&lt;'Données projet'!$A$36,$K$205^A23,IF(A23='Données projet'!$A$36,'Données projet'!$B$36,N22+M23-V22)))</f>
        <v>144.97999999999996</v>
      </c>
      <c r="O23" s="13">
        <f>N23*VLOOKUP('Données projet'!$B$9,Paramètres!$A$1:$I$89,3,0)*VLOOKUP('Données projet'!$B$9,Paramètres!$A$1:$I$89,5,0)</f>
        <v>86.698039999999978</v>
      </c>
      <c r="P23" s="13">
        <f t="shared" si="33"/>
        <v>23.767147648612863</v>
      </c>
      <c r="Q23" s="20">
        <f t="shared" si="2"/>
        <v>192.39353515466735</v>
      </c>
      <c r="R23" s="59">
        <f t="shared" si="0"/>
        <v>485.72686848800066</v>
      </c>
      <c r="S23" s="59">
        <f ca="1">AVERAGE(OFFSET($R$3,0,0,'Données projet'!$E$9+1,1))-AVERAGE(OFFSET($H$3,0,0,'Données projet'!$E$9+1,1))</f>
        <v>232.5902129145469</v>
      </c>
      <c r="T23" s="59">
        <f t="shared" si="34"/>
        <v>340.94590122751879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10.500823326290243</v>
      </c>
      <c r="AA23" s="21">
        <f>EXP(-LN(2)/25)*AA22+(1-EXP(-LN(2)/25))/(LN(2)/25)*Calculateur!V23*Calculateur!X23*VLOOKUP('Données projet'!$B$9,Paramètres!$A$1:$I$89,3,0)*0.475*44/12</f>
        <v>11.636932044573348</v>
      </c>
      <c r="AB23" s="21">
        <f>EXP(-LN(2)/2)*AB22+(1-EXP(-LN(2)/2))/(LN(2)/2)*V23*Y23*VLOOKUP('Données projet'!$B$9,Paramètres!$A$1:$I$89,3,0)*0.475*44/12</f>
        <v>8.4210375900111707</v>
      </c>
      <c r="AC23" s="22">
        <f t="shared" si="3"/>
        <v>30.558792960874761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 t="e">
        <f>VLOOKUP(A23,'Données projet'!$A$61:$I$81,2,0)</f>
        <v>#N/A</v>
      </c>
      <c r="AG23" s="12" t="e">
        <f>VLOOKUP(A23,'Données projet'!$A$61:$I$81,9,0)</f>
        <v>#N/A</v>
      </c>
      <c r="AH23" s="12">
        <f t="array" ref="AH23">INDEX(AG:AG,MIN(IF(ISNUMBER(AG23:AG219),ROW(AG23:AG219),"")))</f>
        <v>0</v>
      </c>
      <c r="AI23" s="13">
        <f>IF('Données projet'!$A$62&gt;35,AI22+AH23-AQ22,IF(A23&lt;'Données projet'!$A$62,$AF$205^A23,IF(A23='Données projet'!$A$62,'Données projet'!$B$62,AI22+AH23-AQ22)))</f>
        <v>0</v>
      </c>
      <c r="AJ23" s="13" t="e">
        <f>AI23*VLOOKUP('Données projet'!$B$10,Paramètres!$A$1:$I$89,3,0)*VLOOKUP('Données projet'!$B$10,Paramètres!$A$1:$I$89,5,0)</f>
        <v>#N/A</v>
      </c>
      <c r="AK23" s="13" t="e">
        <f t="shared" si="35"/>
        <v>#N/A</v>
      </c>
      <c r="AL23" s="20" t="e">
        <f t="shared" si="4"/>
        <v>#N/A</v>
      </c>
      <c r="AM23" s="59" t="e">
        <f t="shared" si="5"/>
        <v>#N/A</v>
      </c>
      <c r="AN23" s="59" t="e">
        <f ca="1">AVERAGE(OFFSET($AM$3,0,0,'Données projet'!$E$10+1,1))-AVERAGE(OFFSET($H$3,0,0,'Données projet'!$E$10+1,1))</f>
        <v>#N/A</v>
      </c>
      <c r="AO23" s="59" t="e">
        <f t="shared" si="36"/>
        <v>#N/A</v>
      </c>
      <c r="AP23" s="15">
        <f>IF(ISNA(VLOOKUP(A23,'Données projet'!$A$61:$I$81,3,0)),0,VLOOKUP(A23,'Données projet'!$A$61:$I$81,3,0))</f>
        <v>0</v>
      </c>
      <c r="AQ23" s="15">
        <f>IF(ISNA(VLOOKUP(A23,'Données projet'!$A$61:$I$81,4,0)),0,VLOOKUP(A23,'Données projet'!$A$61:$I$81,4,0))</f>
        <v>0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</v>
      </c>
      <c r="AT23" s="16">
        <f>IF(ISNA(VLOOKUP(A23,'Données projet'!$A$61:$I$81,7,0)),0%,VLOOKUP(A23,'Données projet'!$A$61:$I$81,7,0))</f>
        <v>0</v>
      </c>
      <c r="AU23" s="21" t="e">
        <f>EXP(-LN(2)/35)*AU22+(1-EXP(-LN(2)/35))/(LN(2)/35)*AQ23*AR23*VLOOKUP('Données projet'!$B$10,Paramètres!$A$1:$I$89,3,0)*0.475*44/12</f>
        <v>#N/A</v>
      </c>
      <c r="AV23" s="21" t="e">
        <f>EXP(-LN(2)/25)*AV22+(1-EXP(-LN(2)/25))/(LN(2)/25)*Calculateur!AQ23*Calculateur!AS23*VLOOKUP('Données projet'!$B$10,Paramètres!$A$1:$I$89,3,0)*0.475*44/12</f>
        <v>#N/A</v>
      </c>
      <c r="AW23" s="21" t="e">
        <f>EXP(-LN(2)/2)*AW22+(1-EXP(-LN(2)/2))/(LN(2)/2)*AQ23*AT23*VLOOKUP('Données projet'!$B$10,Paramètres!$A$1:$I$89,3,0)*0.475*44/12</f>
        <v>#N/A</v>
      </c>
      <c r="AX23" s="21" t="e">
        <f t="shared" si="6"/>
        <v>#N/A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2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12.558000000000005</v>
      </c>
      <c r="D24" s="11">
        <f t="shared" si="32"/>
        <v>4.3108032327306534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130.21532320002615</v>
      </c>
      <c r="H24" s="67">
        <f t="shared" si="1"/>
        <v>322.71316563033923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21.542000000000002</v>
      </c>
      <c r="N24" s="13">
        <f>IF('Données projet'!$A$36&gt;35,N23+M24-V23,IF(A24&lt;'Données projet'!$A$36,$K$205^A24,IF(A24='Données projet'!$A$36,'Données projet'!$B$36,N23+M24-V23)))</f>
        <v>166.52199999999996</v>
      </c>
      <c r="O24" s="13">
        <f>N24*VLOOKUP('Données projet'!$B$9,Paramètres!$A$1:$I$89,3,0)*VLOOKUP('Données projet'!$B$9,Paramètres!$A$1:$I$89,5,0)</f>
        <v>99.580155999999988</v>
      </c>
      <c r="P24" s="13">
        <f t="shared" si="33"/>
        <v>26.861951026280966</v>
      </c>
      <c r="Q24" s="20">
        <f t="shared" si="2"/>
        <v>220.22000307077266</v>
      </c>
      <c r="R24" s="59">
        <f t="shared" si="0"/>
        <v>513.55333640410595</v>
      </c>
      <c r="S24" s="59">
        <f ca="1">AVERAGE(OFFSET($R$3,0,0,'Données projet'!$E$9+1,1))-AVERAGE(OFFSET($H$3,0,0,'Données projet'!$E$9+1,1))</f>
        <v>232.5902129145469</v>
      </c>
      <c r="T24" s="59">
        <f t="shared" si="34"/>
        <v>340.94590122751879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10.294908585731493</v>
      </c>
      <c r="AA24" s="21">
        <f>EXP(-LN(2)/25)*AA23+(1-EXP(-LN(2)/25))/(LN(2)/25)*Calculateur!V24*Calculateur!X24*VLOOKUP('Données projet'!$B$9,Paramètres!$A$1:$I$89,3,0)*0.475*44/12</f>
        <v>11.31871952585483</v>
      </c>
      <c r="AB24" s="21">
        <f>EXP(-LN(2)/2)*AB23+(1-EXP(-LN(2)/2))/(LN(2)/2)*V24*Y24*VLOOKUP('Données projet'!$B$9,Paramètres!$A$1:$I$89,3,0)*0.475*44/12</f>
        <v>5.9545727845237204</v>
      </c>
      <c r="AC24" s="22">
        <f t="shared" si="3"/>
        <v>27.568200896110042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0</v>
      </c>
      <c r="AI24" s="13">
        <f>IF('Données projet'!$A$62&gt;35,AI23+AH24-AQ23,IF(A24&lt;'Données projet'!$A$62,$AF$205^A24,IF(A24='Données projet'!$A$62,'Données projet'!$B$62,AI23+AH24-AQ23)))</f>
        <v>0</v>
      </c>
      <c r="AJ24" s="13" t="e">
        <f>AI24*VLOOKUP('Données projet'!$B$10,Paramètres!$A$1:$I$89,3,0)*VLOOKUP('Données projet'!$B$10,Paramètres!$A$1:$I$89,5,0)</f>
        <v>#N/A</v>
      </c>
      <c r="AK24" s="13" t="e">
        <f t="shared" si="35"/>
        <v>#N/A</v>
      </c>
      <c r="AL24" s="20" t="e">
        <f t="shared" si="4"/>
        <v>#N/A</v>
      </c>
      <c r="AM24" s="59" t="e">
        <f t="shared" si="5"/>
        <v>#N/A</v>
      </c>
      <c r="AN24" s="59" t="e">
        <f ca="1">AVERAGE(OFFSET($AM$3,0,0,'Données projet'!$E$10+1,1))-AVERAGE(OFFSET($H$3,0,0,'Données projet'!$E$10+1,1))</f>
        <v>#N/A</v>
      </c>
      <c r="AO24" s="59" t="e">
        <f t="shared" si="36"/>
        <v>#N/A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 t="e">
        <f>EXP(-LN(2)/35)*AU23+(1-EXP(-LN(2)/35))/(LN(2)/35)*AQ24*AR24*VLOOKUP('Données projet'!$B$10,Paramètres!$A$1:$I$89,3,0)*0.475*44/12</f>
        <v>#N/A</v>
      </c>
      <c r="AV24" s="21" t="e">
        <f>EXP(-LN(2)/25)*AV23+(1-EXP(-LN(2)/25))/(LN(2)/25)*Calculateur!AQ24*Calculateur!AS24*VLOOKUP('Données projet'!$B$10,Paramètres!$A$1:$I$89,3,0)*0.475*44/12</f>
        <v>#N/A</v>
      </c>
      <c r="AW24" s="21" t="e">
        <f>EXP(-LN(2)/2)*AW23+(1-EXP(-LN(2)/2))/(LN(2)/2)*AQ24*AT24*VLOOKUP('Données projet'!$B$10,Paramètres!$A$1:$I$89,3,0)*0.475*44/12</f>
        <v>#N/A</v>
      </c>
      <c r="AX24" s="21" t="e">
        <f t="shared" si="6"/>
        <v>#N/A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2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13.156000000000006</v>
      </c>
      <c r="D25" s="11">
        <f t="shared" si="32"/>
        <v>4.4916914128654328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136.22779336247004</v>
      </c>
      <c r="H25" s="67">
        <f t="shared" si="1"/>
        <v>324.0697292107406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21.542000000000002</v>
      </c>
      <c r="N25" s="13">
        <f>IF('Données projet'!$A$36&gt;35,N24+M25-V24,IF(A25&lt;'Données projet'!$A$36,$K$205^A25,IF(A25='Données projet'!$A$36,'Données projet'!$B$36,N24+M25-V24)))</f>
        <v>188.06399999999996</v>
      </c>
      <c r="O25" s="13">
        <f>N25*VLOOKUP('Données projet'!$B$9,Paramètres!$A$1:$I$89,3,0)*VLOOKUP('Données projet'!$B$9,Paramètres!$A$1:$I$89,5,0)</f>
        <v>112.46227199999998</v>
      </c>
      <c r="P25" s="13">
        <f t="shared" si="33"/>
        <v>29.910365508668491</v>
      </c>
      <c r="Q25" s="20">
        <f t="shared" si="2"/>
        <v>247.96567699426421</v>
      </c>
      <c r="R25" s="59">
        <f t="shared" si="0"/>
        <v>541.29901032759756</v>
      </c>
      <c r="S25" s="59">
        <f ca="1">AVERAGE(OFFSET($R$3,0,0,'Données projet'!$E$9+1,1))-AVERAGE(OFFSET($H$3,0,0,'Données projet'!$E$9+1,1))</f>
        <v>232.5902129145469</v>
      </c>
      <c r="T25" s="59">
        <f t="shared" si="34"/>
        <v>340.94590122751879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10.09303170763951</v>
      </c>
      <c r="AA25" s="21">
        <f>EXP(-LN(2)/25)*AA24+(1-EXP(-LN(2)/25))/(LN(2)/25)*Calculateur!V25*Calculateur!X25*VLOOKUP('Données projet'!$B$9,Paramètres!$A$1:$I$89,3,0)*0.475*44/12</f>
        <v>11.009208545194738</v>
      </c>
      <c r="AB25" s="21">
        <f>EXP(-LN(2)/2)*AB24+(1-EXP(-LN(2)/2))/(LN(2)/2)*V25*Y25*VLOOKUP('Données projet'!$B$9,Paramètres!$A$1:$I$89,3,0)*0.475*44/12</f>
        <v>4.2105187950055853</v>
      </c>
      <c r="AC25" s="22">
        <f t="shared" si="3"/>
        <v>25.312759047839833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0</v>
      </c>
      <c r="AI25" s="13">
        <f>IF('Données projet'!$A$62&gt;35,AI24+AH25-AQ24,IF(A25&lt;'Données projet'!$A$62,$AF$205^A25,IF(A25='Données projet'!$A$62,'Données projet'!$B$62,AI24+AH25-AQ24)))</f>
        <v>0</v>
      </c>
      <c r="AJ25" s="13" t="e">
        <f>AI25*VLOOKUP('Données projet'!$B$10,Paramètres!$A$1:$I$89,3,0)*VLOOKUP('Données projet'!$B$10,Paramètres!$A$1:$I$89,5,0)</f>
        <v>#N/A</v>
      </c>
      <c r="AK25" s="13" t="e">
        <f t="shared" si="35"/>
        <v>#N/A</v>
      </c>
      <c r="AL25" s="20" t="e">
        <f t="shared" si="4"/>
        <v>#N/A</v>
      </c>
      <c r="AM25" s="59" t="e">
        <f t="shared" si="5"/>
        <v>#N/A</v>
      </c>
      <c r="AN25" s="59" t="e">
        <f ca="1">AVERAGE(OFFSET($AM$3,0,0,'Données projet'!$E$10+1,1))-AVERAGE(OFFSET($H$3,0,0,'Données projet'!$E$10+1,1))</f>
        <v>#N/A</v>
      </c>
      <c r="AO25" s="59" t="e">
        <f t="shared" si="36"/>
        <v>#N/A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 t="e">
        <f>EXP(-LN(2)/35)*AU24+(1-EXP(-LN(2)/35))/(LN(2)/35)*AQ25*AR25*VLOOKUP('Données projet'!$B$10,Paramètres!$A$1:$I$89,3,0)*0.475*44/12</f>
        <v>#N/A</v>
      </c>
      <c r="AV25" s="21" t="e">
        <f>EXP(-LN(2)/25)*AV24+(1-EXP(-LN(2)/25))/(LN(2)/25)*Calculateur!AQ25*Calculateur!AS25*VLOOKUP('Données projet'!$B$10,Paramètres!$A$1:$I$89,3,0)*0.475*44/12</f>
        <v>#N/A</v>
      </c>
      <c r="AW25" s="21" t="e">
        <f>EXP(-LN(2)/2)*AW24+(1-EXP(-LN(2)/2))/(LN(2)/2)*AQ25*AT25*VLOOKUP('Données projet'!$B$10,Paramètres!$A$1:$I$89,3,0)*0.475*44/12</f>
        <v>#N/A</v>
      </c>
      <c r="AX25" s="21" t="e">
        <f t="shared" si="6"/>
        <v>#N/A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2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13.754000000000007</v>
      </c>
      <c r="D26" s="11">
        <f t="shared" si="32"/>
        <v>4.6716247102827966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142.23289250042868</v>
      </c>
      <c r="H26" s="67">
        <f t="shared" si="1"/>
        <v>325.42462970374254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21.542000000000002</v>
      </c>
      <c r="N26" s="13">
        <f>IF('Données projet'!$A$36&gt;35,N25+M26-V25,IF(A26&lt;'Données projet'!$A$36,$K$205^A26,IF(A26='Données projet'!$A$36,'Données projet'!$B$36,N25+M26-V25)))</f>
        <v>209.60599999999997</v>
      </c>
      <c r="O26" s="13">
        <f>N26*VLOOKUP('Données projet'!$B$9,Paramètres!$A$1:$I$89,3,0)*VLOOKUP('Données projet'!$B$9,Paramètres!$A$1:$I$89,5,0)</f>
        <v>125.344388</v>
      </c>
      <c r="P26" s="13">
        <f t="shared" si="33"/>
        <v>32.91831141146298</v>
      </c>
      <c r="Q26" s="20">
        <f t="shared" si="2"/>
        <v>275.6408681416313</v>
      </c>
      <c r="R26" s="59">
        <f t="shared" si="0"/>
        <v>568.97420147496462</v>
      </c>
      <c r="S26" s="59">
        <f ca="1">AVERAGE(OFFSET($R$3,0,0,'Données projet'!$E$9+1,1))-AVERAGE(OFFSET($H$3,0,0,'Données projet'!$E$9+1,1))</f>
        <v>232.5902129145469</v>
      </c>
      <c r="T26" s="59">
        <f t="shared" si="34"/>
        <v>340.94590122751879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9.8951135119941718</v>
      </c>
      <c r="AA26" s="21">
        <f>EXP(-LN(2)/25)*AA25+(1-EXP(-LN(2)/25))/(LN(2)/25)*Calculateur!V26*Calculateur!X26*VLOOKUP('Données projet'!$B$9,Paramètres!$A$1:$I$89,3,0)*0.475*44/12</f>
        <v>10.708161158577273</v>
      </c>
      <c r="AB26" s="21">
        <f>EXP(-LN(2)/2)*AB25+(1-EXP(-LN(2)/2))/(LN(2)/2)*V26*Y26*VLOOKUP('Données projet'!$B$9,Paramètres!$A$1:$I$89,3,0)*0.475*44/12</f>
        <v>2.9772863922618602</v>
      </c>
      <c r="AC26" s="22">
        <f t="shared" si="3"/>
        <v>23.580561062833304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0</v>
      </c>
      <c r="AI26" s="13">
        <f>IF('Données projet'!$A$62&gt;35,AI25+AH26-AQ25,IF(A26&lt;'Données projet'!$A$62,$AF$205^A26,IF(A26='Données projet'!$A$62,'Données projet'!$B$62,AI25+AH26-AQ25)))</f>
        <v>0</v>
      </c>
      <c r="AJ26" s="13" t="e">
        <f>AI26*VLOOKUP('Données projet'!$B$10,Paramètres!$A$1:$I$89,3,0)*VLOOKUP('Données projet'!$B$10,Paramètres!$A$1:$I$89,5,0)</f>
        <v>#N/A</v>
      </c>
      <c r="AK26" s="13" t="e">
        <f t="shared" si="35"/>
        <v>#N/A</v>
      </c>
      <c r="AL26" s="20" t="e">
        <f t="shared" si="4"/>
        <v>#N/A</v>
      </c>
      <c r="AM26" s="59" t="e">
        <f t="shared" si="5"/>
        <v>#N/A</v>
      </c>
      <c r="AN26" s="59" t="e">
        <f ca="1">AVERAGE(OFFSET($AM$3,0,0,'Données projet'!$E$10+1,1))-AVERAGE(OFFSET($H$3,0,0,'Données projet'!$E$10+1,1))</f>
        <v>#N/A</v>
      </c>
      <c r="AO26" s="59" t="e">
        <f t="shared" si="36"/>
        <v>#N/A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 t="e">
        <f>EXP(-LN(2)/35)*AU25+(1-EXP(-LN(2)/35))/(LN(2)/35)*AQ26*AR26*VLOOKUP('Données projet'!$B$10,Paramètres!$A$1:$I$89,3,0)*0.475*44/12</f>
        <v>#N/A</v>
      </c>
      <c r="AV26" s="21" t="e">
        <f>EXP(-LN(2)/25)*AV25+(1-EXP(-LN(2)/25))/(LN(2)/25)*Calculateur!AQ26*Calculateur!AS26*VLOOKUP('Données projet'!$B$10,Paramètres!$A$1:$I$89,3,0)*0.475*44/12</f>
        <v>#N/A</v>
      </c>
      <c r="AW26" s="21" t="e">
        <f>EXP(-LN(2)/2)*AW25+(1-EXP(-LN(2)/2))/(LN(2)/2)*AQ26*AT26*VLOOKUP('Données projet'!$B$10,Paramètres!$A$1:$I$89,3,0)*0.475*44/12</f>
        <v>#N/A</v>
      </c>
      <c r="AX26" s="21" t="e">
        <f t="shared" si="6"/>
        <v>#N/A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2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14.352000000000007</v>
      </c>
      <c r="D27" s="11">
        <f t="shared" si="32"/>
        <v>4.8506493868275271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148.23097772287923</v>
      </c>
      <c r="H27" s="67">
        <f t="shared" si="1"/>
        <v>326.77794768205791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21.542000000000002</v>
      </c>
      <c r="N27" s="13">
        <f>IF('Données projet'!$A$36&gt;35,N26+M27-V26,IF(A27&lt;'Données projet'!$A$36,$K$205^A27,IF(A27='Données projet'!$A$36,'Données projet'!$B$36,N26+M27-V26)))</f>
        <v>231.14799999999997</v>
      </c>
      <c r="O27" s="13">
        <f>N27*VLOOKUP('Données projet'!$B$9,Paramètres!$A$1:$I$89,3,0)*VLOOKUP('Données projet'!$B$9,Paramètres!$A$1:$I$89,5,0)</f>
        <v>138.22650399999998</v>
      </c>
      <c r="P27" s="13">
        <f t="shared" si="33"/>
        <v>35.890421504729531</v>
      </c>
      <c r="Q27" s="20">
        <f t="shared" si="2"/>
        <v>303.25364525407053</v>
      </c>
      <c r="R27" s="59">
        <f t="shared" si="0"/>
        <v>596.58697858740379</v>
      </c>
      <c r="S27" s="59">
        <f ca="1">AVERAGE(OFFSET($R$3,0,0,'Données projet'!$E$9+1,1))-AVERAGE(OFFSET($H$3,0,0,'Données projet'!$E$9+1,1))</f>
        <v>232.5902129145469</v>
      </c>
      <c r="T27" s="59">
        <f t="shared" si="34"/>
        <v>340.94590122751879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9.7010763714472592</v>
      </c>
      <c r="AA27" s="21">
        <f>EXP(-LN(2)/25)*AA26+(1-EXP(-LN(2)/25))/(LN(2)/25)*Calculateur!V27*Calculateur!X27*VLOOKUP('Données projet'!$B$9,Paramètres!$A$1:$I$89,3,0)*0.475*44/12</f>
        <v>10.415345928578256</v>
      </c>
      <c r="AB27" s="21">
        <f>EXP(-LN(2)/2)*AB26+(1-EXP(-LN(2)/2))/(LN(2)/2)*V27*Y27*VLOOKUP('Données projet'!$B$9,Paramètres!$A$1:$I$89,3,0)*0.475*44/12</f>
        <v>2.1052593975027927</v>
      </c>
      <c r="AC27" s="22">
        <f t="shared" si="3"/>
        <v>22.221681697528307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0</v>
      </c>
      <c r="AI27" s="13">
        <f>IF('Données projet'!$A$62&gt;35,AI26+AH27-AQ26,IF(A27&lt;'Données projet'!$A$62,$AF$205^A27,IF(A27='Données projet'!$A$62,'Données projet'!$B$62,AI26+AH27-AQ26)))</f>
        <v>0</v>
      </c>
      <c r="AJ27" s="13" t="e">
        <f>AI27*VLOOKUP('Données projet'!$B$10,Paramètres!$A$1:$I$89,3,0)*VLOOKUP('Données projet'!$B$10,Paramètres!$A$1:$I$89,5,0)</f>
        <v>#N/A</v>
      </c>
      <c r="AK27" s="13" t="e">
        <f t="shared" si="35"/>
        <v>#N/A</v>
      </c>
      <c r="AL27" s="20" t="e">
        <f t="shared" si="4"/>
        <v>#N/A</v>
      </c>
      <c r="AM27" s="59" t="e">
        <f t="shared" si="5"/>
        <v>#N/A</v>
      </c>
      <c r="AN27" s="59" t="e">
        <f ca="1">AVERAGE(OFFSET($AM$3,0,0,'Données projet'!$E$10+1,1))-AVERAGE(OFFSET($H$3,0,0,'Données projet'!$E$10+1,1))</f>
        <v>#N/A</v>
      </c>
      <c r="AO27" s="59" t="e">
        <f t="shared" si="36"/>
        <v>#N/A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 t="e">
        <f>EXP(-LN(2)/35)*AU26+(1-EXP(-LN(2)/35))/(LN(2)/35)*AQ27*AR27*VLOOKUP('Données projet'!$B$10,Paramètres!$A$1:$I$89,3,0)*0.475*44/12</f>
        <v>#N/A</v>
      </c>
      <c r="AV27" s="21" t="e">
        <f>EXP(-LN(2)/25)*AV26+(1-EXP(-LN(2)/25))/(LN(2)/25)*Calculateur!AQ27*Calculateur!AS27*VLOOKUP('Données projet'!$B$10,Paramètres!$A$1:$I$89,3,0)*0.475*44/12</f>
        <v>#N/A</v>
      </c>
      <c r="AW27" s="21" t="e">
        <f>EXP(-LN(2)/2)*AW26+(1-EXP(-LN(2)/2))/(LN(2)/2)*AQ27*AT27*VLOOKUP('Données projet'!$B$10,Paramètres!$A$1:$I$89,3,0)*0.475*44/12</f>
        <v>#N/A</v>
      </c>
      <c r="AX27" s="21" t="e">
        <f t="shared" si="6"/>
        <v>#N/A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2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14.950000000000008</v>
      </c>
      <c r="D28" s="11">
        <f t="shared" si="32"/>
        <v>5.02880763108175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154.22237469606969</v>
      </c>
      <c r="H28" s="67">
        <f t="shared" si="1"/>
        <v>328.12975662413402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>
        <f>VLOOKUP(A28,'Données projet'!$A$35:$I$55,2,0)</f>
        <v>252.69</v>
      </c>
      <c r="L28" s="12">
        <f>VLOOKUP(A28,'Données projet'!$A$35:$I$55,9,0)</f>
        <v>21.542000000000002</v>
      </c>
      <c r="M28" s="12">
        <f t="array" ref="M28">INDEX(L:L,MIN(IF(ISNUMBER(L28:L224),ROW(L28:L224),"")))</f>
        <v>21.542000000000002</v>
      </c>
      <c r="N28" s="13">
        <f>IF('Données projet'!$A$36&gt;35,N27+M28-V27,IF(A28&lt;'Données projet'!$A$36,$K$205^A28,IF(A28='Données projet'!$A$36,'Données projet'!$B$36,N27+M28-V27)))</f>
        <v>252.68999999999997</v>
      </c>
      <c r="O28" s="13">
        <f>N28*VLOOKUP('Données projet'!$B$9,Paramètres!$A$1:$I$89,3,0)*VLOOKUP('Données projet'!$B$9,Paramètres!$A$1:$I$89,5,0)</f>
        <v>151.10862</v>
      </c>
      <c r="P28" s="13">
        <f t="shared" si="33"/>
        <v>38.830415421175942</v>
      </c>
      <c r="Q28" s="20">
        <f t="shared" si="2"/>
        <v>330.81048669188147</v>
      </c>
      <c r="R28" s="59">
        <f t="shared" si="0"/>
        <v>624.14382002521484</v>
      </c>
      <c r="S28" s="59">
        <f ca="1">AVERAGE(OFFSET($R$3,0,0,'Données projet'!$E$9+1,1))-AVERAGE(OFFSET($H$3,0,0,'Données projet'!$E$9+1,1))</f>
        <v>232.5902129145469</v>
      </c>
      <c r="T28" s="59">
        <f t="shared" si="34"/>
        <v>340.94590122751879</v>
      </c>
      <c r="U28" s="15">
        <f>IF(ISNA(VLOOKUP(A28,'Données projet'!$A$35:$I$55,3,0)),0,VLOOKUP(A28,'Données projet'!$A$35:$I$55,3,0))</f>
        <v>3</v>
      </c>
      <c r="V28" s="15">
        <f>IF(ISNA(VLOOKUP(A28,'Données projet'!$A$35:$I$55,4,0)),0,VLOOKUP(A28,'Données projet'!$A$35:$I$55,4,0))</f>
        <v>60.96</v>
      </c>
      <c r="W28" s="16">
        <f>IF(ISNA(VLOOKUP(A28,'Données projet'!$A$35:$I$55,5,0)),0%,VLOOKUP(A28,'Données projet'!$A$35:$I$55,5,0)*VLOOKUP('Données projet'!$B$9,Paramètres!$A$1:$I$89,7,0))</f>
        <v>0.27</v>
      </c>
      <c r="X28" s="16">
        <f>IF(ISNA(VLOOKUP(A28,'Données projet'!$A$35:$I$55,6,0)),0%,VLOOKUP(A28,'Données projet'!$A$35:$I$55,6,0)*VLOOKUP('Données projet'!$B$9,Paramètres!$A$1:$I$89,7,0))</f>
        <v>9.9000000000000005E-2</v>
      </c>
      <c r="Y28" s="16">
        <f>IF(ISNA(VLOOKUP(A28,'Données projet'!$A$35:$I$55,7,0)),0%,VLOOKUP(A28,'Données projet'!$A$35:$I$55,7,0))</f>
        <v>0.18</v>
      </c>
      <c r="Z28" s="21">
        <f>EXP(-LN(2)/35)*Z27+(1-EXP(-LN(2)/35))/(LN(2)/35)*V28*W28*VLOOKUP('Données projet'!$B$9,Paramètres!$A$1:$I$89,3,0)*0.475*44/12</f>
        <v>22.567689612487854</v>
      </c>
      <c r="AA28" s="21">
        <f>EXP(-LN(2)/25)*AA27+(1-EXP(-LN(2)/25))/(LN(2)/25)*Calculateur!V28*Calculateur!X28*VLOOKUP('Données projet'!$B$9,Paramètres!$A$1:$I$89,3,0)*0.475*44/12</f>
        <v>14.899197487012026</v>
      </c>
      <c r="AB28" s="21">
        <f>EXP(-LN(2)/2)*AB27+(1-EXP(-LN(2)/2))/(LN(2)/2)*V28*Y28*VLOOKUP('Données projet'!$B$9,Paramètres!$A$1:$I$89,3,0)*0.475*44/12</f>
        <v>8.9180508116013755</v>
      </c>
      <c r="AC28" s="22">
        <f t="shared" si="3"/>
        <v>46.384937911101254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0</v>
      </c>
      <c r="AI28" s="13">
        <f>IF('Données projet'!$A$62&gt;35,AI27+AH28-AQ27,IF(A28&lt;'Données projet'!$A$62,$AF$205^A28,IF(A28='Données projet'!$A$62,'Données projet'!$B$62,AI27+AH28-AQ27)))</f>
        <v>0</v>
      </c>
      <c r="AJ28" s="13" t="e">
        <f>AI28*VLOOKUP('Données projet'!$B$10,Paramètres!$A$1:$I$89,3,0)*VLOOKUP('Données projet'!$B$10,Paramètres!$A$1:$I$89,5,0)</f>
        <v>#N/A</v>
      </c>
      <c r="AK28" s="13" t="e">
        <f t="shared" si="35"/>
        <v>#N/A</v>
      </c>
      <c r="AL28" s="20" t="e">
        <f t="shared" si="4"/>
        <v>#N/A</v>
      </c>
      <c r="AM28" s="59" t="e">
        <f t="shared" si="5"/>
        <v>#N/A</v>
      </c>
      <c r="AN28" s="59" t="e">
        <f ca="1">AVERAGE(OFFSET($AM$3,0,0,'Données projet'!$E$10+1,1))-AVERAGE(OFFSET($H$3,0,0,'Données projet'!$E$10+1,1))</f>
        <v>#N/A</v>
      </c>
      <c r="AO28" s="59" t="e">
        <f t="shared" si="36"/>
        <v>#N/A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 t="e">
        <f>EXP(-LN(2)/35)*AU27+(1-EXP(-LN(2)/35))/(LN(2)/35)*AQ28*AR28*VLOOKUP('Données projet'!$B$10,Paramètres!$A$1:$I$89,3,0)*0.475*44/12</f>
        <v>#N/A</v>
      </c>
      <c r="AV28" s="21" t="e">
        <f>EXP(-LN(2)/25)*AV27+(1-EXP(-LN(2)/25))/(LN(2)/25)*Calculateur!AQ28*Calculateur!AS28*VLOOKUP('Données projet'!$B$10,Paramètres!$A$1:$I$89,3,0)*0.475*44/12</f>
        <v>#N/A</v>
      </c>
      <c r="AW28" s="21" t="e">
        <f>EXP(-LN(2)/2)*AW27+(1-EXP(-LN(2)/2))/(LN(2)/2)*AQ28*AT28*VLOOKUP('Données projet'!$B$10,Paramètres!$A$1:$I$89,3,0)*0.475*44/12</f>
        <v>#N/A</v>
      </c>
      <c r="AX28" s="21" t="e">
        <f t="shared" si="6"/>
        <v>#N/A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2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15.548000000000009</v>
      </c>
      <c r="D29" s="11">
        <f t="shared" si="32"/>
        <v>5.2061380655003466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160.20738155824839</v>
      </c>
      <c r="H29" s="67">
        <f t="shared" si="1"/>
        <v>329.48012379741311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20.042499999999997</v>
      </c>
      <c r="N29" s="13">
        <f>IF('Données projet'!$A$36&gt;35,N28+M29-V28,IF(A29&lt;'Données projet'!$A$36,$K$205^A29,IF(A29='Données projet'!$A$36,'Données projet'!$B$36,N28+M29-V28)))</f>
        <v>211.77249999999995</v>
      </c>
      <c r="O29" s="13">
        <f>N29*VLOOKUP('Données projet'!$B$9,Paramètres!$A$1:$I$89,3,0)*VLOOKUP('Données projet'!$B$9,Paramètres!$A$1:$I$89,5,0)</f>
        <v>126.63995499999997</v>
      </c>
      <c r="P29" s="13">
        <f t="shared" si="33"/>
        <v>33.21877227255429</v>
      </c>
      <c r="Q29" s="20">
        <f t="shared" si="2"/>
        <v>278.42061666636533</v>
      </c>
      <c r="R29" s="59">
        <f t="shared" si="0"/>
        <v>571.75394999969865</v>
      </c>
      <c r="S29" s="59">
        <f ca="1">AVERAGE(OFFSET($R$3,0,0,'Données projet'!$E$9+1,1))-AVERAGE(OFFSET($H$3,0,0,'Données projet'!$E$9+1,1))</f>
        <v>232.5902129145469</v>
      </c>
      <c r="T29" s="59">
        <f t="shared" si="34"/>
        <v>340.94590122751879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22.125150984118456</v>
      </c>
      <c r="AA29" s="21">
        <f>EXP(-LN(2)/25)*AA28+(1-EXP(-LN(2)/25))/(LN(2)/25)*Calculateur!V29*Calculateur!X29*VLOOKUP('Données projet'!$B$9,Paramètres!$A$1:$I$89,3,0)*0.475*44/12</f>
        <v>14.491778148214939</v>
      </c>
      <c r="AB29" s="21">
        <f>EXP(-LN(2)/2)*AB28+(1-EXP(-LN(2)/2))/(LN(2)/2)*V29*Y29*VLOOKUP('Données projet'!$B$9,Paramètres!$A$1:$I$89,3,0)*0.475*44/12</f>
        <v>6.3060142038495268</v>
      </c>
      <c r="AC29" s="22">
        <f t="shared" si="3"/>
        <v>42.922943336182925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0</v>
      </c>
      <c r="AI29" s="13">
        <f>IF('Données projet'!$A$62&gt;35,AI28+AH29-AQ28,IF(A29&lt;'Données projet'!$A$62,$AF$205^A29,IF(A29='Données projet'!$A$62,'Données projet'!$B$62,AI28+AH29-AQ28)))</f>
        <v>0</v>
      </c>
      <c r="AJ29" s="13" t="e">
        <f>AI29*VLOOKUP('Données projet'!$B$10,Paramètres!$A$1:$I$89,3,0)*VLOOKUP('Données projet'!$B$10,Paramètres!$A$1:$I$89,5,0)</f>
        <v>#N/A</v>
      </c>
      <c r="AK29" s="13" t="e">
        <f t="shared" si="35"/>
        <v>#N/A</v>
      </c>
      <c r="AL29" s="20" t="e">
        <f t="shared" si="4"/>
        <v>#N/A</v>
      </c>
      <c r="AM29" s="59" t="e">
        <f t="shared" si="5"/>
        <v>#N/A</v>
      </c>
      <c r="AN29" s="59" t="e">
        <f ca="1">AVERAGE(OFFSET($AM$3,0,0,'Données projet'!$E$10+1,1))-AVERAGE(OFFSET($H$3,0,0,'Données projet'!$E$10+1,1))</f>
        <v>#N/A</v>
      </c>
      <c r="AO29" s="59" t="e">
        <f t="shared" si="36"/>
        <v>#N/A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 t="e">
        <f>EXP(-LN(2)/35)*AU28+(1-EXP(-LN(2)/35))/(LN(2)/35)*AQ29*AR29*VLOOKUP('Données projet'!$B$10,Paramètres!$A$1:$I$89,3,0)*0.475*44/12</f>
        <v>#N/A</v>
      </c>
      <c r="AV29" s="21" t="e">
        <f>EXP(-LN(2)/25)*AV28+(1-EXP(-LN(2)/25))/(LN(2)/25)*Calculateur!AQ29*Calculateur!AS29*VLOOKUP('Données projet'!$B$10,Paramètres!$A$1:$I$89,3,0)*0.475*44/12</f>
        <v>#N/A</v>
      </c>
      <c r="AW29" s="21" t="e">
        <f>EXP(-LN(2)/2)*AW28+(1-EXP(-LN(2)/2))/(LN(2)/2)*AQ29*AT29*VLOOKUP('Données projet'!$B$10,Paramètres!$A$1:$I$89,3,0)*0.475*44/12</f>
        <v>#N/A</v>
      </c>
      <c r="AX29" s="21" t="e">
        <f t="shared" si="6"/>
        <v>#N/A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2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16.146000000000008</v>
      </c>
      <c r="D30" s="11">
        <f t="shared" si="32"/>
        <v>5.3826761733310189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166.1862722151869</v>
      </c>
      <c r="H30" s="67">
        <f t="shared" si="1"/>
        <v>330.82911100188483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20.042499999999997</v>
      </c>
      <c r="N30" s="13">
        <f>IF('Données projet'!$A$36&gt;35,N29+M30-V29,IF(A30&lt;'Données projet'!$A$36,$K$205^A30,IF(A30='Données projet'!$A$36,'Données projet'!$B$36,N29+M30-V29)))</f>
        <v>231.81499999999994</v>
      </c>
      <c r="O30" s="13">
        <f>N30*VLOOKUP('Données projet'!$B$9,Paramètres!$A$1:$I$89,3,0)*VLOOKUP('Données projet'!$B$9,Paramètres!$A$1:$I$89,5,0)</f>
        <v>138.62536999999998</v>
      </c>
      <c r="P30" s="13">
        <f t="shared" si="33"/>
        <v>35.981916448750567</v>
      </c>
      <c r="Q30" s="20">
        <f t="shared" si="2"/>
        <v>304.10769056490716</v>
      </c>
      <c r="R30" s="59">
        <f t="shared" si="0"/>
        <v>597.44102389824047</v>
      </c>
      <c r="S30" s="59">
        <f ca="1">AVERAGE(OFFSET($R$3,0,0,'Données projet'!$E$9+1,1))-AVERAGE(OFFSET($H$3,0,0,'Données projet'!$E$9+1,1))</f>
        <v>232.5902129145469</v>
      </c>
      <c r="T30" s="59">
        <f t="shared" si="34"/>
        <v>340.94590122751879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21.691290268329471</v>
      </c>
      <c r="AA30" s="21">
        <f>EXP(-LN(2)/25)*AA29+(1-EXP(-LN(2)/25))/(LN(2)/25)*Calculateur!V30*Calculateur!X30*VLOOKUP('Données projet'!$B$9,Paramètres!$A$1:$I$89,3,0)*0.475*44/12</f>
        <v>14.095499712662511</v>
      </c>
      <c r="AB30" s="21">
        <f>EXP(-LN(2)/2)*AB29+(1-EXP(-LN(2)/2))/(LN(2)/2)*V30*Y30*VLOOKUP('Données projet'!$B$9,Paramètres!$A$1:$I$89,3,0)*0.475*44/12</f>
        <v>4.4590254058006886</v>
      </c>
      <c r="AC30" s="22">
        <f t="shared" si="3"/>
        <v>40.245815386792671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0</v>
      </c>
      <c r="AI30" s="13">
        <f>IF('Données projet'!$A$62&gt;35,AI29+AH30-AQ29,IF(A30&lt;'Données projet'!$A$62,$AF$205^A30,IF(A30='Données projet'!$A$62,'Données projet'!$B$62,AI29+AH30-AQ29)))</f>
        <v>0</v>
      </c>
      <c r="AJ30" s="13" t="e">
        <f>AI30*VLOOKUP('Données projet'!$B$10,Paramètres!$A$1:$I$89,3,0)*VLOOKUP('Données projet'!$B$10,Paramètres!$A$1:$I$89,5,0)</f>
        <v>#N/A</v>
      </c>
      <c r="AK30" s="13" t="e">
        <f t="shared" si="35"/>
        <v>#N/A</v>
      </c>
      <c r="AL30" s="20" t="e">
        <f t="shared" si="4"/>
        <v>#N/A</v>
      </c>
      <c r="AM30" s="59" t="e">
        <f t="shared" si="5"/>
        <v>#N/A</v>
      </c>
      <c r="AN30" s="59" t="e">
        <f ca="1">AVERAGE(OFFSET($AM$3,0,0,'Données projet'!$E$10+1,1))-AVERAGE(OFFSET($H$3,0,0,'Données projet'!$E$10+1,1))</f>
        <v>#N/A</v>
      </c>
      <c r="AO30" s="59" t="e">
        <f t="shared" si="36"/>
        <v>#N/A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 t="e">
        <f>EXP(-LN(2)/35)*AU29+(1-EXP(-LN(2)/35))/(LN(2)/35)*AQ30*AR30*VLOOKUP('Données projet'!$B$10,Paramètres!$A$1:$I$89,3,0)*0.475*44/12</f>
        <v>#N/A</v>
      </c>
      <c r="AV30" s="21" t="e">
        <f>EXP(-LN(2)/25)*AV29+(1-EXP(-LN(2)/25))/(LN(2)/25)*Calculateur!AQ30*Calculateur!AS30*VLOOKUP('Données projet'!$B$10,Paramètres!$A$1:$I$89,3,0)*0.475*44/12</f>
        <v>#N/A</v>
      </c>
      <c r="AW30" s="21" t="e">
        <f>EXP(-LN(2)/2)*AW29+(1-EXP(-LN(2)/2))/(LN(2)/2)*AQ30*AT30*VLOOKUP('Données projet'!$B$10,Paramètres!$A$1:$I$89,3,0)*0.475*44/12</f>
        <v>#N/A</v>
      </c>
      <c r="AX30" s="21" t="e">
        <f t="shared" si="6"/>
        <v>#N/A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2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16.744000000000007</v>
      </c>
      <c r="D31" s="11">
        <f t="shared" si="32"/>
        <v>5.5584546605089464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172.15929913375331</v>
      </c>
      <c r="H31" s="67">
        <f t="shared" si="1"/>
        <v>332.17677520038643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20.042499999999997</v>
      </c>
      <c r="N31" s="13">
        <f>IF('Données projet'!$A$36&gt;35,N30+M31-V30,IF(A31&lt;'Données projet'!$A$36,$K$205^A31,IF(A31='Données projet'!$A$36,'Données projet'!$B$36,N30+M31-V30)))</f>
        <v>251.85749999999993</v>
      </c>
      <c r="O31" s="13">
        <f>N31*VLOOKUP('Données projet'!$B$9,Paramètres!$A$1:$I$89,3,0)*VLOOKUP('Données projet'!$B$9,Paramètres!$A$1:$I$89,5,0)</f>
        <v>150.61078499999996</v>
      </c>
      <c r="P31" s="13">
        <f t="shared" si="33"/>
        <v>38.71735585936932</v>
      </c>
      <c r="Q31" s="20">
        <f t="shared" si="2"/>
        <v>329.7465119967348</v>
      </c>
      <c r="R31" s="59">
        <f t="shared" si="0"/>
        <v>623.07984533006811</v>
      </c>
      <c r="S31" s="59">
        <f ca="1">AVERAGE(OFFSET($R$3,0,0,'Données projet'!$E$9+1,1))-AVERAGE(OFFSET($H$3,0,0,'Données projet'!$E$9+1,1))</f>
        <v>232.5902129145469</v>
      </c>
      <c r="T31" s="59">
        <f t="shared" si="34"/>
        <v>340.94590122751879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21.265937296548202</v>
      </c>
      <c r="AA31" s="21">
        <f>EXP(-LN(2)/25)*AA30+(1-EXP(-LN(2)/25))/(LN(2)/25)*Calculateur!V31*Calculateur!X31*VLOOKUP('Données projet'!$B$9,Paramètres!$A$1:$I$89,3,0)*0.475*44/12</f>
        <v>13.710057531769641</v>
      </c>
      <c r="AB31" s="21">
        <f>EXP(-LN(2)/2)*AB30+(1-EXP(-LN(2)/2))/(LN(2)/2)*V31*Y31*VLOOKUP('Données projet'!$B$9,Paramètres!$A$1:$I$89,3,0)*0.475*44/12</f>
        <v>3.1530071019247639</v>
      </c>
      <c r="AC31" s="22">
        <f t="shared" si="3"/>
        <v>38.129001930242609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0</v>
      </c>
      <c r="AI31" s="13">
        <f>IF('Données projet'!$A$62&gt;35,AI30+AH31-AQ30,IF(A31&lt;'Données projet'!$A$62,$AF$205^A31,IF(A31='Données projet'!$A$62,'Données projet'!$B$62,AI30+AH31-AQ30)))</f>
        <v>0</v>
      </c>
      <c r="AJ31" s="13" t="e">
        <f>AI31*VLOOKUP('Données projet'!$B$10,Paramètres!$A$1:$I$89,3,0)*VLOOKUP('Données projet'!$B$10,Paramètres!$A$1:$I$89,5,0)</f>
        <v>#N/A</v>
      </c>
      <c r="AK31" s="13" t="e">
        <f t="shared" si="35"/>
        <v>#N/A</v>
      </c>
      <c r="AL31" s="20" t="e">
        <f t="shared" si="4"/>
        <v>#N/A</v>
      </c>
      <c r="AM31" s="59" t="e">
        <f t="shared" si="5"/>
        <v>#N/A</v>
      </c>
      <c r="AN31" s="59" t="e">
        <f ca="1">AVERAGE(OFFSET($AM$3,0,0,'Données projet'!$E$10+1,1))-AVERAGE(OFFSET($H$3,0,0,'Données projet'!$E$10+1,1))</f>
        <v>#N/A</v>
      </c>
      <c r="AO31" s="59" t="e">
        <f t="shared" si="36"/>
        <v>#N/A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 t="e">
        <f>EXP(-LN(2)/35)*AU30+(1-EXP(-LN(2)/35))/(LN(2)/35)*AQ31*AR31*VLOOKUP('Données projet'!$B$10,Paramètres!$A$1:$I$89,3,0)*0.475*44/12</f>
        <v>#N/A</v>
      </c>
      <c r="AV31" s="21" t="e">
        <f>EXP(-LN(2)/25)*AV30+(1-EXP(-LN(2)/25))/(LN(2)/25)*Calculateur!AQ31*Calculateur!AS31*VLOOKUP('Données projet'!$B$10,Paramètres!$A$1:$I$89,3,0)*0.475*44/12</f>
        <v>#N/A</v>
      </c>
      <c r="AW31" s="21" t="e">
        <f>EXP(-LN(2)/2)*AW30+(1-EXP(-LN(2)/2))/(LN(2)/2)*AQ31*AT31*VLOOKUP('Données projet'!$B$10,Paramètres!$A$1:$I$89,3,0)*0.475*44/12</f>
        <v>#N/A</v>
      </c>
      <c r="AX31" s="21" t="e">
        <f t="shared" si="6"/>
        <v>#N/A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2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17.342000000000006</v>
      </c>
      <c r="D32" s="11">
        <f t="shared" si="32"/>
        <v>5.7335037643993987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178.12669572518837</v>
      </c>
      <c r="H32" s="67">
        <f t="shared" si="1"/>
        <v>333.52316905632892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>
        <f>VLOOKUP(A32,'Données projet'!$A$35:$I$55,2,0)</f>
        <v>271.89999999999998</v>
      </c>
      <c r="L32" s="12">
        <f>VLOOKUP(A32,'Données projet'!$A$35:$I$55,9,0)</f>
        <v>20.042499999999997</v>
      </c>
      <c r="M32" s="12">
        <f t="array" ref="M32">INDEX(L:L,MIN(IF(ISNUMBER(L32:L228),ROW(L32:L228),"")))</f>
        <v>20.042499999999997</v>
      </c>
      <c r="N32" s="13">
        <f>IF('Données projet'!$A$36&gt;35,N31+M32-V31,IF(A32&lt;'Données projet'!$A$36,$K$205^A32,IF(A32='Données projet'!$A$36,'Données projet'!$B$36,N31+M32-V31)))</f>
        <v>271.89999999999992</v>
      </c>
      <c r="O32" s="13">
        <f>N32*VLOOKUP('Données projet'!$B$9,Paramètres!$A$1:$I$89,3,0)*VLOOKUP('Données projet'!$B$9,Paramètres!$A$1:$I$89,5,0)</f>
        <v>162.59619999999995</v>
      </c>
      <c r="P32" s="13">
        <f t="shared" si="33"/>
        <v>41.427545871373056</v>
      </c>
      <c r="Q32" s="20">
        <f t="shared" si="2"/>
        <v>355.34135739264133</v>
      </c>
      <c r="R32" s="59">
        <f t="shared" si="0"/>
        <v>648.67469072597464</v>
      </c>
      <c r="S32" s="59">
        <f ca="1">AVERAGE(OFFSET($R$3,0,0,'Données projet'!$E$9+1,1))-AVERAGE(OFFSET($H$3,0,0,'Données projet'!$E$9+1,1))</f>
        <v>232.5902129145469</v>
      </c>
      <c r="T32" s="59">
        <f t="shared" si="34"/>
        <v>340.94590122751879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20.84892523710387</v>
      </c>
      <c r="AA32" s="21">
        <f>EXP(-LN(2)/25)*AA31+(1-EXP(-LN(2)/25))/(LN(2)/25)*Calculateur!V32*Calculateur!X32*VLOOKUP('Données projet'!$B$9,Paramètres!$A$1:$I$89,3,0)*0.475*44/12</f>
        <v>13.335155287582809</v>
      </c>
      <c r="AB32" s="21">
        <f>EXP(-LN(2)/2)*AB31+(1-EXP(-LN(2)/2))/(LN(2)/2)*V32*Y32*VLOOKUP('Données projet'!$B$9,Paramètres!$A$1:$I$89,3,0)*0.475*44/12</f>
        <v>2.2295127029003443</v>
      </c>
      <c r="AC32" s="22">
        <f t="shared" si="3"/>
        <v>36.413593227587022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0</v>
      </c>
      <c r="AI32" s="13">
        <f>IF('Données projet'!$A$62&gt;35,AI31+AH32-AQ31,IF(A32&lt;'Données projet'!$A$62,$AF$205^A32,IF(A32='Données projet'!$A$62,'Données projet'!$B$62,AI31+AH32-AQ31)))</f>
        <v>0</v>
      </c>
      <c r="AJ32" s="13" t="e">
        <f>AI32*VLOOKUP('Données projet'!$B$10,Paramètres!$A$1:$I$89,3,0)*VLOOKUP('Données projet'!$B$10,Paramètres!$A$1:$I$89,5,0)</f>
        <v>#N/A</v>
      </c>
      <c r="AK32" s="13" t="e">
        <f t="shared" si="35"/>
        <v>#N/A</v>
      </c>
      <c r="AL32" s="20" t="e">
        <f t="shared" si="4"/>
        <v>#N/A</v>
      </c>
      <c r="AM32" s="59" t="e">
        <f t="shared" si="5"/>
        <v>#N/A</v>
      </c>
      <c r="AN32" s="59" t="e">
        <f ca="1">AVERAGE(OFFSET($AM$3,0,0,'Données projet'!$E$10+1,1))-AVERAGE(OFFSET($H$3,0,0,'Données projet'!$E$10+1,1))</f>
        <v>#N/A</v>
      </c>
      <c r="AO32" s="59" t="e">
        <f t="shared" si="36"/>
        <v>#N/A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 t="e">
        <f>EXP(-LN(2)/35)*AU31+(1-EXP(-LN(2)/35))/(LN(2)/35)*AQ32*AR32*VLOOKUP('Données projet'!$B$10,Paramètres!$A$1:$I$89,3,0)*0.475*44/12</f>
        <v>#N/A</v>
      </c>
      <c r="AV32" s="21" t="e">
        <f>EXP(-LN(2)/25)*AV31+(1-EXP(-LN(2)/25))/(LN(2)/25)*Calculateur!AQ32*Calculateur!AS32*VLOOKUP('Données projet'!$B$10,Paramètres!$A$1:$I$89,3,0)*0.475*44/12</f>
        <v>#N/A</v>
      </c>
      <c r="AW32" s="21" t="e">
        <f>EXP(-LN(2)/2)*AW31+(1-EXP(-LN(2)/2))/(LN(2)/2)*AQ32*AT32*VLOOKUP('Données projet'!$B$10,Paramètres!$A$1:$I$89,3,0)*0.475*44/12</f>
        <v>#N/A</v>
      </c>
      <c r="AX32" s="21" t="e">
        <f t="shared" si="6"/>
        <v>#N/A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2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17.940000000000005</v>
      </c>
      <c r="D33" s="11">
        <f t="shared" si="32"/>
        <v>5.907851518758747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184.08867839041844</v>
      </c>
      <c r="H33" s="67">
        <f t="shared" si="1"/>
        <v>334.86834139517146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21.286666666666672</v>
      </c>
      <c r="N33" s="13">
        <f>IF('Données projet'!$A$36&gt;35,N32+M33-V32,IF(A33&lt;'Données projet'!$A$36,$K$205^A33,IF(A33='Données projet'!$A$36,'Données projet'!$B$36,N32+M33-V32)))</f>
        <v>293.18666666666661</v>
      </c>
      <c r="O33" s="13">
        <f>N33*VLOOKUP('Données projet'!$B$9,Paramètres!$A$1:$I$89,3,0)*VLOOKUP('Données projet'!$B$9,Paramètres!$A$1:$I$89,5,0)</f>
        <v>175.32562666666664</v>
      </c>
      <c r="P33" s="13">
        <f t="shared" si="33"/>
        <v>44.280637040141215</v>
      </c>
      <c r="Q33" s="20">
        <f t="shared" si="2"/>
        <v>382.48090928935699</v>
      </c>
      <c r="R33" s="59">
        <f t="shared" si="0"/>
        <v>675.81424262269024</v>
      </c>
      <c r="S33" s="59">
        <f ca="1">AVERAGE(OFFSET($R$3,0,0,'Données projet'!$E$9+1,1))-AVERAGE(OFFSET($H$3,0,0,'Données projet'!$E$9+1,1))</f>
        <v>232.5902129145469</v>
      </c>
      <c r="T33" s="59">
        <f t="shared" si="34"/>
        <v>340.94590122751879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20.440090529793</v>
      </c>
      <c r="AA33" s="21">
        <f>EXP(-LN(2)/25)*AA32+(1-EXP(-LN(2)/25))/(LN(2)/25)*Calculateur!V33*Calculateur!X33*VLOOKUP('Données projet'!$B$9,Paramètres!$A$1:$I$89,3,0)*0.475*44/12</f>
        <v>12.97050476497852</v>
      </c>
      <c r="AB33" s="21">
        <f>EXP(-LN(2)/2)*AB32+(1-EXP(-LN(2)/2))/(LN(2)/2)*V33*Y33*VLOOKUP('Données projet'!$B$9,Paramètres!$A$1:$I$89,3,0)*0.475*44/12</f>
        <v>1.5765035509623819</v>
      </c>
      <c r="AC33" s="22">
        <f t="shared" si="3"/>
        <v>34.987098845733897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 t="e">
        <f>VLOOKUP(A33,'Données projet'!$A$61:$I$81,2,0)</f>
        <v>#N/A</v>
      </c>
      <c r="AG33" s="12" t="e">
        <f>VLOOKUP(A33,'Données projet'!$A$61:$I$81,9,0)</f>
        <v>#N/A</v>
      </c>
      <c r="AH33" s="12">
        <f t="array" ref="AH33">INDEX(AG:AG,MIN(IF(ISNUMBER(AG33:AG229),ROW(AG33:AG229),"")))</f>
        <v>0</v>
      </c>
      <c r="AI33" s="13">
        <f>IF('Données projet'!$A$62&gt;35,AI32+AH33-AQ32,IF(A33&lt;'Données projet'!$A$62,$AF$205^A33,IF(A33='Données projet'!$A$62,'Données projet'!$B$62,AI32+AH33-AQ32)))</f>
        <v>0</v>
      </c>
      <c r="AJ33" s="13" t="e">
        <f>AI33*VLOOKUP('Données projet'!$B$10,Paramètres!$A$1:$I$89,3,0)*VLOOKUP('Données projet'!$B$10,Paramètres!$A$1:$I$89,5,0)</f>
        <v>#N/A</v>
      </c>
      <c r="AK33" s="13" t="e">
        <f t="shared" si="35"/>
        <v>#N/A</v>
      </c>
      <c r="AL33" s="20" t="e">
        <f t="shared" si="4"/>
        <v>#N/A</v>
      </c>
      <c r="AM33" s="59" t="e">
        <f t="shared" si="5"/>
        <v>#N/A</v>
      </c>
      <c r="AN33" s="59" t="e">
        <f ca="1">AVERAGE(OFFSET($AM$3,0,0,'Données projet'!$E$10+1,1))-AVERAGE(OFFSET($H$3,0,0,'Données projet'!$E$10+1,1))</f>
        <v>#N/A</v>
      </c>
      <c r="AO33" s="59" t="e">
        <f t="shared" si="36"/>
        <v>#N/A</v>
      </c>
      <c r="AP33" s="15">
        <f>IF(ISNA(VLOOKUP(A33,'Données projet'!$A$61:$I$81,3,0)),0,VLOOKUP(A33,'Données projet'!$A$61:$I$81,3,0))</f>
        <v>0</v>
      </c>
      <c r="AQ33" s="15">
        <f>IF(ISNA(VLOOKUP(A33,'Données projet'!$A$61:$I$81,4,0)),0,VLOOKUP(A33,'Données projet'!$A$61:$I$81,4,0))</f>
        <v>0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</v>
      </c>
      <c r="AT33" s="16">
        <f>IF(ISNA(VLOOKUP(A33,'Données projet'!$A$61:$I$81,7,0)),0%,VLOOKUP(A33,'Données projet'!$A$61:$I$81,7,0))</f>
        <v>0</v>
      </c>
      <c r="AU33" s="21" t="e">
        <f>EXP(-LN(2)/35)*AU32+(1-EXP(-LN(2)/35))/(LN(2)/35)*AQ33*AR33*VLOOKUP('Données projet'!$B$10,Paramètres!$A$1:$I$89,3,0)*0.475*44/12</f>
        <v>#N/A</v>
      </c>
      <c r="AV33" s="21" t="e">
        <f>EXP(-LN(2)/25)*AV32+(1-EXP(-LN(2)/25))/(LN(2)/25)*Calculateur!AQ33*Calculateur!AS33*VLOOKUP('Données projet'!$B$10,Paramètres!$A$1:$I$89,3,0)*0.475*44/12</f>
        <v>#N/A</v>
      </c>
      <c r="AW33" s="21" t="e">
        <f>EXP(-LN(2)/2)*AW32+(1-EXP(-LN(2)/2))/(LN(2)/2)*AQ33*AT33*VLOOKUP('Données projet'!$B$10,Paramètres!$A$1:$I$89,3,0)*0.475*44/12</f>
        <v>#N/A</v>
      </c>
      <c r="AX33" s="21" t="e">
        <f t="shared" si="6"/>
        <v>#N/A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2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18.538000000000004</v>
      </c>
      <c r="D34" s="11">
        <f t="shared" si="32"/>
        <v>6.0815239823749314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190.04544828499948</v>
      </c>
      <c r="H34" s="67">
        <f t="shared" si="1"/>
        <v>336.21233760263635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21.286666666666672</v>
      </c>
      <c r="N34" s="13">
        <f>IF('Données projet'!$A$36&gt;35,N33+M34-V33,IF(A34&lt;'Données projet'!$A$36,$K$205^A34,IF(A34='Données projet'!$A$36,'Données projet'!$B$36,N33+M34-V33)))</f>
        <v>314.4733333333333</v>
      </c>
      <c r="O34" s="13">
        <f>N34*VLOOKUP('Données projet'!$B$9,Paramètres!$A$1:$I$89,3,0)*VLOOKUP('Données projet'!$B$9,Paramètres!$A$1:$I$89,5,0)</f>
        <v>188.05505333333332</v>
      </c>
      <c r="P34" s="13">
        <f t="shared" si="33"/>
        <v>47.109695596552015</v>
      </c>
      <c r="Q34" s="20">
        <f t="shared" si="2"/>
        <v>409.57860438621697</v>
      </c>
      <c r="R34" s="59">
        <f t="shared" si="0"/>
        <v>702.91193771955022</v>
      </c>
      <c r="S34" s="59">
        <f ca="1">AVERAGE(OFFSET($R$3,0,0,'Données projet'!$E$9+1,1))-AVERAGE(OFFSET($H$3,0,0,'Données projet'!$E$9+1,1))</f>
        <v>232.5902129145469</v>
      </c>
      <c r="T34" s="59">
        <f t="shared" si="34"/>
        <v>340.94590122751879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20.039272821727945</v>
      </c>
      <c r="AA34" s="21">
        <f>EXP(-LN(2)/25)*AA33+(1-EXP(-LN(2)/25))/(LN(2)/25)*Calculateur!V34*Calculateur!X34*VLOOKUP('Données projet'!$B$9,Paramètres!$A$1:$I$89,3,0)*0.475*44/12</f>
        <v>12.615825630090981</v>
      </c>
      <c r="AB34" s="21">
        <f>EXP(-LN(2)/2)*AB33+(1-EXP(-LN(2)/2))/(LN(2)/2)*V34*Y34*VLOOKUP('Données projet'!$B$9,Paramètres!$A$1:$I$89,3,0)*0.475*44/12</f>
        <v>1.1147563514501722</v>
      </c>
      <c r="AC34" s="22">
        <f t="shared" si="3"/>
        <v>33.769854803269105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0</v>
      </c>
      <c r="AI34" s="13">
        <f>IF('Données projet'!$A$62&gt;35,AI33+AH34-AQ33,IF(A34&lt;'Données projet'!$A$62,$AF$205^A34,IF(A34='Données projet'!$A$62,'Données projet'!$B$62,AI33+AH34-AQ33)))</f>
        <v>0</v>
      </c>
      <c r="AJ34" s="13" t="e">
        <f>AI34*VLOOKUP('Données projet'!$B$10,Paramètres!$A$1:$I$89,3,0)*VLOOKUP('Données projet'!$B$10,Paramètres!$A$1:$I$89,5,0)</f>
        <v>#N/A</v>
      </c>
      <c r="AK34" s="13" t="e">
        <f t="shared" si="35"/>
        <v>#N/A</v>
      </c>
      <c r="AL34" s="20" t="e">
        <f t="shared" si="4"/>
        <v>#N/A</v>
      </c>
      <c r="AM34" s="59" t="e">
        <f t="shared" si="5"/>
        <v>#N/A</v>
      </c>
      <c r="AN34" s="59" t="e">
        <f ca="1">AVERAGE(OFFSET($AM$3,0,0,'Données projet'!$E$10+1,1))-AVERAGE(OFFSET($H$3,0,0,'Données projet'!$E$10+1,1))</f>
        <v>#N/A</v>
      </c>
      <c r="AO34" s="59" t="e">
        <f t="shared" si="36"/>
        <v>#N/A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 t="e">
        <f>EXP(-LN(2)/35)*AU33+(1-EXP(-LN(2)/35))/(LN(2)/35)*AQ34*AR34*VLOOKUP('Données projet'!$B$10,Paramètres!$A$1:$I$89,3,0)*0.475*44/12</f>
        <v>#N/A</v>
      </c>
      <c r="AV34" s="21" t="e">
        <f>EXP(-LN(2)/25)*AV33+(1-EXP(-LN(2)/25))/(LN(2)/25)*Calculateur!AQ34*Calculateur!AS34*VLOOKUP('Données projet'!$B$10,Paramètres!$A$1:$I$89,3,0)*0.475*44/12</f>
        <v>#N/A</v>
      </c>
      <c r="AW34" s="21" t="e">
        <f>EXP(-LN(2)/2)*AW33+(1-EXP(-LN(2)/2))/(LN(2)/2)*AQ34*AT34*VLOOKUP('Données projet'!$B$10,Paramètres!$A$1:$I$89,3,0)*0.475*44/12</f>
        <v>#N/A</v>
      </c>
      <c r="AX34" s="21" t="e">
        <f t="shared" si="6"/>
        <v>#N/A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2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19.136000000000003</v>
      </c>
      <c r="D35" s="11">
        <f t="shared" si="32"/>
        <v>6.2545454373771854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195.99719284992921</v>
      </c>
      <c r="H35" s="67">
        <f t="shared" si="1"/>
        <v>337.55519997009856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>
        <f>VLOOKUP(A35,'Données projet'!$A$35:$I$55,2,0)</f>
        <v>335.76</v>
      </c>
      <c r="L35" s="12">
        <f>VLOOKUP(A35,'Données projet'!$A$35:$I$55,9,0)</f>
        <v>21.286666666666672</v>
      </c>
      <c r="M35" s="12">
        <f t="array" ref="M35">INDEX(L:L,MIN(IF(ISNUMBER(L35:L231),ROW(L35:L231),"")))</f>
        <v>21.286666666666672</v>
      </c>
      <c r="N35" s="13">
        <f>IF('Données projet'!$A$36&gt;35,N34+M35-V34,IF(A35&lt;'Données projet'!$A$36,$K$205^A35,IF(A35='Données projet'!$A$36,'Données projet'!$B$36,N34+M35-V34)))</f>
        <v>335.76</v>
      </c>
      <c r="O35" s="13">
        <f>N35*VLOOKUP('Données projet'!$B$9,Paramètres!$A$1:$I$89,3,0)*VLOOKUP('Données projet'!$B$9,Paramètres!$A$1:$I$89,5,0)</f>
        <v>200.78448</v>
      </c>
      <c r="P35" s="13">
        <f t="shared" si="33"/>
        <v>49.916533385625819</v>
      </c>
      <c r="Q35" s="20">
        <f t="shared" ref="Q35:Q66" si="53">(O35+P35)*0.475*44/12</f>
        <v>436.63759831329827</v>
      </c>
      <c r="R35" s="59">
        <f t="shared" si="0"/>
        <v>729.97093164663158</v>
      </c>
      <c r="S35" s="59">
        <f ca="1">AVERAGE(OFFSET($R$3,0,0,'Données projet'!$E$9+1,1))-AVERAGE(OFFSET($H$3,0,0,'Données projet'!$E$9+1,1))</f>
        <v>232.5902129145469</v>
      </c>
      <c r="T35" s="59">
        <f t="shared" si="34"/>
        <v>340.94590122751879</v>
      </c>
      <c r="U35" s="15">
        <f>IF(ISNA(VLOOKUP(A35,'Données projet'!$A$35:$I$55,3,0)),0,VLOOKUP(A35,'Données projet'!$A$35:$I$55,3,0))</f>
        <v>4</v>
      </c>
      <c r="V35" s="15">
        <f>IF(ISNA(VLOOKUP(A35,'Données projet'!$A$35:$I$55,4,0)),0,VLOOKUP(A35,'Données projet'!$A$35:$I$55,4,0))</f>
        <v>76.42</v>
      </c>
      <c r="W35" s="16">
        <f>IF(ISNA(VLOOKUP(A35,'Données projet'!$A$35:$I$55,5,0)),0%,VLOOKUP(A35,'Données projet'!$A$35:$I$55,5,0)*VLOOKUP('Données projet'!$B$9,Paramètres!$A$1:$I$89,7,0))</f>
        <v>0.36000000000000004</v>
      </c>
      <c r="X35" s="16">
        <f>IF(ISNA(VLOOKUP(A35,'Données projet'!$A$35:$I$55,6,0)),0%,VLOOKUP(A35,'Données projet'!$A$35:$I$55,6,0)*VLOOKUP('Données projet'!$B$9,Paramètres!$A$1:$I$89,7,0))</f>
        <v>4.9500000000000002E-2</v>
      </c>
      <c r="Y35" s="16">
        <f>IF(ISNA(VLOOKUP(A35,'Données projet'!$A$35:$I$55,7,0)),0%,VLOOKUP(A35,'Données projet'!$A$35:$I$55,7,0))</f>
        <v>0.09</v>
      </c>
      <c r="Z35" s="21">
        <f>EXP(-LN(2)/35)*Z34+(1-EXP(-LN(2)/35))/(LN(2)/35)*V35*W35*VLOOKUP('Données projet'!$B$9,Paramètres!$A$1:$I$89,3,0)*0.475*44/12</f>
        <v>41.470552172243387</v>
      </c>
      <c r="AA35" s="21">
        <f>EXP(-LN(2)/25)*AA34+(1-EXP(-LN(2)/25))/(LN(2)/25)*Calculateur!V35*Calculateur!X35*VLOOKUP('Données projet'!$B$9,Paramètres!$A$1:$I$89,3,0)*0.475*44/12</f>
        <v>15.259862417672378</v>
      </c>
      <c r="AB35" s="21">
        <f>EXP(-LN(2)/2)*AB34+(1-EXP(-LN(2)/2))/(LN(2)/2)*V35*Y35*VLOOKUP('Données projet'!$B$9,Paramètres!$A$1:$I$89,3,0)*0.475*44/12</f>
        <v>5.4450376184458529</v>
      </c>
      <c r="AC35" s="22">
        <f t="shared" si="3"/>
        <v>62.175452208361619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0</v>
      </c>
      <c r="AI35" s="13">
        <f>IF('Données projet'!$A$62&gt;35,AI34+AH35-AQ34,IF(A35&lt;'Données projet'!$A$62,$AF$205^A35,IF(A35='Données projet'!$A$62,'Données projet'!$B$62,AI34+AH35-AQ34)))</f>
        <v>0</v>
      </c>
      <c r="AJ35" s="13" t="e">
        <f>AI35*VLOOKUP('Données projet'!$B$10,Paramètres!$A$1:$I$89,3,0)*VLOOKUP('Données projet'!$B$10,Paramètres!$A$1:$I$89,5,0)</f>
        <v>#N/A</v>
      </c>
      <c r="AK35" s="13" t="e">
        <f t="shared" si="35"/>
        <v>#N/A</v>
      </c>
      <c r="AL35" s="20" t="e">
        <f t="shared" si="4"/>
        <v>#N/A</v>
      </c>
      <c r="AM35" s="59" t="e">
        <f t="shared" si="5"/>
        <v>#N/A</v>
      </c>
      <c r="AN35" s="59" t="e">
        <f ca="1">AVERAGE(OFFSET($AM$3,0,0,'Données projet'!$E$10+1,1))-AVERAGE(OFFSET($H$3,0,0,'Données projet'!$E$10+1,1))</f>
        <v>#N/A</v>
      </c>
      <c r="AO35" s="59" t="e">
        <f t="shared" si="36"/>
        <v>#N/A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 t="e">
        <f>EXP(-LN(2)/35)*AU34+(1-EXP(-LN(2)/35))/(LN(2)/35)*AQ35*AR35*VLOOKUP('Données projet'!$B$10,Paramètres!$A$1:$I$89,3,0)*0.475*44/12</f>
        <v>#N/A</v>
      </c>
      <c r="AV35" s="21" t="e">
        <f>EXP(-LN(2)/25)*AV34+(1-EXP(-LN(2)/25))/(LN(2)/25)*Calculateur!AQ35*Calculateur!AS35*VLOOKUP('Données projet'!$B$10,Paramètres!$A$1:$I$89,3,0)*0.475*44/12</f>
        <v>#N/A</v>
      </c>
      <c r="AW35" s="21" t="e">
        <f>EXP(-LN(2)/2)*AW34+(1-EXP(-LN(2)/2))/(LN(2)/2)*AQ35*AT35*VLOOKUP('Données projet'!$B$10,Paramètres!$A$1:$I$89,3,0)*0.475*44/12</f>
        <v>#N/A</v>
      </c>
      <c r="AX35" s="21" t="e">
        <f t="shared" si="6"/>
        <v>#N/A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2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19.734000000000002</v>
      </c>
      <c r="D36" s="11">
        <f t="shared" si="32"/>
        <v>6.4269385620606752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201.94408714573157</v>
      </c>
      <c r="H36" s="67">
        <f t="shared" si="1"/>
        <v>338.89696799558897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18.466666666666669</v>
      </c>
      <c r="N36" s="13">
        <f>IF('Données projet'!$A$36&gt;35,N35+M36-V35,IF(A36&lt;'Données projet'!$A$36,$K$205^A36,IF(A36='Données projet'!$A$36,'Données projet'!$B$36,N35+M36-V35)))</f>
        <v>277.80666666666667</v>
      </c>
      <c r="O36" s="13">
        <f>N36*VLOOKUP('Données projet'!$B$9,Paramètres!$A$1:$I$89,3,0)*VLOOKUP('Données projet'!$B$9,Paramètres!$A$1:$I$89,5,0)</f>
        <v>166.1283866666667</v>
      </c>
      <c r="P36" s="13">
        <f t="shared" si="33"/>
        <v>42.221751809251792</v>
      </c>
      <c r="Q36" s="20">
        <f t="shared" si="53"/>
        <v>362.8764911788914</v>
      </c>
      <c r="R36" s="59">
        <f t="shared" si="0"/>
        <v>656.20982451222471</v>
      </c>
      <c r="S36" s="59">
        <f ca="1">AVERAGE(OFFSET($R$3,0,0,'Données projet'!$E$9+1,1))-AVERAGE(OFFSET($H$3,0,0,'Données projet'!$E$9+1,1))</f>
        <v>232.5902129145469</v>
      </c>
      <c r="T36" s="59">
        <f t="shared" si="34"/>
        <v>340.94590122751879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40.657339938684892</v>
      </c>
      <c r="AA36" s="21">
        <f>EXP(-LN(2)/25)*AA35+(1-EXP(-LN(2)/25))/(LN(2)/25)*Calculateur!V36*Calculateur!X36*VLOOKUP('Données projet'!$B$9,Paramètres!$A$1:$I$89,3,0)*0.475*44/12</f>
        <v>14.842580677379839</v>
      </c>
      <c r="AB36" s="21">
        <f>EXP(-LN(2)/2)*AB35+(1-EXP(-LN(2)/2))/(LN(2)/2)*V36*Y36*VLOOKUP('Données projet'!$B$9,Paramètres!$A$1:$I$89,3,0)*0.475*44/12</f>
        <v>3.8502230238189119</v>
      </c>
      <c r="AC36" s="22">
        <f t="shared" si="3"/>
        <v>59.35014363988364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0</v>
      </c>
      <c r="AI36" s="13">
        <f>IF('Données projet'!$A$62&gt;35,AI35+AH36-AQ35,IF(A36&lt;'Données projet'!$A$62,$AF$205^A36,IF(A36='Données projet'!$A$62,'Données projet'!$B$62,AI35+AH36-AQ35)))</f>
        <v>0</v>
      </c>
      <c r="AJ36" s="13" t="e">
        <f>AI36*VLOOKUP('Données projet'!$B$10,Paramètres!$A$1:$I$89,3,0)*VLOOKUP('Données projet'!$B$10,Paramètres!$A$1:$I$89,5,0)</f>
        <v>#N/A</v>
      </c>
      <c r="AK36" s="13" t="e">
        <f t="shared" si="35"/>
        <v>#N/A</v>
      </c>
      <c r="AL36" s="20" t="e">
        <f t="shared" si="4"/>
        <v>#N/A</v>
      </c>
      <c r="AM36" s="59" t="e">
        <f t="shared" si="5"/>
        <v>#N/A</v>
      </c>
      <c r="AN36" s="59" t="e">
        <f ca="1">AVERAGE(OFFSET($AM$3,0,0,'Données projet'!$E$10+1,1))-AVERAGE(OFFSET($H$3,0,0,'Données projet'!$E$10+1,1))</f>
        <v>#N/A</v>
      </c>
      <c r="AO36" s="59" t="e">
        <f t="shared" si="36"/>
        <v>#N/A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 t="e">
        <f>EXP(-LN(2)/35)*AU35+(1-EXP(-LN(2)/35))/(LN(2)/35)*AQ36*AR36*VLOOKUP('Données projet'!$B$10,Paramètres!$A$1:$I$89,3,0)*0.475*44/12</f>
        <v>#N/A</v>
      </c>
      <c r="AV36" s="21" t="e">
        <f>EXP(-LN(2)/25)*AV35+(1-EXP(-LN(2)/25))/(LN(2)/25)*Calculateur!AQ36*Calculateur!AS36*VLOOKUP('Données projet'!$B$10,Paramètres!$A$1:$I$89,3,0)*0.475*44/12</f>
        <v>#N/A</v>
      </c>
      <c r="AW36" s="21" t="e">
        <f>EXP(-LN(2)/2)*AW35+(1-EXP(-LN(2)/2))/(LN(2)/2)*AQ36*AT36*VLOOKUP('Données projet'!$B$10,Paramètres!$A$1:$I$89,3,0)*0.475*44/12</f>
        <v>#N/A</v>
      </c>
      <c r="AX36" s="21" t="e">
        <f t="shared" si="6"/>
        <v>#N/A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2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20.332000000000001</v>
      </c>
      <c r="D37" s="11">
        <f t="shared" si="32"/>
        <v>6.5987245821741247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207.88629502029153</v>
      </c>
      <c r="H37" s="67">
        <f t="shared" si="1"/>
        <v>340.2376786472866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18.466666666666669</v>
      </c>
      <c r="N37" s="13">
        <f>IF('Données projet'!$A$36&gt;35,N36+M37-V36,IF(A37&lt;'Données projet'!$A$36,$K$205^A37,IF(A37='Données projet'!$A$36,'Données projet'!$B$36,N36+M37-V36)))</f>
        <v>296.27333333333331</v>
      </c>
      <c r="O37" s="13">
        <f>N37*VLOOKUP('Données projet'!$B$9,Paramètres!$A$1:$I$89,3,0)*VLOOKUP('Données projet'!$B$9,Paramètres!$A$1:$I$89,5,0)</f>
        <v>177.17145333333332</v>
      </c>
      <c r="P37" s="13">
        <f t="shared" si="33"/>
        <v>44.692307717942441</v>
      </c>
      <c r="Q37" s="20">
        <f t="shared" si="53"/>
        <v>386.41271716430532</v>
      </c>
      <c r="R37" s="59">
        <f t="shared" si="0"/>
        <v>679.74605049763863</v>
      </c>
      <c r="S37" s="59">
        <f ca="1">AVERAGE(OFFSET($R$3,0,0,'Données projet'!$E$9+1,1))-AVERAGE(OFFSET($H$3,0,0,'Données projet'!$E$9+1,1))</f>
        <v>232.5902129145469</v>
      </c>
      <c r="T37" s="59">
        <f t="shared" si="34"/>
        <v>340.94590122751879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39.860074301015992</v>
      </c>
      <c r="AA37" s="21">
        <f>EXP(-LN(2)/25)*AA36+(1-EXP(-LN(2)/25))/(LN(2)/25)*Calculateur!V37*Calculateur!X37*VLOOKUP('Données projet'!$B$9,Paramètres!$A$1:$I$89,3,0)*0.475*44/12</f>
        <v>14.436709528219493</v>
      </c>
      <c r="AB37" s="21">
        <f>EXP(-LN(2)/2)*AB36+(1-EXP(-LN(2)/2))/(LN(2)/2)*V37*Y37*VLOOKUP('Données projet'!$B$9,Paramètres!$A$1:$I$89,3,0)*0.475*44/12</f>
        <v>2.7225188092229269</v>
      </c>
      <c r="AC37" s="22">
        <f t="shared" si="3"/>
        <v>57.019302638458413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0</v>
      </c>
      <c r="AI37" s="13">
        <f>IF('Données projet'!$A$62&gt;35,AI36+AH37-AQ36,IF(A37&lt;'Données projet'!$A$62,$AF$205^A37,IF(A37='Données projet'!$A$62,'Données projet'!$B$62,AI36+AH37-AQ36)))</f>
        <v>0</v>
      </c>
      <c r="AJ37" s="13" t="e">
        <f>AI37*VLOOKUP('Données projet'!$B$10,Paramètres!$A$1:$I$89,3,0)*VLOOKUP('Données projet'!$B$10,Paramètres!$A$1:$I$89,5,0)</f>
        <v>#N/A</v>
      </c>
      <c r="AK37" s="13" t="e">
        <f t="shared" si="35"/>
        <v>#N/A</v>
      </c>
      <c r="AL37" s="20" t="e">
        <f t="shared" si="4"/>
        <v>#N/A</v>
      </c>
      <c r="AM37" s="59" t="e">
        <f t="shared" si="5"/>
        <v>#N/A</v>
      </c>
      <c r="AN37" s="59" t="e">
        <f ca="1">AVERAGE(OFFSET($AM$3,0,0,'Données projet'!$E$10+1,1))-AVERAGE(OFFSET($H$3,0,0,'Données projet'!$E$10+1,1))</f>
        <v>#N/A</v>
      </c>
      <c r="AO37" s="59" t="e">
        <f t="shared" si="36"/>
        <v>#N/A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 t="e">
        <f>EXP(-LN(2)/35)*AU36+(1-EXP(-LN(2)/35))/(LN(2)/35)*AQ37*AR37*VLOOKUP('Données projet'!$B$10,Paramètres!$A$1:$I$89,3,0)*0.475*44/12</f>
        <v>#N/A</v>
      </c>
      <c r="AV37" s="21" t="e">
        <f>EXP(-LN(2)/25)*AV36+(1-EXP(-LN(2)/25))/(LN(2)/25)*Calculateur!AQ37*Calculateur!AS37*VLOOKUP('Données projet'!$B$10,Paramètres!$A$1:$I$89,3,0)*0.475*44/12</f>
        <v>#N/A</v>
      </c>
      <c r="AW37" s="21" t="e">
        <f>EXP(-LN(2)/2)*AW36+(1-EXP(-LN(2)/2))/(LN(2)/2)*AQ37*AT37*VLOOKUP('Données projet'!$B$10,Paramètres!$A$1:$I$89,3,0)*0.475*44/12</f>
        <v>#N/A</v>
      </c>
      <c r="AX37" s="21" t="e">
        <f t="shared" si="6"/>
        <v>#N/A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2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20.93</v>
      </c>
      <c r="D38" s="11">
        <f t="shared" si="32"/>
        <v>6.7699234039087761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213.82397013543618</v>
      </c>
      <c r="H38" s="67">
        <f t="shared" si="1"/>
        <v>341.57736659514109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18.466666666666669</v>
      </c>
      <c r="N38" s="13">
        <f>IF('Données projet'!$A$36&gt;35,N37+M38-V37,IF(A38&lt;'Données projet'!$A$36,$K$205^A38,IF(A38='Données projet'!$A$36,'Données projet'!$B$36,N37+M38-V37)))</f>
        <v>314.74</v>
      </c>
      <c r="O38" s="13">
        <f>N38*VLOOKUP('Données projet'!$B$9,Paramètres!$A$1:$I$89,3,0)*VLOOKUP('Données projet'!$B$9,Paramètres!$A$1:$I$89,5,0)</f>
        <v>188.21452000000002</v>
      </c>
      <c r="P38" s="13">
        <f t="shared" si="33"/>
        <v>47.144991921268172</v>
      </c>
      <c r="Q38" s="20">
        <f t="shared" si="53"/>
        <v>409.91781659620875</v>
      </c>
      <c r="R38" s="59">
        <f t="shared" si="0"/>
        <v>703.25114992954207</v>
      </c>
      <c r="S38" s="59">
        <f ca="1">AVERAGE(OFFSET($R$3,0,0,'Données projet'!$E$9+1,1))-AVERAGE(OFFSET($H$3,0,0,'Données projet'!$E$9+1,1))</f>
        <v>232.5902129145469</v>
      </c>
      <c r="T38" s="59">
        <f t="shared" si="34"/>
        <v>340.94590122751879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39.078442556217759</v>
      </c>
      <c r="AA38" s="21">
        <f>EXP(-LN(2)/25)*AA37+(1-EXP(-LN(2)/25))/(LN(2)/25)*Calculateur!V38*Calculateur!X38*VLOOKUP('Données projet'!$B$9,Paramètres!$A$1:$I$89,3,0)*0.475*44/12</f>
        <v>14.041936946976772</v>
      </c>
      <c r="AB38" s="21">
        <f>EXP(-LN(2)/2)*AB37+(1-EXP(-LN(2)/2))/(LN(2)/2)*V38*Y38*VLOOKUP('Données projet'!$B$9,Paramètres!$A$1:$I$89,3,0)*0.475*44/12</f>
        <v>1.9251115119094562</v>
      </c>
      <c r="AC38" s="22">
        <f t="shared" si="3"/>
        <v>55.045491015103984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0</v>
      </c>
      <c r="AI38" s="13">
        <f>IF('Données projet'!$A$62&gt;35,AI37+AH38-AQ37,IF(A38&lt;'Données projet'!$A$62,$AF$205^A38,IF(A38='Données projet'!$A$62,'Données projet'!$B$62,AI37+AH38-AQ37)))</f>
        <v>0</v>
      </c>
      <c r="AJ38" s="13" t="e">
        <f>AI38*VLOOKUP('Données projet'!$B$10,Paramètres!$A$1:$I$89,3,0)*VLOOKUP('Données projet'!$B$10,Paramètres!$A$1:$I$89,5,0)</f>
        <v>#N/A</v>
      </c>
      <c r="AK38" s="13" t="e">
        <f t="shared" si="35"/>
        <v>#N/A</v>
      </c>
      <c r="AL38" s="20" t="e">
        <f t="shared" si="4"/>
        <v>#N/A</v>
      </c>
      <c r="AM38" s="59" t="e">
        <f t="shared" si="5"/>
        <v>#N/A</v>
      </c>
      <c r="AN38" s="59" t="e">
        <f ca="1">AVERAGE(OFFSET($AM$3,0,0,'Données projet'!$E$10+1,1))-AVERAGE(OFFSET($H$3,0,0,'Données projet'!$E$10+1,1))</f>
        <v>#N/A</v>
      </c>
      <c r="AO38" s="59" t="e">
        <f t="shared" si="36"/>
        <v>#N/A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 t="e">
        <f>EXP(-LN(2)/35)*AU37+(1-EXP(-LN(2)/35))/(LN(2)/35)*AQ38*AR38*VLOOKUP('Données projet'!$B$10,Paramètres!$A$1:$I$89,3,0)*0.475*44/12</f>
        <v>#N/A</v>
      </c>
      <c r="AV38" s="21" t="e">
        <f>EXP(-LN(2)/25)*AV37+(1-EXP(-LN(2)/25))/(LN(2)/25)*Calculateur!AQ38*Calculateur!AS38*VLOOKUP('Données projet'!$B$10,Paramètres!$A$1:$I$89,3,0)*0.475*44/12</f>
        <v>#N/A</v>
      </c>
      <c r="AW38" s="21" t="e">
        <f>EXP(-LN(2)/2)*AW37+(1-EXP(-LN(2)/2))/(LN(2)/2)*AQ38*AT38*VLOOKUP('Données projet'!$B$10,Paramètres!$A$1:$I$89,3,0)*0.475*44/12</f>
        <v>#N/A</v>
      </c>
      <c r="AX38" s="21" t="e">
        <f t="shared" si="6"/>
        <v>#N/A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2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21.527999999999999</v>
      </c>
      <c r="D39" s="11">
        <f t="shared" si="32"/>
        <v>6.9405537312613585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219.75725687289471</v>
      </c>
      <c r="H39" s="67">
        <f t="shared" si="1"/>
        <v>342.91606441528018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18.466666666666669</v>
      </c>
      <c r="N39" s="13">
        <f>IF('Données projet'!$A$36&gt;35,N38+M39-V38,IF(A39&lt;'Données projet'!$A$36,$K$205^A39,IF(A39='Données projet'!$A$36,'Données projet'!$B$36,N38+M39-V38)))</f>
        <v>333.20666666666671</v>
      </c>
      <c r="O39" s="13">
        <f>N39*VLOOKUP('Données projet'!$B$9,Paramètres!$A$1:$I$89,3,0)*VLOOKUP('Données projet'!$B$9,Paramètres!$A$1:$I$89,5,0)</f>
        <v>199.25758666666673</v>
      </c>
      <c r="P39" s="13">
        <f t="shared" si="33"/>
        <v>49.580972447089898</v>
      </c>
      <c r="Q39" s="20">
        <f t="shared" si="53"/>
        <v>433.39382378979275</v>
      </c>
      <c r="R39" s="59">
        <f t="shared" si="0"/>
        <v>726.72715712312606</v>
      </c>
      <c r="S39" s="59">
        <f ca="1">AVERAGE(OFFSET($R$3,0,0,'Données projet'!$E$9+1,1))-AVERAGE(OFFSET($H$3,0,0,'Données projet'!$E$9+1,1))</f>
        <v>232.5902129145469</v>
      </c>
      <c r="T39" s="59">
        <f t="shared" si="34"/>
        <v>340.94590122751879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38.312138133186728</v>
      </c>
      <c r="AA39" s="21">
        <f>EXP(-LN(2)/25)*AA38+(1-EXP(-LN(2)/25))/(LN(2)/25)*Calculateur!V39*Calculateur!X39*VLOOKUP('Données projet'!$B$9,Paramètres!$A$1:$I$89,3,0)*0.475*44/12</f>
        <v>13.657959442728322</v>
      </c>
      <c r="AB39" s="21">
        <f>EXP(-LN(2)/2)*AB38+(1-EXP(-LN(2)/2))/(LN(2)/2)*V39*Y39*VLOOKUP('Données projet'!$B$9,Paramètres!$A$1:$I$89,3,0)*0.475*44/12</f>
        <v>1.3612594046114637</v>
      </c>
      <c r="AC39" s="22">
        <f t="shared" si="3"/>
        <v>53.331356980526515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0</v>
      </c>
      <c r="AI39" s="13">
        <f>IF('Données projet'!$A$62&gt;35,AI38+AH39-AQ38,IF(A39&lt;'Données projet'!$A$62,$AF$205^A39,IF(A39='Données projet'!$A$62,'Données projet'!$B$62,AI38+AH39-AQ38)))</f>
        <v>0</v>
      </c>
      <c r="AJ39" s="13" t="e">
        <f>AI39*VLOOKUP('Données projet'!$B$10,Paramètres!$A$1:$I$89,3,0)*VLOOKUP('Données projet'!$B$10,Paramètres!$A$1:$I$89,5,0)</f>
        <v>#N/A</v>
      </c>
      <c r="AK39" s="13" t="e">
        <f t="shared" si="35"/>
        <v>#N/A</v>
      </c>
      <c r="AL39" s="20" t="e">
        <f t="shared" si="4"/>
        <v>#N/A</v>
      </c>
      <c r="AM39" s="59" t="e">
        <f t="shared" si="5"/>
        <v>#N/A</v>
      </c>
      <c r="AN39" s="59" t="e">
        <f ca="1">AVERAGE(OFFSET($AM$3,0,0,'Données projet'!$E$10+1,1))-AVERAGE(OFFSET($H$3,0,0,'Données projet'!$E$10+1,1))</f>
        <v>#N/A</v>
      </c>
      <c r="AO39" s="59" t="e">
        <f t="shared" si="36"/>
        <v>#N/A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 t="e">
        <f>EXP(-LN(2)/35)*AU38+(1-EXP(-LN(2)/35))/(LN(2)/35)*AQ39*AR39*VLOOKUP('Données projet'!$B$10,Paramètres!$A$1:$I$89,3,0)*0.475*44/12</f>
        <v>#N/A</v>
      </c>
      <c r="AV39" s="21" t="e">
        <f>EXP(-LN(2)/25)*AV38+(1-EXP(-LN(2)/25))/(LN(2)/25)*Calculateur!AQ39*Calculateur!AS39*VLOOKUP('Données projet'!$B$10,Paramètres!$A$1:$I$89,3,0)*0.475*44/12</f>
        <v>#N/A</v>
      </c>
      <c r="AW39" s="21" t="e">
        <f>EXP(-LN(2)/2)*AW38+(1-EXP(-LN(2)/2))/(LN(2)/2)*AQ39*AT39*VLOOKUP('Données projet'!$B$10,Paramètres!$A$1:$I$89,3,0)*0.475*44/12</f>
        <v>#N/A</v>
      </c>
      <c r="AX39" s="21" t="e">
        <f t="shared" si="6"/>
        <v>#N/A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2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22.125999999999998</v>
      </c>
      <c r="D40" s="11">
        <f t="shared" si="32"/>
        <v>7.1106331699901926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225.68629113676641</v>
      </c>
      <c r="H40" s="67">
        <f t="shared" si="1"/>
        <v>344.25380277106626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18.466666666666669</v>
      </c>
      <c r="N40" s="13">
        <f>IF('Données projet'!$A$36&gt;35,N39+M40-V39,IF(A40&lt;'Données projet'!$A$36,$K$205^A40,IF(A40='Données projet'!$A$36,'Données projet'!$B$36,N39+M40-V39)))</f>
        <v>351.6733333333334</v>
      </c>
      <c r="O40" s="13">
        <f>N40*VLOOKUP('Données projet'!$B$9,Paramètres!$A$1:$I$89,3,0)*VLOOKUP('Données projet'!$B$9,Paramètres!$A$1:$I$89,5,0)</f>
        <v>210.30065333333337</v>
      </c>
      <c r="P40" s="13">
        <f t="shared" si="33"/>
        <v>52.001280544468123</v>
      </c>
      <c r="Q40" s="20">
        <f t="shared" si="53"/>
        <v>456.84253483717094</v>
      </c>
      <c r="R40" s="59">
        <f t="shared" si="0"/>
        <v>750.17586817050426</v>
      </c>
      <c r="S40" s="59">
        <f ca="1">AVERAGE(OFFSET($R$3,0,0,'Données projet'!$E$9+1,1))-AVERAGE(OFFSET($H$3,0,0,'Données projet'!$E$9+1,1))</f>
        <v>232.5902129145469</v>
      </c>
      <c r="T40" s="59">
        <f t="shared" si="34"/>
        <v>340.94590122751879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37.56086047249179</v>
      </c>
      <c r="AA40" s="21">
        <f>EXP(-LN(2)/25)*AA39+(1-EXP(-LN(2)/25))/(LN(2)/25)*Calculateur!V40*Calculateur!X40*VLOOKUP('Données projet'!$B$9,Paramètres!$A$1:$I$89,3,0)*0.475*44/12</f>
        <v>13.284481823526043</v>
      </c>
      <c r="AB40" s="21">
        <f>EXP(-LN(2)/2)*AB39+(1-EXP(-LN(2)/2))/(LN(2)/2)*V40*Y40*VLOOKUP('Données projet'!$B$9,Paramètres!$A$1:$I$89,3,0)*0.475*44/12</f>
        <v>0.96255575595472831</v>
      </c>
      <c r="AC40" s="22">
        <f t="shared" si="3"/>
        <v>51.807898051972565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0</v>
      </c>
      <c r="AI40" s="13">
        <f>IF('Données projet'!$A$62&gt;35,AI39+AH40-AQ39,IF(A40&lt;'Données projet'!$A$62,$AF$205^A40,IF(A40='Données projet'!$A$62,'Données projet'!$B$62,AI39+AH40-AQ39)))</f>
        <v>0</v>
      </c>
      <c r="AJ40" s="13" t="e">
        <f>AI40*VLOOKUP('Données projet'!$B$10,Paramètres!$A$1:$I$89,3,0)*VLOOKUP('Données projet'!$B$10,Paramètres!$A$1:$I$89,5,0)</f>
        <v>#N/A</v>
      </c>
      <c r="AK40" s="13" t="e">
        <f t="shared" si="35"/>
        <v>#N/A</v>
      </c>
      <c r="AL40" s="20" t="e">
        <f t="shared" si="4"/>
        <v>#N/A</v>
      </c>
      <c r="AM40" s="59" t="e">
        <f t="shared" si="5"/>
        <v>#N/A</v>
      </c>
      <c r="AN40" s="59" t="e">
        <f ca="1">AVERAGE(OFFSET($AM$3,0,0,'Données projet'!$E$10+1,1))-AVERAGE(OFFSET($H$3,0,0,'Données projet'!$E$10+1,1))</f>
        <v>#N/A</v>
      </c>
      <c r="AO40" s="59" t="e">
        <f t="shared" si="36"/>
        <v>#N/A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 t="e">
        <f>EXP(-LN(2)/35)*AU39+(1-EXP(-LN(2)/35))/(LN(2)/35)*AQ40*AR40*VLOOKUP('Données projet'!$B$10,Paramètres!$A$1:$I$89,3,0)*0.475*44/12</f>
        <v>#N/A</v>
      </c>
      <c r="AV40" s="21" t="e">
        <f>EXP(-LN(2)/25)*AV39+(1-EXP(-LN(2)/25))/(LN(2)/25)*Calculateur!AQ40*Calculateur!AS40*VLOOKUP('Données projet'!$B$10,Paramètres!$A$1:$I$89,3,0)*0.475*44/12</f>
        <v>#N/A</v>
      </c>
      <c r="AW40" s="21" t="e">
        <f>EXP(-LN(2)/2)*AW39+(1-EXP(-LN(2)/2))/(LN(2)/2)*AQ40*AT40*VLOOKUP('Données projet'!$B$10,Paramètres!$A$1:$I$89,3,0)*0.475*44/12</f>
        <v>#N/A</v>
      </c>
      <c r="AX40" s="21" t="e">
        <f t="shared" si="6"/>
        <v>#N/A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2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22.723999999999997</v>
      </c>
      <c r="D41" s="11">
        <f t="shared" si="32"/>
        <v>7.2801783200166916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231.6112010667955</v>
      </c>
      <c r="H41" s="67">
        <f t="shared" si="1"/>
        <v>345.59061057402903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>
        <f>VLOOKUP(A41,'Données projet'!$A$35:$I$55,2,0)</f>
        <v>370.14</v>
      </c>
      <c r="L41" s="12">
        <f>VLOOKUP(A41,'Données projet'!$A$35:$I$55,9,0)</f>
        <v>18.466666666666669</v>
      </c>
      <c r="M41" s="12">
        <f t="array" ref="M41">INDEX(L:L,MIN(IF(ISNUMBER(L41:L237),ROW(L41:L237),"")))</f>
        <v>18.466666666666669</v>
      </c>
      <c r="N41" s="13">
        <f>IF('Données projet'!$A$36&gt;35,N40+M41-V40,IF(A41&lt;'Données projet'!$A$36,$K$205^A41,IF(A41='Données projet'!$A$36,'Données projet'!$B$36,N40+M41-V40)))</f>
        <v>370.1400000000001</v>
      </c>
      <c r="O41" s="13">
        <f>N41*VLOOKUP('Données projet'!$B$9,Paramètres!$A$1:$I$89,3,0)*VLOOKUP('Données projet'!$B$9,Paramètres!$A$1:$I$89,5,0)</f>
        <v>221.34372000000008</v>
      </c>
      <c r="P41" s="13">
        <f t="shared" si="33"/>
        <v>54.406833041944296</v>
      </c>
      <c r="Q41" s="20">
        <f t="shared" si="53"/>
        <v>480.26554654805312</v>
      </c>
      <c r="R41" s="59">
        <f t="shared" si="0"/>
        <v>773.59887988138644</v>
      </c>
      <c r="S41" s="59">
        <f ca="1">AVERAGE(OFFSET($R$3,0,0,'Données projet'!$E$9+1,1))-AVERAGE(OFFSET($H$3,0,0,'Données projet'!$E$9+1,1))</f>
        <v>232.5902129145469</v>
      </c>
      <c r="T41" s="59">
        <f t="shared" si="34"/>
        <v>340.94590122751879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36.824314908488951</v>
      </c>
      <c r="AA41" s="21">
        <f>EXP(-LN(2)/25)*AA40+(1-EXP(-LN(2)/25))/(LN(2)/25)*Calculateur!V41*Calculateur!X41*VLOOKUP('Données projet'!$B$9,Paramètres!$A$1:$I$89,3,0)*0.475*44/12</f>
        <v>12.921216969461186</v>
      </c>
      <c r="AB41" s="21">
        <f>EXP(-LN(2)/2)*AB40+(1-EXP(-LN(2)/2))/(LN(2)/2)*V41*Y41*VLOOKUP('Données projet'!$B$9,Paramètres!$A$1:$I$89,3,0)*0.475*44/12</f>
        <v>0.68062970230573194</v>
      </c>
      <c r="AC41" s="22">
        <f t="shared" si="3"/>
        <v>50.426161580255865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0</v>
      </c>
      <c r="AI41" s="13">
        <f>IF('Données projet'!$A$62&gt;35,AI40+AH41-AQ40,IF(A41&lt;'Données projet'!$A$62,$AF$205^A41,IF(A41='Données projet'!$A$62,'Données projet'!$B$62,AI40+AH41-AQ40)))</f>
        <v>0</v>
      </c>
      <c r="AJ41" s="13" t="e">
        <f>AI41*VLOOKUP('Données projet'!$B$10,Paramètres!$A$1:$I$89,3,0)*VLOOKUP('Données projet'!$B$10,Paramètres!$A$1:$I$89,5,0)</f>
        <v>#N/A</v>
      </c>
      <c r="AK41" s="13" t="e">
        <f t="shared" si="35"/>
        <v>#N/A</v>
      </c>
      <c r="AL41" s="20" t="e">
        <f t="shared" si="4"/>
        <v>#N/A</v>
      </c>
      <c r="AM41" s="59" t="e">
        <f t="shared" si="5"/>
        <v>#N/A</v>
      </c>
      <c r="AN41" s="59" t="e">
        <f ca="1">AVERAGE(OFFSET($AM$3,0,0,'Données projet'!$E$10+1,1))-AVERAGE(OFFSET($H$3,0,0,'Données projet'!$E$10+1,1))</f>
        <v>#N/A</v>
      </c>
      <c r="AO41" s="59" t="e">
        <f t="shared" si="36"/>
        <v>#N/A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 t="e">
        <f>EXP(-LN(2)/35)*AU40+(1-EXP(-LN(2)/35))/(LN(2)/35)*AQ41*AR41*VLOOKUP('Données projet'!$B$10,Paramètres!$A$1:$I$89,3,0)*0.475*44/12</f>
        <v>#N/A</v>
      </c>
      <c r="AV41" s="21" t="e">
        <f>EXP(-LN(2)/25)*AV40+(1-EXP(-LN(2)/25))/(LN(2)/25)*Calculateur!AQ41*Calculateur!AS41*VLOOKUP('Données projet'!$B$10,Paramètres!$A$1:$I$89,3,0)*0.475*44/12</f>
        <v>#N/A</v>
      </c>
      <c r="AW41" s="21" t="e">
        <f>EXP(-LN(2)/2)*AW40+(1-EXP(-LN(2)/2))/(LN(2)/2)*AQ41*AT41*VLOOKUP('Données projet'!$B$10,Paramètres!$A$1:$I$89,3,0)*0.475*44/12</f>
        <v>#N/A</v>
      </c>
      <c r="AX41" s="21" t="e">
        <f t="shared" si="6"/>
        <v>#N/A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2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23.321999999999996</v>
      </c>
      <c r="D42" s="11">
        <f t="shared" si="32"/>
        <v>7.4492048578268033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237.5321076744525</v>
      </c>
      <c r="H42" s="67">
        <f t="shared" si="1"/>
        <v>346.92651512738166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19.107142857142858</v>
      </c>
      <c r="N42" s="13">
        <f>IF('Données projet'!$A$36&gt;35,N41+M42-V41,IF(A42&lt;'Données projet'!$A$36,$K$205^A42,IF(A42='Données projet'!$A$36,'Données projet'!$B$36,N41+M42-V41)))</f>
        <v>389.24714285714293</v>
      </c>
      <c r="O42" s="13">
        <f>N42*VLOOKUP('Données projet'!$B$9,Paramètres!$A$1:$I$89,3,0)*VLOOKUP('Données projet'!$B$9,Paramètres!$A$1:$I$89,5,0)</f>
        <v>232.76979142857149</v>
      </c>
      <c r="P42" s="13">
        <f t="shared" si="33"/>
        <v>56.881157313738449</v>
      </c>
      <c r="Q42" s="20">
        <f t="shared" si="53"/>
        <v>504.47540239285649</v>
      </c>
      <c r="R42" s="59">
        <f t="shared" si="0"/>
        <v>797.80873572618975</v>
      </c>
      <c r="S42" s="59">
        <f ca="1">AVERAGE(OFFSET($R$3,0,0,'Données projet'!$E$9+1,1))-AVERAGE(OFFSET($H$3,0,0,'Données projet'!$E$9+1,1))</f>
        <v>232.5902129145469</v>
      </c>
      <c r="T42" s="59">
        <f t="shared" si="34"/>
        <v>340.94590122751879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36.102212553747776</v>
      </c>
      <c r="AA42" s="21">
        <f>EXP(-LN(2)/25)*AA41+(1-EXP(-LN(2)/25))/(LN(2)/25)*Calculateur!V42*Calculateur!X42*VLOOKUP('Données projet'!$B$9,Paramètres!$A$1:$I$89,3,0)*0.475*44/12</f>
        <v>12.567885611934001</v>
      </c>
      <c r="AB42" s="21">
        <f>EXP(-LN(2)/2)*AB41+(1-EXP(-LN(2)/2))/(LN(2)/2)*V42*Y42*VLOOKUP('Données projet'!$B$9,Paramètres!$A$1:$I$89,3,0)*0.475*44/12</f>
        <v>0.48127787797736421</v>
      </c>
      <c r="AC42" s="22">
        <f t="shared" si="3"/>
        <v>49.151376043659141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0</v>
      </c>
      <c r="AI42" s="13">
        <f>IF('Données projet'!$A$62&gt;35,AI41+AH42-AQ41,IF(A42&lt;'Données projet'!$A$62,$AF$205^A42,IF(A42='Données projet'!$A$62,'Données projet'!$B$62,AI41+AH42-AQ41)))</f>
        <v>0</v>
      </c>
      <c r="AJ42" s="13" t="e">
        <f>AI42*VLOOKUP('Données projet'!$B$10,Paramètres!$A$1:$I$89,3,0)*VLOOKUP('Données projet'!$B$10,Paramètres!$A$1:$I$89,5,0)</f>
        <v>#N/A</v>
      </c>
      <c r="AK42" s="13" t="e">
        <f t="shared" si="35"/>
        <v>#N/A</v>
      </c>
      <c r="AL42" s="20" t="e">
        <f t="shared" si="4"/>
        <v>#N/A</v>
      </c>
      <c r="AM42" s="59" t="e">
        <f t="shared" si="5"/>
        <v>#N/A</v>
      </c>
      <c r="AN42" s="59" t="e">
        <f ca="1">AVERAGE(OFFSET($AM$3,0,0,'Données projet'!$E$10+1,1))-AVERAGE(OFFSET($H$3,0,0,'Données projet'!$E$10+1,1))</f>
        <v>#N/A</v>
      </c>
      <c r="AO42" s="59" t="e">
        <f t="shared" si="36"/>
        <v>#N/A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 t="e">
        <f>EXP(-LN(2)/35)*AU41+(1-EXP(-LN(2)/35))/(LN(2)/35)*AQ42*AR42*VLOOKUP('Données projet'!$B$10,Paramètres!$A$1:$I$89,3,0)*0.475*44/12</f>
        <v>#N/A</v>
      </c>
      <c r="AV42" s="21" t="e">
        <f>EXP(-LN(2)/25)*AV41+(1-EXP(-LN(2)/25))/(LN(2)/25)*Calculateur!AQ42*Calculateur!AS42*VLOOKUP('Données projet'!$B$10,Paramètres!$A$1:$I$89,3,0)*0.475*44/12</f>
        <v>#N/A</v>
      </c>
      <c r="AW42" s="21" t="e">
        <f>EXP(-LN(2)/2)*AW41+(1-EXP(-LN(2)/2))/(LN(2)/2)*AQ42*AT42*VLOOKUP('Données projet'!$B$10,Paramètres!$A$1:$I$89,3,0)*0.475*44/12</f>
        <v>#N/A</v>
      </c>
      <c r="AX42" s="21" t="e">
        <f t="shared" si="6"/>
        <v>#N/A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2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23.919999999999995</v>
      </c>
      <c r="D43" s="11">
        <f t="shared" si="32"/>
        <v>7.6177276101832261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243.44912541194063</v>
      </c>
      <c r="H43" s="67">
        <f t="shared" si="1"/>
        <v>348.2615422544024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19.107142857142858</v>
      </c>
      <c r="N43" s="13">
        <f>IF('Données projet'!$A$36&gt;35,N42+M43-V42,IF(A43&lt;'Données projet'!$A$36,$K$205^A43,IF(A43='Données projet'!$A$36,'Données projet'!$B$36,N42+M43-V42)))</f>
        <v>408.35428571428577</v>
      </c>
      <c r="O43" s="13">
        <f>N43*VLOOKUP('Données projet'!$B$9,Paramètres!$A$1:$I$89,3,0)*VLOOKUP('Données projet'!$B$9,Paramètres!$A$1:$I$89,5,0)</f>
        <v>244.19586285714291</v>
      </c>
      <c r="P43" s="13">
        <f t="shared" si="33"/>
        <v>59.34137818128729</v>
      </c>
      <c r="Q43" s="20">
        <f t="shared" si="53"/>
        <v>528.66069480859915</v>
      </c>
      <c r="R43" s="59">
        <f t="shared" si="0"/>
        <v>821.9940281419324</v>
      </c>
      <c r="S43" s="59">
        <f ca="1">AVERAGE(OFFSET($R$3,0,0,'Données projet'!$E$9+1,1))-AVERAGE(OFFSET($H$3,0,0,'Données projet'!$E$9+1,1))</f>
        <v>232.5902129145469</v>
      </c>
      <c r="T43" s="59">
        <f t="shared" si="34"/>
        <v>340.94590122751879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35.394270185744126</v>
      </c>
      <c r="AA43" s="21">
        <f>EXP(-LN(2)/25)*AA42+(1-EXP(-LN(2)/25))/(LN(2)/25)*Calculateur!V43*Calculateur!X43*VLOOKUP('Données projet'!$B$9,Paramètres!$A$1:$I$89,3,0)*0.475*44/12</f>
        <v>12.224216118959285</v>
      </c>
      <c r="AB43" s="21">
        <f>EXP(-LN(2)/2)*AB42+(1-EXP(-LN(2)/2))/(LN(2)/2)*V43*Y43*VLOOKUP('Données projet'!$B$9,Paramètres!$A$1:$I$89,3,0)*0.475*44/12</f>
        <v>0.34031485115286603</v>
      </c>
      <c r="AC43" s="22">
        <f t="shared" si="3"/>
        <v>47.958801155856278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 t="e">
        <f>VLOOKUP(A43,'Données projet'!$A$61:$I$81,2,0)</f>
        <v>#N/A</v>
      </c>
      <c r="AG43" s="12" t="e">
        <f>VLOOKUP(A43,'Données projet'!$A$61:$I$81,9,0)</f>
        <v>#N/A</v>
      </c>
      <c r="AH43" s="12">
        <f t="array" ref="AH43">INDEX(AG:AG,MIN(IF(ISNUMBER(AG43:AG239),ROW(AG43:AG239),"")))</f>
        <v>0</v>
      </c>
      <c r="AI43" s="13">
        <f>IF('Données projet'!$A$62&gt;35,AI42+AH43-AQ42,IF(A43&lt;'Données projet'!$A$62,$AF$205^A43,IF(A43='Données projet'!$A$62,'Données projet'!$B$62,AI42+AH43-AQ42)))</f>
        <v>0</v>
      </c>
      <c r="AJ43" s="13" t="e">
        <f>AI43*VLOOKUP('Données projet'!$B$10,Paramètres!$A$1:$I$89,3,0)*VLOOKUP('Données projet'!$B$10,Paramètres!$A$1:$I$89,5,0)</f>
        <v>#N/A</v>
      </c>
      <c r="AK43" s="13" t="e">
        <f t="shared" si="35"/>
        <v>#N/A</v>
      </c>
      <c r="AL43" s="20" t="e">
        <f t="shared" si="4"/>
        <v>#N/A</v>
      </c>
      <c r="AM43" s="59" t="e">
        <f t="shared" si="5"/>
        <v>#N/A</v>
      </c>
      <c r="AN43" s="59" t="e">
        <f ca="1">AVERAGE(OFFSET($AM$3,0,0,'Données projet'!$E$10+1,1))-AVERAGE(OFFSET($H$3,0,0,'Données projet'!$E$10+1,1))</f>
        <v>#N/A</v>
      </c>
      <c r="AO43" s="59" t="e">
        <f t="shared" si="36"/>
        <v>#N/A</v>
      </c>
      <c r="AP43" s="15">
        <f>IF(ISNA(VLOOKUP(A43,'Données projet'!$A$61:$I$81,3,0)),0,VLOOKUP(A43,'Données projet'!$A$61:$I$81,3,0))</f>
        <v>0</v>
      </c>
      <c r="AQ43" s="15">
        <f>IF(ISNA(VLOOKUP(A43,'Données projet'!$A$61:$I$81,4,0)),0,VLOOKUP(A43,'Données projet'!$A$61:$I$81,4,0))</f>
        <v>0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 t="e">
        <f>EXP(-LN(2)/35)*AU42+(1-EXP(-LN(2)/35))/(LN(2)/35)*AQ43*AR43*VLOOKUP('Données projet'!$B$10,Paramètres!$A$1:$I$89,3,0)*0.475*44/12</f>
        <v>#N/A</v>
      </c>
      <c r="AV43" s="21" t="e">
        <f>EXP(-LN(2)/25)*AV42+(1-EXP(-LN(2)/25))/(LN(2)/25)*Calculateur!AQ43*Calculateur!AS43*VLOOKUP('Données projet'!$B$10,Paramètres!$A$1:$I$89,3,0)*0.475*44/12</f>
        <v>#N/A</v>
      </c>
      <c r="AW43" s="21" t="e">
        <f>EXP(-LN(2)/2)*AW42+(1-EXP(-LN(2)/2))/(LN(2)/2)*AQ43*AT43*VLOOKUP('Données projet'!$B$10,Paramètres!$A$1:$I$89,3,0)*0.475*44/12</f>
        <v>#N/A</v>
      </c>
      <c r="AX43" s="21" t="e">
        <f t="shared" si="6"/>
        <v>#N/A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2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24.517999999999994</v>
      </c>
      <c r="D44" s="11">
        <f t="shared" si="32"/>
        <v>7.7857606202588796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249.36236268270008</v>
      </c>
      <c r="H44" s="67">
        <f t="shared" si="1"/>
        <v>349.59571641361754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19.107142857142858</v>
      </c>
      <c r="N44" s="13">
        <f>IF('Données projet'!$A$36&gt;35,N43+M44-V43,IF(A44&lt;'Données projet'!$A$36,$K$205^A44,IF(A44='Données projet'!$A$36,'Données projet'!$B$36,N43+M44-V43)))</f>
        <v>427.4614285714286</v>
      </c>
      <c r="O44" s="13">
        <f>N44*VLOOKUP('Données projet'!$B$9,Paramètres!$A$1:$I$89,3,0)*VLOOKUP('Données projet'!$B$9,Paramètres!$A$1:$I$89,5,0)</f>
        <v>255.6219342857143</v>
      </c>
      <c r="P44" s="13">
        <f t="shared" si="33"/>
        <v>61.788230910521683</v>
      </c>
      <c r="Q44" s="20">
        <f t="shared" si="53"/>
        <v>552.82270438344437</v>
      </c>
      <c r="R44" s="59">
        <f t="shared" si="0"/>
        <v>846.15603771677775</v>
      </c>
      <c r="S44" s="59">
        <f ca="1">AVERAGE(OFFSET($R$3,0,0,'Données projet'!$E$9+1,1))-AVERAGE(OFFSET($H$3,0,0,'Données projet'!$E$9+1,1))</f>
        <v>232.5902129145469</v>
      </c>
      <c r="T44" s="59">
        <f t="shared" si="34"/>
        <v>340.94590122751879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34.700210135774824</v>
      </c>
      <c r="AA44" s="21">
        <f>EXP(-LN(2)/25)*AA43+(1-EXP(-LN(2)/25))/(LN(2)/25)*Calculateur!V44*Calculateur!X44*VLOOKUP('Données projet'!$B$9,Paramètres!$A$1:$I$89,3,0)*0.475*44/12</f>
        <v>11.889944286342757</v>
      </c>
      <c r="AB44" s="21">
        <f>EXP(-LN(2)/2)*AB43+(1-EXP(-LN(2)/2))/(LN(2)/2)*V44*Y44*VLOOKUP('Données projet'!$B$9,Paramètres!$A$1:$I$89,3,0)*0.475*44/12</f>
        <v>0.24063893898868213</v>
      </c>
      <c r="AC44" s="22">
        <f t="shared" si="3"/>
        <v>46.830793361106259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0</v>
      </c>
      <c r="AI44" s="13">
        <f>IF('Données projet'!$A$62&gt;35,AI43+AH44-AQ43,IF(A44&lt;'Données projet'!$A$62,$AF$205^A44,IF(A44='Données projet'!$A$62,'Données projet'!$B$62,AI43+AH44-AQ43)))</f>
        <v>0</v>
      </c>
      <c r="AJ44" s="13" t="e">
        <f>AI44*VLOOKUP('Données projet'!$B$10,Paramètres!$A$1:$I$89,3,0)*VLOOKUP('Données projet'!$B$10,Paramètres!$A$1:$I$89,5,0)</f>
        <v>#N/A</v>
      </c>
      <c r="AK44" s="13" t="e">
        <f t="shared" si="35"/>
        <v>#N/A</v>
      </c>
      <c r="AL44" s="20" t="e">
        <f t="shared" si="4"/>
        <v>#N/A</v>
      </c>
      <c r="AM44" s="59" t="e">
        <f t="shared" si="5"/>
        <v>#N/A</v>
      </c>
      <c r="AN44" s="59" t="e">
        <f ca="1">AVERAGE(OFFSET($AM$3,0,0,'Données projet'!$E$10+1,1))-AVERAGE(OFFSET($H$3,0,0,'Données projet'!$E$10+1,1))</f>
        <v>#N/A</v>
      </c>
      <c r="AO44" s="59" t="e">
        <f t="shared" si="36"/>
        <v>#N/A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 t="e">
        <f>EXP(-LN(2)/35)*AU43+(1-EXP(-LN(2)/35))/(LN(2)/35)*AQ44*AR44*VLOOKUP('Données projet'!$B$10,Paramètres!$A$1:$I$89,3,0)*0.475*44/12</f>
        <v>#N/A</v>
      </c>
      <c r="AV44" s="21" t="e">
        <f>EXP(-LN(2)/25)*AV43+(1-EXP(-LN(2)/25))/(LN(2)/25)*Calculateur!AQ44*Calculateur!AS44*VLOOKUP('Données projet'!$B$10,Paramètres!$A$1:$I$89,3,0)*0.475*44/12</f>
        <v>#N/A</v>
      </c>
      <c r="AW44" s="21" t="e">
        <f>EXP(-LN(2)/2)*AW43+(1-EXP(-LN(2)/2))/(LN(2)/2)*AQ44*AT44*VLOOKUP('Données projet'!$B$10,Paramètres!$A$1:$I$89,3,0)*0.475*44/12</f>
        <v>#N/A</v>
      </c>
      <c r="AX44" s="21" t="e">
        <f t="shared" si="6"/>
        <v>#N/A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2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25.115999999999993</v>
      </c>
      <c r="D45" s="11">
        <f t="shared" si="32"/>
        <v>7.9533172071366991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255.27192230070429</v>
      </c>
      <c r="H45" s="67">
        <f t="shared" si="1"/>
        <v>350.92906080242972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19.107142857142858</v>
      </c>
      <c r="N45" s="13">
        <f>IF('Données projet'!$A$36&gt;35,N44+M45-V44,IF(A45&lt;'Données projet'!$A$36,$K$205^A45,IF(A45='Données projet'!$A$36,'Données projet'!$B$36,N44+M45-V44)))</f>
        <v>446.56857142857143</v>
      </c>
      <c r="O45" s="13">
        <f>N45*VLOOKUP('Données projet'!$B$9,Paramètres!$A$1:$I$89,3,0)*VLOOKUP('Données projet'!$B$9,Paramètres!$A$1:$I$89,5,0)</f>
        <v>267.04800571428575</v>
      </c>
      <c r="P45" s="13">
        <f t="shared" si="33"/>
        <v>64.22238131980049</v>
      </c>
      <c r="Q45" s="20">
        <f t="shared" si="53"/>
        <v>576.96259075103353</v>
      </c>
      <c r="R45" s="59">
        <f t="shared" si="0"/>
        <v>870.29592408436679</v>
      </c>
      <c r="S45" s="59">
        <f ca="1">AVERAGE(OFFSET($R$3,0,0,'Données projet'!$E$9+1,1))-AVERAGE(OFFSET($H$3,0,0,'Données projet'!$E$9+1,1))</f>
        <v>232.5902129145469</v>
      </c>
      <c r="T45" s="59">
        <f t="shared" si="34"/>
        <v>340.94590122751879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34.019760180050589</v>
      </c>
      <c r="AA45" s="21">
        <f>EXP(-LN(2)/25)*AA44+(1-EXP(-LN(2)/25))/(LN(2)/25)*Calculateur!V45*Calculateur!X45*VLOOKUP('Données projet'!$B$9,Paramètres!$A$1:$I$89,3,0)*0.475*44/12</f>
        <v>11.56481313456772</v>
      </c>
      <c r="AB45" s="21">
        <f>EXP(-LN(2)/2)*AB44+(1-EXP(-LN(2)/2))/(LN(2)/2)*V45*Y45*VLOOKUP('Données projet'!$B$9,Paramètres!$A$1:$I$89,3,0)*0.475*44/12</f>
        <v>0.17015742557643304</v>
      </c>
      <c r="AC45" s="22">
        <f t="shared" si="3"/>
        <v>45.754730740194745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0</v>
      </c>
      <c r="AI45" s="13">
        <f>IF('Données projet'!$A$62&gt;35,AI44+AH45-AQ44,IF(A45&lt;'Données projet'!$A$62,$AF$205^A45,IF(A45='Données projet'!$A$62,'Données projet'!$B$62,AI44+AH45-AQ44)))</f>
        <v>0</v>
      </c>
      <c r="AJ45" s="13" t="e">
        <f>AI45*VLOOKUP('Données projet'!$B$10,Paramètres!$A$1:$I$89,3,0)*VLOOKUP('Données projet'!$B$10,Paramètres!$A$1:$I$89,5,0)</f>
        <v>#N/A</v>
      </c>
      <c r="AK45" s="13" t="e">
        <f t="shared" si="35"/>
        <v>#N/A</v>
      </c>
      <c r="AL45" s="20" t="e">
        <f t="shared" si="4"/>
        <v>#N/A</v>
      </c>
      <c r="AM45" s="59" t="e">
        <f t="shared" si="5"/>
        <v>#N/A</v>
      </c>
      <c r="AN45" s="59" t="e">
        <f ca="1">AVERAGE(OFFSET($AM$3,0,0,'Données projet'!$E$10+1,1))-AVERAGE(OFFSET($H$3,0,0,'Données projet'!$E$10+1,1))</f>
        <v>#N/A</v>
      </c>
      <c r="AO45" s="59" t="e">
        <f t="shared" si="36"/>
        <v>#N/A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 t="e">
        <f>EXP(-LN(2)/35)*AU44+(1-EXP(-LN(2)/35))/(LN(2)/35)*AQ45*AR45*VLOOKUP('Données projet'!$B$10,Paramètres!$A$1:$I$89,3,0)*0.475*44/12</f>
        <v>#N/A</v>
      </c>
      <c r="AV45" s="21" t="e">
        <f>EXP(-LN(2)/25)*AV44+(1-EXP(-LN(2)/25))/(LN(2)/25)*Calculateur!AQ45*Calculateur!AS45*VLOOKUP('Données projet'!$B$10,Paramètres!$A$1:$I$89,3,0)*0.475*44/12</f>
        <v>#N/A</v>
      </c>
      <c r="AW45" s="21" t="e">
        <f>EXP(-LN(2)/2)*AW44+(1-EXP(-LN(2)/2))/(LN(2)/2)*AQ45*AT45*VLOOKUP('Données projet'!$B$10,Paramètres!$A$1:$I$89,3,0)*0.475*44/12</f>
        <v>#N/A</v>
      </c>
      <c r="AX45" s="21" t="e">
        <f t="shared" si="6"/>
        <v>#N/A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2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25.713999999999992</v>
      </c>
      <c r="D46" s="11">
        <f t="shared" si="32"/>
        <v>8.1204100194831259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261.17790190478195</v>
      </c>
      <c r="H46" s="67">
        <f t="shared" si="1"/>
        <v>352.26159745059977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19.107142857142858</v>
      </c>
      <c r="N46" s="13">
        <f>IF('Données projet'!$A$36&gt;35,N45+M46-V45,IF(A46&lt;'Données projet'!$A$36,$K$205^A46,IF(A46='Données projet'!$A$36,'Données projet'!$B$36,N45+M46-V45)))</f>
        <v>465.67571428571426</v>
      </c>
      <c r="O46" s="13">
        <f>N46*VLOOKUP('Données projet'!$B$9,Paramètres!$A$1:$I$89,3,0)*VLOOKUP('Données projet'!$B$9,Paramètres!$A$1:$I$89,5,0)</f>
        <v>278.47407714285714</v>
      </c>
      <c r="P46" s="13">
        <f t="shared" si="33"/>
        <v>66.644435028756277</v>
      </c>
      <c r="Q46" s="20">
        <f t="shared" si="53"/>
        <v>601.08140869889337</v>
      </c>
      <c r="R46" s="59">
        <f t="shared" si="0"/>
        <v>894.41474203222674</v>
      </c>
      <c r="S46" s="59">
        <f ca="1">AVERAGE(OFFSET($R$3,0,0,'Données projet'!$E$9+1,1))-AVERAGE(OFFSET($H$3,0,0,'Données projet'!$E$9+1,1))</f>
        <v>232.5902129145469</v>
      </c>
      <c r="T46" s="59">
        <f t="shared" si="34"/>
        <v>340.94590122751879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33.352653432924612</v>
      </c>
      <c r="AA46" s="21">
        <f>EXP(-LN(2)/25)*AA45+(1-EXP(-LN(2)/25))/(LN(2)/25)*Calculateur!V46*Calculateur!X46*VLOOKUP('Données projet'!$B$9,Paramètres!$A$1:$I$89,3,0)*0.475*44/12</f>
        <v>11.248572711235875</v>
      </c>
      <c r="AB46" s="21">
        <f>EXP(-LN(2)/2)*AB45+(1-EXP(-LN(2)/2))/(LN(2)/2)*V46*Y46*VLOOKUP('Données projet'!$B$9,Paramètres!$A$1:$I$89,3,0)*0.475*44/12</f>
        <v>0.12031946949434109</v>
      </c>
      <c r="AC46" s="22">
        <f t="shared" si="3"/>
        <v>44.721545613654826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0</v>
      </c>
      <c r="AI46" s="13">
        <f>IF('Données projet'!$A$62&gt;35,AI45+AH46-AQ45,IF(A46&lt;'Données projet'!$A$62,$AF$205^A46,IF(A46='Données projet'!$A$62,'Données projet'!$B$62,AI45+AH46-AQ45)))</f>
        <v>0</v>
      </c>
      <c r="AJ46" s="13" t="e">
        <f>AI46*VLOOKUP('Données projet'!$B$10,Paramètres!$A$1:$I$89,3,0)*VLOOKUP('Données projet'!$B$10,Paramètres!$A$1:$I$89,5,0)</f>
        <v>#N/A</v>
      </c>
      <c r="AK46" s="13" t="e">
        <f t="shared" si="35"/>
        <v>#N/A</v>
      </c>
      <c r="AL46" s="20" t="e">
        <f t="shared" si="4"/>
        <v>#N/A</v>
      </c>
      <c r="AM46" s="59" t="e">
        <f t="shared" si="5"/>
        <v>#N/A</v>
      </c>
      <c r="AN46" s="59" t="e">
        <f ca="1">AVERAGE(OFFSET($AM$3,0,0,'Données projet'!$E$10+1,1))-AVERAGE(OFFSET($H$3,0,0,'Données projet'!$E$10+1,1))</f>
        <v>#N/A</v>
      </c>
      <c r="AO46" s="59" t="e">
        <f t="shared" si="36"/>
        <v>#N/A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 t="e">
        <f>EXP(-LN(2)/35)*AU45+(1-EXP(-LN(2)/35))/(LN(2)/35)*AQ46*AR46*VLOOKUP('Données projet'!$B$10,Paramètres!$A$1:$I$89,3,0)*0.475*44/12</f>
        <v>#N/A</v>
      </c>
      <c r="AV46" s="21" t="e">
        <f>EXP(-LN(2)/25)*AV45+(1-EXP(-LN(2)/25))/(LN(2)/25)*Calculateur!AQ46*Calculateur!AS46*VLOOKUP('Données projet'!$B$10,Paramètres!$A$1:$I$89,3,0)*0.475*44/12</f>
        <v>#N/A</v>
      </c>
      <c r="AW46" s="21" t="e">
        <f>EXP(-LN(2)/2)*AW45+(1-EXP(-LN(2)/2))/(LN(2)/2)*AQ46*AT46*VLOOKUP('Données projet'!$B$10,Paramètres!$A$1:$I$89,3,0)*0.475*44/12</f>
        <v>#N/A</v>
      </c>
      <c r="AX46" s="21" t="e">
        <f t="shared" si="6"/>
        <v>#N/A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2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26.311999999999991</v>
      </c>
      <c r="D47" s="11">
        <f t="shared" si="32"/>
        <v>8.2870510840880431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267.08039433331112</v>
      </c>
      <c r="H47" s="67">
        <f t="shared" si="1"/>
        <v>353.59334730478662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19.107142857142858</v>
      </c>
      <c r="N47" s="13">
        <f>IF('Données projet'!$A$36&gt;35,N46+M47-V46,IF(A47&lt;'Données projet'!$A$36,$K$205^A47,IF(A47='Données projet'!$A$36,'Données projet'!$B$36,N46+M47-V46)))</f>
        <v>484.7828571428571</v>
      </c>
      <c r="O47" s="13">
        <f>N47*VLOOKUP('Données projet'!$B$9,Paramètres!$A$1:$I$89,3,0)*VLOOKUP('Données projet'!$B$9,Paramètres!$A$1:$I$89,5,0)</f>
        <v>289.90014857142853</v>
      </c>
      <c r="P47" s="13">
        <f t="shared" si="33"/>
        <v>69.054945146427841</v>
      </c>
      <c r="Q47" s="20">
        <f t="shared" si="53"/>
        <v>625.18012155859981</v>
      </c>
      <c r="R47" s="59">
        <f t="shared" si="0"/>
        <v>918.51345489193318</v>
      </c>
      <c r="S47" s="59">
        <f ca="1">AVERAGE(OFFSET($R$3,0,0,'Données projet'!$E$9+1,1))-AVERAGE(OFFSET($H$3,0,0,'Données projet'!$E$9+1,1))</f>
        <v>232.5902129145469</v>
      </c>
      <c r="T47" s="59">
        <f t="shared" si="34"/>
        <v>340.94590122751879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32.698628242214838</v>
      </c>
      <c r="AA47" s="21">
        <f>EXP(-LN(2)/25)*AA46+(1-EXP(-LN(2)/25))/(LN(2)/25)*Calculateur!V47*Calculateur!X47*VLOOKUP('Données projet'!$B$9,Paramètres!$A$1:$I$89,3,0)*0.475*44/12</f>
        <v>10.940979898910401</v>
      </c>
      <c r="AB47" s="21">
        <f>EXP(-LN(2)/2)*AB46+(1-EXP(-LN(2)/2))/(LN(2)/2)*V47*Y47*VLOOKUP('Données projet'!$B$9,Paramètres!$A$1:$I$89,3,0)*0.475*44/12</f>
        <v>8.5078712788216534E-2</v>
      </c>
      <c r="AC47" s="22">
        <f t="shared" si="3"/>
        <v>43.724686853913454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0</v>
      </c>
      <c r="AI47" s="13">
        <f>IF('Données projet'!$A$62&gt;35,AI46+AH47-AQ46,IF(A47&lt;'Données projet'!$A$62,$AF$205^A47,IF(A47='Données projet'!$A$62,'Données projet'!$B$62,AI46+AH47-AQ46)))</f>
        <v>0</v>
      </c>
      <c r="AJ47" s="13" t="e">
        <f>AI47*VLOOKUP('Données projet'!$B$10,Paramètres!$A$1:$I$89,3,0)*VLOOKUP('Données projet'!$B$10,Paramètres!$A$1:$I$89,5,0)</f>
        <v>#N/A</v>
      </c>
      <c r="AK47" s="13" t="e">
        <f t="shared" si="35"/>
        <v>#N/A</v>
      </c>
      <c r="AL47" s="20" t="e">
        <f t="shared" si="4"/>
        <v>#N/A</v>
      </c>
      <c r="AM47" s="59" t="e">
        <f t="shared" si="5"/>
        <v>#N/A</v>
      </c>
      <c r="AN47" s="59" t="e">
        <f ca="1">AVERAGE(OFFSET($AM$3,0,0,'Données projet'!$E$10+1,1))-AVERAGE(OFFSET($H$3,0,0,'Données projet'!$E$10+1,1))</f>
        <v>#N/A</v>
      </c>
      <c r="AO47" s="59" t="e">
        <f t="shared" si="36"/>
        <v>#N/A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 t="e">
        <f>EXP(-LN(2)/35)*AU46+(1-EXP(-LN(2)/35))/(LN(2)/35)*AQ47*AR47*VLOOKUP('Données projet'!$B$10,Paramètres!$A$1:$I$89,3,0)*0.475*44/12</f>
        <v>#N/A</v>
      </c>
      <c r="AV47" s="21" t="e">
        <f>EXP(-LN(2)/25)*AV46+(1-EXP(-LN(2)/25))/(LN(2)/25)*Calculateur!AQ47*Calculateur!AS47*VLOOKUP('Données projet'!$B$10,Paramètres!$A$1:$I$89,3,0)*0.475*44/12</f>
        <v>#N/A</v>
      </c>
      <c r="AW47" s="21" t="e">
        <f>EXP(-LN(2)/2)*AW46+(1-EXP(-LN(2)/2))/(LN(2)/2)*AQ47*AT47*VLOOKUP('Données projet'!$B$10,Paramètres!$A$1:$I$89,3,0)*0.475*44/12</f>
        <v>#N/A</v>
      </c>
      <c r="AX47" s="21" t="e">
        <f t="shared" si="6"/>
        <v>#N/A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2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26.909999999999989</v>
      </c>
      <c r="D48" s="11">
        <f t="shared" si="32"/>
        <v>8.4532518498676339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272.97948796389045</v>
      </c>
      <c r="H48" s="67">
        <f t="shared" si="1"/>
        <v>354.92433030518612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>
        <f>VLOOKUP(A48,'Données projet'!$A$35:$I$55,2,0)</f>
        <v>503.89</v>
      </c>
      <c r="L48" s="12">
        <f>VLOOKUP(A48,'Données projet'!$A$35:$I$55,9,0)</f>
        <v>19.107142857142858</v>
      </c>
      <c r="M48" s="12">
        <f t="array" ref="M48">INDEX(L:L,MIN(IF(ISNUMBER(L48:L244),ROW(L48:L244),"")))</f>
        <v>19.107142857142858</v>
      </c>
      <c r="N48" s="13">
        <f>IF('Données projet'!$A$36&gt;35,N47+M48-V47,IF(A48&lt;'Données projet'!$A$36,$K$205^A48,IF(A48='Données projet'!$A$36,'Données projet'!$B$36,N47+M48-V47)))</f>
        <v>503.88999999999993</v>
      </c>
      <c r="O48" s="13">
        <f>N48*VLOOKUP('Données projet'!$B$9,Paramètres!$A$1:$I$89,3,0)*VLOOKUP('Données projet'!$B$9,Paramètres!$A$1:$I$89,5,0)</f>
        <v>301.32621999999998</v>
      </c>
      <c r="P48" s="13">
        <f t="shared" si="33"/>
        <v>71.45441871320989</v>
      </c>
      <c r="Q48" s="20">
        <f t="shared" si="53"/>
        <v>649.25961242550727</v>
      </c>
      <c r="R48" s="59">
        <f t="shared" si="0"/>
        <v>942.59294575884064</v>
      </c>
      <c r="S48" s="59">
        <f ca="1">AVERAGE(OFFSET($R$3,0,0,'Données projet'!$E$9+1,1))-AVERAGE(OFFSET($H$3,0,0,'Données projet'!$E$9+1,1))</f>
        <v>232.5902129145469</v>
      </c>
      <c r="T48" s="59">
        <f t="shared" si="34"/>
        <v>340.94590122751879</v>
      </c>
      <c r="U48" s="15">
        <f>IF(ISNA(VLOOKUP(A48,'Données projet'!$A$35:$I$55,3,0)),0,VLOOKUP(A48,'Données projet'!$A$35:$I$55,3,0))</f>
        <v>5</v>
      </c>
      <c r="V48" s="15">
        <f>IF(ISNA(VLOOKUP(A48,'Données projet'!$A$35:$I$55,4,0)),0,VLOOKUP(A48,'Données projet'!$A$35:$I$55,4,0))</f>
        <v>503.89</v>
      </c>
      <c r="W48" s="16">
        <f>IF(ISNA(VLOOKUP(A48,'Données projet'!$A$35:$I$55,5,0)),0%,VLOOKUP(A48,'Données projet'!$A$35:$I$55,5,0)*VLOOKUP('Données projet'!$B$9,Paramètres!$A$1:$I$89,7,0))</f>
        <v>0.40500000000000003</v>
      </c>
      <c r="X48" s="16">
        <f>IF(ISNA(VLOOKUP(A48,'Données projet'!$A$35:$I$55,6,0)),0%,VLOOKUP(A48,'Données projet'!$A$35:$I$55,6,0)*VLOOKUP('Données projet'!$B$9,Paramètres!$A$1:$I$89,7,0))</f>
        <v>2.7E-2</v>
      </c>
      <c r="Y48" s="16">
        <f>IF(ISNA(VLOOKUP(A48,'Données projet'!$A$35:$I$55,7,0)),0%,VLOOKUP(A48,'Données projet'!$A$35:$I$55,7,0))</f>
        <v>0.04</v>
      </c>
      <c r="Z48" s="21">
        <f>EXP(-LN(2)/35)*Z47+(1-EXP(-LN(2)/35))/(LN(2)/35)*V48*W48*VLOOKUP('Données projet'!$B$9,Paramètres!$A$1:$I$89,3,0)*0.475*44/12</f>
        <v>193.94753252888071</v>
      </c>
      <c r="AA48" s="21">
        <f>EXP(-LN(2)/25)*AA47+(1-EXP(-LN(2)/25))/(LN(2)/25)*Calculateur!V48*Calculateur!X48*VLOOKUP('Données projet'!$B$9,Paramètres!$A$1:$I$89,3,0)*0.475*44/12</f>
        <v>21.391976989290015</v>
      </c>
      <c r="AB48" s="21">
        <f>EXP(-LN(2)/2)*AB47+(1-EXP(-LN(2)/2))/(LN(2)/2)*V48*Y48*VLOOKUP('Données projet'!$B$9,Paramètres!$A$1:$I$89,3,0)*0.475*44/12</f>
        <v>13.707010869769784</v>
      </c>
      <c r="AC48" s="22">
        <f t="shared" si="3"/>
        <v>229.04652038794052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0</v>
      </c>
      <c r="AI48" s="13">
        <f>IF('Données projet'!$A$62&gt;35,AI47+AH48-AQ47,IF(A48&lt;'Données projet'!$A$62,$AF$205^A48,IF(A48='Données projet'!$A$62,'Données projet'!$B$62,AI47+AH48-AQ47)))</f>
        <v>0</v>
      </c>
      <c r="AJ48" s="13" t="e">
        <f>AI48*VLOOKUP('Données projet'!$B$10,Paramètres!$A$1:$I$89,3,0)*VLOOKUP('Données projet'!$B$10,Paramètres!$A$1:$I$89,5,0)</f>
        <v>#N/A</v>
      </c>
      <c r="AK48" s="13" t="e">
        <f t="shared" si="35"/>
        <v>#N/A</v>
      </c>
      <c r="AL48" s="20" t="e">
        <f t="shared" si="4"/>
        <v>#N/A</v>
      </c>
      <c r="AM48" s="59" t="e">
        <f t="shared" si="5"/>
        <v>#N/A</v>
      </c>
      <c r="AN48" s="59" t="e">
        <f ca="1">AVERAGE(OFFSET($AM$3,0,0,'Données projet'!$E$10+1,1))-AVERAGE(OFFSET($H$3,0,0,'Données projet'!$E$10+1,1))</f>
        <v>#N/A</v>
      </c>
      <c r="AO48" s="59" t="e">
        <f t="shared" si="36"/>
        <v>#N/A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 t="e">
        <f>EXP(-LN(2)/35)*AU47+(1-EXP(-LN(2)/35))/(LN(2)/35)*AQ48*AR48*VLOOKUP('Données projet'!$B$10,Paramètres!$A$1:$I$89,3,0)*0.475*44/12</f>
        <v>#N/A</v>
      </c>
      <c r="AV48" s="21" t="e">
        <f>EXP(-LN(2)/25)*AV47+(1-EXP(-LN(2)/25))/(LN(2)/25)*Calculateur!AQ48*Calculateur!AS48*VLOOKUP('Données projet'!$B$10,Paramètres!$A$1:$I$89,3,0)*0.475*44/12</f>
        <v>#N/A</v>
      </c>
      <c r="AW48" s="21" t="e">
        <f>EXP(-LN(2)/2)*AW47+(1-EXP(-LN(2)/2))/(LN(2)/2)*AQ48*AT48*VLOOKUP('Données projet'!$B$10,Paramètres!$A$1:$I$89,3,0)*0.475*44/12</f>
        <v>#N/A</v>
      </c>
      <c r="AX48" s="21" t="e">
        <f t="shared" si="6"/>
        <v>#N/A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2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27.507999999999988</v>
      </c>
      <c r="D49" s="11">
        <f t="shared" si="32"/>
        <v>8.6190232278455454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278.87526702196556</v>
      </c>
      <c r="H49" s="67">
        <f t="shared" si="1"/>
        <v>356.25456545516431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0</v>
      </c>
      <c r="N49" s="13">
        <f>IF('Données projet'!$A$36&gt;35,N48+M49-V48,IF(A49&lt;'Données projet'!$A$36,$K$205^A49,IF(A49='Données projet'!$A$36,'Données projet'!$B$36,N48+M49-V48)))</f>
        <v>-5.6843418860808015E-14</v>
      </c>
      <c r="O49" s="13">
        <f>N49*VLOOKUP('Données projet'!$B$9,Paramètres!$A$1:$I$89,3,0)*VLOOKUP('Données projet'!$B$9,Paramètres!$A$1:$I$89,5,0)</f>
        <v>-3.3992364478763198E-14</v>
      </c>
      <c r="P49" s="13" t="e">
        <f t="shared" si="33"/>
        <v>#NUM!</v>
      </c>
      <c r="Q49" s="20" t="e">
        <f t="shared" si="53"/>
        <v>#NUM!</v>
      </c>
      <c r="R49" s="59" t="e">
        <f t="shared" si="0"/>
        <v>#NUM!</v>
      </c>
      <c r="S49" s="59">
        <f ca="1">AVERAGE(OFFSET($R$3,0,0,'Données projet'!$E$9+1,1))-AVERAGE(OFFSET($H$3,0,0,'Données projet'!$E$9+1,1))</f>
        <v>232.5902129145469</v>
      </c>
      <c r="T49" s="59">
        <f t="shared" si="34"/>
        <v>340.94590122751879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190.14433971230341</v>
      </c>
      <c r="AA49" s="21">
        <f>EXP(-LN(2)/25)*AA48+(1-EXP(-LN(2)/25))/(LN(2)/25)*Calculateur!V49*Calculateur!X49*VLOOKUP('Données projet'!$B$9,Paramètres!$A$1:$I$89,3,0)*0.475*44/12</f>
        <v>20.8070122535627</v>
      </c>
      <c r="AB49" s="21">
        <f>EXP(-LN(2)/2)*AB48+(1-EXP(-LN(2)/2))/(LN(2)/2)*V49*Y49*VLOOKUP('Données projet'!$B$9,Paramètres!$A$1:$I$89,3,0)*0.475*44/12</f>
        <v>9.6923203358119316</v>
      </c>
      <c r="AC49" s="22">
        <f t="shared" si="3"/>
        <v>220.64367230167804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0</v>
      </c>
      <c r="AI49" s="13">
        <f>IF('Données projet'!$A$62&gt;35,AI48+AH49-AQ48,IF(A49&lt;'Données projet'!$A$62,$AF$205^A49,IF(A49='Données projet'!$A$62,'Données projet'!$B$62,AI48+AH49-AQ48)))</f>
        <v>0</v>
      </c>
      <c r="AJ49" s="13" t="e">
        <f>AI49*VLOOKUP('Données projet'!$B$10,Paramètres!$A$1:$I$89,3,0)*VLOOKUP('Données projet'!$B$10,Paramètres!$A$1:$I$89,5,0)</f>
        <v>#N/A</v>
      </c>
      <c r="AK49" s="13" t="e">
        <f t="shared" si="35"/>
        <v>#N/A</v>
      </c>
      <c r="AL49" s="20" t="e">
        <f t="shared" si="4"/>
        <v>#N/A</v>
      </c>
      <c r="AM49" s="59" t="e">
        <f t="shared" si="5"/>
        <v>#N/A</v>
      </c>
      <c r="AN49" s="59" t="e">
        <f ca="1">AVERAGE(OFFSET($AM$3,0,0,'Données projet'!$E$10+1,1))-AVERAGE(OFFSET($H$3,0,0,'Données projet'!$E$10+1,1))</f>
        <v>#N/A</v>
      </c>
      <c r="AO49" s="59" t="e">
        <f t="shared" si="36"/>
        <v>#N/A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 t="e">
        <f>EXP(-LN(2)/35)*AU48+(1-EXP(-LN(2)/35))/(LN(2)/35)*AQ49*AR49*VLOOKUP('Données projet'!$B$10,Paramètres!$A$1:$I$89,3,0)*0.475*44/12</f>
        <v>#N/A</v>
      </c>
      <c r="AV49" s="21" t="e">
        <f>EXP(-LN(2)/25)*AV48+(1-EXP(-LN(2)/25))/(LN(2)/25)*Calculateur!AQ49*Calculateur!AS49*VLOOKUP('Données projet'!$B$10,Paramètres!$A$1:$I$89,3,0)*0.475*44/12</f>
        <v>#N/A</v>
      </c>
      <c r="AW49" s="21" t="e">
        <f>EXP(-LN(2)/2)*AW48+(1-EXP(-LN(2)/2))/(LN(2)/2)*AQ49*AT49*VLOOKUP('Données projet'!$B$10,Paramètres!$A$1:$I$89,3,0)*0.475*44/12</f>
        <v>#N/A</v>
      </c>
      <c r="AX49" s="21" t="e">
        <f t="shared" si="6"/>
        <v>#N/A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2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28.105999999999987</v>
      </c>
      <c r="D50" s="11">
        <f t="shared" si="32"/>
        <v>8.7843756275593741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284.76781186186179</v>
      </c>
      <c r="H50" s="67">
        <f t="shared" si="1"/>
        <v>357.58407088466589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0</v>
      </c>
      <c r="N50" s="13">
        <f>IF('Données projet'!$A$36&gt;35,N49+M50-V49,IF(A50&lt;'Données projet'!$A$36,$K$205^A50,IF(A50='Données projet'!$A$36,'Données projet'!$B$36,N49+M50-V49)))</f>
        <v>-5.6843418860808015E-14</v>
      </c>
      <c r="O50" s="13">
        <f>N50*VLOOKUP('Données projet'!$B$9,Paramètres!$A$1:$I$89,3,0)*VLOOKUP('Données projet'!$B$9,Paramètres!$A$1:$I$89,5,0)</f>
        <v>-3.3992364478763198E-14</v>
      </c>
      <c r="P50" s="13" t="e">
        <f t="shared" si="33"/>
        <v>#NUM!</v>
      </c>
      <c r="Q50" s="20" t="e">
        <f t="shared" si="53"/>
        <v>#NUM!</v>
      </c>
      <c r="R50" s="59" t="e">
        <f t="shared" si="0"/>
        <v>#NUM!</v>
      </c>
      <c r="S50" s="59">
        <f ca="1">AVERAGE(OFFSET($R$3,0,0,'Données projet'!$E$9+1,1))-AVERAGE(OFFSET($H$3,0,0,'Données projet'!$E$9+1,1))</f>
        <v>232.5902129145469</v>
      </c>
      <c r="T50" s="59">
        <f t="shared" si="34"/>
        <v>340.94590122751879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186.41572518714062</v>
      </c>
      <c r="AA50" s="21">
        <f>EXP(-LN(2)/25)*AA49+(1-EXP(-LN(2)/25))/(LN(2)/25)*Calculateur!V50*Calculateur!X50*VLOOKUP('Données projet'!$B$9,Paramètres!$A$1:$I$89,3,0)*0.475*44/12</f>
        <v>20.238043409295809</v>
      </c>
      <c r="AB50" s="21">
        <f>EXP(-LN(2)/2)*AB49+(1-EXP(-LN(2)/2))/(LN(2)/2)*V50*Y50*VLOOKUP('Données projet'!$B$9,Paramètres!$A$1:$I$89,3,0)*0.475*44/12</f>
        <v>6.8535054348848927</v>
      </c>
      <c r="AC50" s="22">
        <f t="shared" si="3"/>
        <v>213.50727403132132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0</v>
      </c>
      <c r="AI50" s="13">
        <f>IF('Données projet'!$A$62&gt;35,AI49+AH50-AQ49,IF(A50&lt;'Données projet'!$A$62,$AF$205^A50,IF(A50='Données projet'!$A$62,'Données projet'!$B$62,AI49+AH50-AQ49)))</f>
        <v>0</v>
      </c>
      <c r="AJ50" s="13" t="e">
        <f>AI50*VLOOKUP('Données projet'!$B$10,Paramètres!$A$1:$I$89,3,0)*VLOOKUP('Données projet'!$B$10,Paramètres!$A$1:$I$89,5,0)</f>
        <v>#N/A</v>
      </c>
      <c r="AK50" s="13" t="e">
        <f t="shared" si="35"/>
        <v>#N/A</v>
      </c>
      <c r="AL50" s="20" t="e">
        <f t="shared" si="4"/>
        <v>#N/A</v>
      </c>
      <c r="AM50" s="59" t="e">
        <f t="shared" si="5"/>
        <v>#N/A</v>
      </c>
      <c r="AN50" s="59" t="e">
        <f ca="1">AVERAGE(OFFSET($AM$3,0,0,'Données projet'!$E$10+1,1))-AVERAGE(OFFSET($H$3,0,0,'Données projet'!$E$10+1,1))</f>
        <v>#N/A</v>
      </c>
      <c r="AO50" s="59" t="e">
        <f t="shared" si="36"/>
        <v>#N/A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 t="e">
        <f>EXP(-LN(2)/35)*AU49+(1-EXP(-LN(2)/35))/(LN(2)/35)*AQ50*AR50*VLOOKUP('Données projet'!$B$10,Paramètres!$A$1:$I$89,3,0)*0.475*44/12</f>
        <v>#N/A</v>
      </c>
      <c r="AV50" s="21" t="e">
        <f>EXP(-LN(2)/25)*AV49+(1-EXP(-LN(2)/25))/(LN(2)/25)*Calculateur!AQ50*Calculateur!AS50*VLOOKUP('Données projet'!$B$10,Paramètres!$A$1:$I$89,3,0)*0.475*44/12</f>
        <v>#N/A</v>
      </c>
      <c r="AW50" s="21" t="e">
        <f>EXP(-LN(2)/2)*AW49+(1-EXP(-LN(2)/2))/(LN(2)/2)*AQ50*AT50*VLOOKUP('Données projet'!$B$10,Paramètres!$A$1:$I$89,3,0)*0.475*44/12</f>
        <v>#N/A</v>
      </c>
      <c r="AX50" s="21" t="e">
        <f t="shared" si="6"/>
        <v>#N/A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2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28.703999999999986</v>
      </c>
      <c r="D51" s="11">
        <f t="shared" si="32"/>
        <v>8.9493189902812986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290.65719922322398</v>
      </c>
      <c r="H51" s="67">
        <f t="shared" si="1"/>
        <v>358.91286390807323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0</v>
      </c>
      <c r="N51" s="13">
        <f>IF('Données projet'!$A$36&gt;35,N50+M51-V50,IF(A51&lt;'Données projet'!$A$36,$K$205^A51,IF(A51='Données projet'!$A$36,'Données projet'!$B$36,N50+M51-V50)))</f>
        <v>-5.6843418860808015E-14</v>
      </c>
      <c r="O51" s="13">
        <f>N51*VLOOKUP('Données projet'!$B$9,Paramètres!$A$1:$I$89,3,0)*VLOOKUP('Données projet'!$B$9,Paramètres!$A$1:$I$89,5,0)</f>
        <v>-3.3992364478763198E-14</v>
      </c>
      <c r="P51" s="13" t="e">
        <f t="shared" si="33"/>
        <v>#NUM!</v>
      </c>
      <c r="Q51" s="20" t="e">
        <f t="shared" si="53"/>
        <v>#NUM!</v>
      </c>
      <c r="R51" s="59" t="e">
        <f t="shared" si="0"/>
        <v>#NUM!</v>
      </c>
      <c r="S51" s="59">
        <f ca="1">AVERAGE(OFFSET($R$3,0,0,'Données projet'!$E$9+1,1))-AVERAGE(OFFSET($H$3,0,0,'Données projet'!$E$9+1,1))</f>
        <v>232.5902129145469</v>
      </c>
      <c r="T51" s="59">
        <f t="shared" si="34"/>
        <v>340.94590122751879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182.76022651858599</v>
      </c>
      <c r="AA51" s="21">
        <f>EXP(-LN(2)/25)*AA50+(1-EXP(-LN(2)/25))/(LN(2)/25)*Calculateur!V51*Calculateur!X51*VLOOKUP('Données projet'!$B$9,Paramètres!$A$1:$I$89,3,0)*0.475*44/12</f>
        <v>19.684633047996169</v>
      </c>
      <c r="AB51" s="21">
        <f>EXP(-LN(2)/2)*AB50+(1-EXP(-LN(2)/2))/(LN(2)/2)*V51*Y51*VLOOKUP('Données projet'!$B$9,Paramètres!$A$1:$I$89,3,0)*0.475*44/12</f>
        <v>4.8461601679059667</v>
      </c>
      <c r="AC51" s="22">
        <f t="shared" si="3"/>
        <v>207.29101973448812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0</v>
      </c>
      <c r="AI51" s="13">
        <f>IF('Données projet'!$A$62&gt;35,AI50+AH51-AQ50,IF(A51&lt;'Données projet'!$A$62,$AF$205^A51,IF(A51='Données projet'!$A$62,'Données projet'!$B$62,AI50+AH51-AQ50)))</f>
        <v>0</v>
      </c>
      <c r="AJ51" s="13" t="e">
        <f>AI51*VLOOKUP('Données projet'!$B$10,Paramètres!$A$1:$I$89,3,0)*VLOOKUP('Données projet'!$B$10,Paramètres!$A$1:$I$89,5,0)</f>
        <v>#N/A</v>
      </c>
      <c r="AK51" s="13" t="e">
        <f t="shared" si="35"/>
        <v>#N/A</v>
      </c>
      <c r="AL51" s="20" t="e">
        <f t="shared" si="4"/>
        <v>#N/A</v>
      </c>
      <c r="AM51" s="59" t="e">
        <f t="shared" si="5"/>
        <v>#N/A</v>
      </c>
      <c r="AN51" s="59" t="e">
        <f ca="1">AVERAGE(OFFSET($AM$3,0,0,'Données projet'!$E$10+1,1))-AVERAGE(OFFSET($H$3,0,0,'Données projet'!$E$10+1,1))</f>
        <v>#N/A</v>
      </c>
      <c r="AO51" s="59" t="e">
        <f t="shared" si="36"/>
        <v>#N/A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 t="e">
        <f>EXP(-LN(2)/35)*AU50+(1-EXP(-LN(2)/35))/(LN(2)/35)*AQ51*AR51*VLOOKUP('Données projet'!$B$10,Paramètres!$A$1:$I$89,3,0)*0.475*44/12</f>
        <v>#N/A</v>
      </c>
      <c r="AV51" s="21" t="e">
        <f>EXP(-LN(2)/25)*AV50+(1-EXP(-LN(2)/25))/(LN(2)/25)*Calculateur!AQ51*Calculateur!AS51*VLOOKUP('Données projet'!$B$10,Paramètres!$A$1:$I$89,3,0)*0.475*44/12</f>
        <v>#N/A</v>
      </c>
      <c r="AW51" s="21" t="e">
        <f>EXP(-LN(2)/2)*AW50+(1-EXP(-LN(2)/2))/(LN(2)/2)*AQ51*AT51*VLOOKUP('Données projet'!$B$10,Paramètres!$A$1:$I$89,3,0)*0.475*44/12</f>
        <v>#N/A</v>
      </c>
      <c r="AX51" s="21" t="e">
        <f t="shared" si="6"/>
        <v>#N/A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2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29.301999999999985</v>
      </c>
      <c r="D52" s="11">
        <f t="shared" si="32"/>
        <v>9.1138628193922067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296.54350246548358</v>
      </c>
      <c r="H52" s="67">
        <f t="shared" si="1"/>
        <v>360.24096107710801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0</v>
      </c>
      <c r="N52" s="13">
        <f>IF('Données projet'!$A$36&gt;35,N51+M52-V51,IF(A52&lt;'Données projet'!$A$36,$K$205^A52,IF(A52='Données projet'!$A$36,'Données projet'!$B$36,N51+M52-V51)))</f>
        <v>-5.6843418860808015E-14</v>
      </c>
      <c r="O52" s="13">
        <f>N52*VLOOKUP('Données projet'!$B$9,Paramètres!$A$1:$I$89,3,0)*VLOOKUP('Données projet'!$B$9,Paramètres!$A$1:$I$89,5,0)</f>
        <v>-3.3992364478763198E-14</v>
      </c>
      <c r="P52" s="13" t="e">
        <f t="shared" si="33"/>
        <v>#NUM!</v>
      </c>
      <c r="Q52" s="20" t="e">
        <f t="shared" si="53"/>
        <v>#NUM!</v>
      </c>
      <c r="R52" s="59" t="e">
        <f t="shared" si="0"/>
        <v>#NUM!</v>
      </c>
      <c r="S52" s="59">
        <f ca="1">AVERAGE(OFFSET($R$3,0,0,'Données projet'!$E$9+1,1))-AVERAGE(OFFSET($H$3,0,0,'Données projet'!$E$9+1,1))</f>
        <v>232.5902129145469</v>
      </c>
      <c r="T52" s="59">
        <f t="shared" si="34"/>
        <v>340.94590122751879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179.17640994928769</v>
      </c>
      <c r="AA52" s="21">
        <f>EXP(-LN(2)/25)*AA51+(1-EXP(-LN(2)/25))/(LN(2)/25)*Calculateur!V52*Calculateur!X52*VLOOKUP('Données projet'!$B$9,Paramètres!$A$1:$I$89,3,0)*0.475*44/12</f>
        <v>19.146355722128853</v>
      </c>
      <c r="AB52" s="21">
        <f>EXP(-LN(2)/2)*AB51+(1-EXP(-LN(2)/2))/(LN(2)/2)*V52*Y52*VLOOKUP('Données projet'!$B$9,Paramètres!$A$1:$I$89,3,0)*0.475*44/12</f>
        <v>3.4267527174424472</v>
      </c>
      <c r="AC52" s="22">
        <f t="shared" si="3"/>
        <v>201.74951838885897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0</v>
      </c>
      <c r="AI52" s="13">
        <f>IF('Données projet'!$A$62&gt;35,AI51+AH52-AQ51,IF(A52&lt;'Données projet'!$A$62,$AF$205^A52,IF(A52='Données projet'!$A$62,'Données projet'!$B$62,AI51+AH52-AQ51)))</f>
        <v>0</v>
      </c>
      <c r="AJ52" s="13" t="e">
        <f>AI52*VLOOKUP('Données projet'!$B$10,Paramètres!$A$1:$I$89,3,0)*VLOOKUP('Données projet'!$B$10,Paramètres!$A$1:$I$89,5,0)</f>
        <v>#N/A</v>
      </c>
      <c r="AK52" s="13" t="e">
        <f t="shared" si="35"/>
        <v>#N/A</v>
      </c>
      <c r="AL52" s="20" t="e">
        <f t="shared" si="4"/>
        <v>#N/A</v>
      </c>
      <c r="AM52" s="59" t="e">
        <f t="shared" si="5"/>
        <v>#N/A</v>
      </c>
      <c r="AN52" s="59" t="e">
        <f ca="1">AVERAGE(OFFSET($AM$3,0,0,'Données projet'!$E$10+1,1))-AVERAGE(OFFSET($H$3,0,0,'Données projet'!$E$10+1,1))</f>
        <v>#N/A</v>
      </c>
      <c r="AO52" s="59" t="e">
        <f t="shared" si="36"/>
        <v>#N/A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 t="e">
        <f>EXP(-LN(2)/35)*AU51+(1-EXP(-LN(2)/35))/(LN(2)/35)*AQ52*AR52*VLOOKUP('Données projet'!$B$10,Paramètres!$A$1:$I$89,3,0)*0.475*44/12</f>
        <v>#N/A</v>
      </c>
      <c r="AV52" s="21" t="e">
        <f>EXP(-LN(2)/25)*AV51+(1-EXP(-LN(2)/25))/(LN(2)/25)*Calculateur!AQ52*Calculateur!AS52*VLOOKUP('Données projet'!$B$10,Paramètres!$A$1:$I$89,3,0)*0.475*44/12</f>
        <v>#N/A</v>
      </c>
      <c r="AW52" s="21" t="e">
        <f>EXP(-LN(2)/2)*AW51+(1-EXP(-LN(2)/2))/(LN(2)/2)*AQ52*AT52*VLOOKUP('Données projet'!$B$10,Paramètres!$A$1:$I$89,3,0)*0.475*44/12</f>
        <v>#N/A</v>
      </c>
      <c r="AX52" s="21" t="e">
        <f t="shared" si="6"/>
        <v>#N/A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2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29.899999999999984</v>
      </c>
      <c r="D53" s="11">
        <f t="shared" si="32"/>
        <v>9.2780162082062319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302.4267917826445</v>
      </c>
      <c r="H53" s="67">
        <f t="shared" si="1"/>
        <v>361.56837822929248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0</v>
      </c>
      <c r="N53" s="13">
        <f>IF('Données projet'!$A$36&gt;35,N52+M53-V52,IF(A53&lt;'Données projet'!$A$36,$K$205^A53,IF(A53='Données projet'!$A$36,'Données projet'!$B$36,N52+M53-V52)))</f>
        <v>-5.6843418860808015E-14</v>
      </c>
      <c r="O53" s="13">
        <f>N53*VLOOKUP('Données projet'!$B$9,Paramètres!$A$1:$I$89,3,0)*VLOOKUP('Données projet'!$B$9,Paramètres!$A$1:$I$89,5,0)</f>
        <v>-3.3992364478763198E-14</v>
      </c>
      <c r="P53" s="13" t="e">
        <f t="shared" si="33"/>
        <v>#NUM!</v>
      </c>
      <c r="Q53" s="20" t="e">
        <f t="shared" si="53"/>
        <v>#NUM!</v>
      </c>
      <c r="R53" s="59" t="e">
        <f t="shared" si="0"/>
        <v>#NUM!</v>
      </c>
      <c r="S53" s="59">
        <f ca="1">AVERAGE(OFFSET($R$3,0,0,'Données projet'!$E$9+1,1))-AVERAGE(OFFSET($H$3,0,0,'Données projet'!$E$9+1,1))</f>
        <v>232.5902129145469</v>
      </c>
      <c r="T53" s="59">
        <f t="shared" si="34"/>
        <v>340.94590122751879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175.66286983700104</v>
      </c>
      <c r="AA53" s="21">
        <f>EXP(-LN(2)/25)*AA52+(1-EXP(-LN(2)/25))/(LN(2)/25)*Calculateur!V53*Calculateur!X53*VLOOKUP('Données projet'!$B$9,Paramètres!$A$1:$I$89,3,0)*0.475*44/12</f>
        <v>18.622797618044149</v>
      </c>
      <c r="AB53" s="21">
        <f>EXP(-LN(2)/2)*AB52+(1-EXP(-LN(2)/2))/(LN(2)/2)*V53*Y53*VLOOKUP('Données projet'!$B$9,Paramètres!$A$1:$I$89,3,0)*0.475*44/12</f>
        <v>2.4230800839529838</v>
      </c>
      <c r="AC53" s="22">
        <f t="shared" si="3"/>
        <v>196.70874753899818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 t="e">
        <f>VLOOKUP(A53,'Données projet'!$A$61:$I$81,2,0)</f>
        <v>#N/A</v>
      </c>
      <c r="AG53" s="12" t="e">
        <f>VLOOKUP(A53,'Données projet'!$A$61:$I$81,9,0)</f>
        <v>#N/A</v>
      </c>
      <c r="AH53" s="12">
        <f t="array" ref="AH53">INDEX(AG:AG,MIN(IF(ISNUMBER(AG53:AG249),ROW(AG53:AG249),"")))</f>
        <v>0</v>
      </c>
      <c r="AI53" s="13">
        <f>IF('Données projet'!$A$62&gt;35,AI52+AH53-AQ52,IF(A53&lt;'Données projet'!$A$62,$AF$205^A53,IF(A53='Données projet'!$A$62,'Données projet'!$B$62,AI52+AH53-AQ52)))</f>
        <v>0</v>
      </c>
      <c r="AJ53" s="13" t="e">
        <f>AI53*VLOOKUP('Données projet'!$B$10,Paramètres!$A$1:$I$89,3,0)*VLOOKUP('Données projet'!$B$10,Paramètres!$A$1:$I$89,5,0)</f>
        <v>#N/A</v>
      </c>
      <c r="AK53" s="13" t="e">
        <f t="shared" si="35"/>
        <v>#N/A</v>
      </c>
      <c r="AL53" s="20" t="e">
        <f t="shared" si="4"/>
        <v>#N/A</v>
      </c>
      <c r="AM53" s="59" t="e">
        <f t="shared" si="5"/>
        <v>#N/A</v>
      </c>
      <c r="AN53" s="59" t="e">
        <f ca="1">AVERAGE(OFFSET($AM$3,0,0,'Données projet'!$E$10+1,1))-AVERAGE(OFFSET($H$3,0,0,'Données projet'!$E$10+1,1))</f>
        <v>#N/A</v>
      </c>
      <c r="AO53" s="59" t="e">
        <f t="shared" si="36"/>
        <v>#N/A</v>
      </c>
      <c r="AP53" s="15">
        <f>IF(ISNA(VLOOKUP(A53,'Données projet'!$A$61:$I$81,3,0)),0,VLOOKUP(A53,'Données projet'!$A$61:$I$81,3,0))</f>
        <v>0</v>
      </c>
      <c r="AQ53" s="15">
        <f>IF(ISNA(VLOOKUP(A53,'Données projet'!$A$61:$I$81,4,0)),0,VLOOKUP(A53,'Données projet'!$A$61:$I$81,4,0))</f>
        <v>0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 t="e">
        <f>EXP(-LN(2)/35)*AU52+(1-EXP(-LN(2)/35))/(LN(2)/35)*AQ53*AR53*VLOOKUP('Données projet'!$B$10,Paramètres!$A$1:$I$89,3,0)*0.475*44/12</f>
        <v>#N/A</v>
      </c>
      <c r="AV53" s="21" t="e">
        <f>EXP(-LN(2)/25)*AV52+(1-EXP(-LN(2)/25))/(LN(2)/25)*Calculateur!AQ53*Calculateur!AS53*VLOOKUP('Données projet'!$B$10,Paramètres!$A$1:$I$89,3,0)*0.475*44/12</f>
        <v>#N/A</v>
      </c>
      <c r="AW53" s="21" t="e">
        <f>EXP(-LN(2)/2)*AW52+(1-EXP(-LN(2)/2))/(LN(2)/2)*AQ53*AT53*VLOOKUP('Données projet'!$B$10,Paramètres!$A$1:$I$89,3,0)*0.475*44/12</f>
        <v>#N/A</v>
      </c>
      <c r="AX53" s="21" t="e">
        <f t="shared" si="6"/>
        <v>#N/A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2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30.497999999999983</v>
      </c>
      <c r="D54" s="11">
        <f t="shared" si="32"/>
        <v>9.4417878655064946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308.30713440040086</v>
      </c>
      <c r="H54" s="67">
        <f t="shared" si="1"/>
        <v>362.89513053242376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0</v>
      </c>
      <c r="N54" s="13">
        <f>IF('Données projet'!$A$36&gt;35,N53+M54-V53,IF(A54&lt;'Données projet'!$A$36,$K$205^A54,IF(A54='Données projet'!$A$36,'Données projet'!$B$36,N53+M54-V53)))</f>
        <v>-5.6843418860808015E-14</v>
      </c>
      <c r="O54" s="13">
        <f>N54*VLOOKUP('Données projet'!$B$9,Paramètres!$A$1:$I$89,3,0)*VLOOKUP('Données projet'!$B$9,Paramètres!$A$1:$I$89,5,0)</f>
        <v>-3.3992364478763198E-14</v>
      </c>
      <c r="P54" s="13" t="e">
        <f t="shared" si="33"/>
        <v>#NUM!</v>
      </c>
      <c r="Q54" s="20" t="e">
        <f t="shared" si="53"/>
        <v>#NUM!</v>
      </c>
      <c r="R54" s="59" t="e">
        <f t="shared" si="0"/>
        <v>#NUM!</v>
      </c>
      <c r="S54" s="59">
        <f ca="1">AVERAGE(OFFSET($R$3,0,0,'Données projet'!$E$9+1,1))-AVERAGE(OFFSET($H$3,0,0,'Données projet'!$E$9+1,1))</f>
        <v>232.5902129145469</v>
      </c>
      <c r="T54" s="59">
        <f t="shared" si="34"/>
        <v>340.94590122751879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172.21822810326847</v>
      </c>
      <c r="AA54" s="21">
        <f>EXP(-LN(2)/25)*AA53+(1-EXP(-LN(2)/25))/(LN(2)/25)*Calculateur!V54*Calculateur!X54*VLOOKUP('Données projet'!$B$9,Paramètres!$A$1:$I$89,3,0)*0.475*44/12</f>
        <v>18.113556237848368</v>
      </c>
      <c r="AB54" s="21">
        <f>EXP(-LN(2)/2)*AB53+(1-EXP(-LN(2)/2))/(LN(2)/2)*V54*Y54*VLOOKUP('Données projet'!$B$9,Paramètres!$A$1:$I$89,3,0)*0.475*44/12</f>
        <v>1.7133763587212238</v>
      </c>
      <c r="AC54" s="22">
        <f t="shared" si="3"/>
        <v>192.04516069983808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0</v>
      </c>
      <c r="AI54" s="13">
        <f>IF('Données projet'!$A$62&gt;35,AI53+AH54-AQ53,IF(A54&lt;'Données projet'!$A$62,$AF$205^A54,IF(A54='Données projet'!$A$62,'Données projet'!$B$62,AI53+AH54-AQ53)))</f>
        <v>0</v>
      </c>
      <c r="AJ54" s="13" t="e">
        <f>AI54*VLOOKUP('Données projet'!$B$10,Paramètres!$A$1:$I$89,3,0)*VLOOKUP('Données projet'!$B$10,Paramètres!$A$1:$I$89,5,0)</f>
        <v>#N/A</v>
      </c>
      <c r="AK54" s="13" t="e">
        <f t="shared" si="35"/>
        <v>#N/A</v>
      </c>
      <c r="AL54" s="20" t="e">
        <f t="shared" si="4"/>
        <v>#N/A</v>
      </c>
      <c r="AM54" s="59" t="e">
        <f t="shared" si="5"/>
        <v>#N/A</v>
      </c>
      <c r="AN54" s="59" t="e">
        <f ca="1">AVERAGE(OFFSET($AM$3,0,0,'Données projet'!$E$10+1,1))-AVERAGE(OFFSET($H$3,0,0,'Données projet'!$E$10+1,1))</f>
        <v>#N/A</v>
      </c>
      <c r="AO54" s="59" t="e">
        <f t="shared" si="36"/>
        <v>#N/A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 t="e">
        <f>EXP(-LN(2)/35)*AU53+(1-EXP(-LN(2)/35))/(LN(2)/35)*AQ54*AR54*VLOOKUP('Données projet'!$B$10,Paramètres!$A$1:$I$89,3,0)*0.475*44/12</f>
        <v>#N/A</v>
      </c>
      <c r="AV54" s="21" t="e">
        <f>EXP(-LN(2)/25)*AV53+(1-EXP(-LN(2)/25))/(LN(2)/25)*Calculateur!AQ54*Calculateur!AS54*VLOOKUP('Données projet'!$B$10,Paramètres!$A$1:$I$89,3,0)*0.475*44/12</f>
        <v>#N/A</v>
      </c>
      <c r="AW54" s="21" t="e">
        <f>EXP(-LN(2)/2)*AW53+(1-EXP(-LN(2)/2))/(LN(2)/2)*AQ54*AT54*VLOOKUP('Données projet'!$B$10,Paramètres!$A$1:$I$89,3,0)*0.475*44/12</f>
        <v>#N/A</v>
      </c>
      <c r="AX54" s="21" t="e">
        <f t="shared" si="6"/>
        <v>#N/A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2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31.095999999999982</v>
      </c>
      <c r="D55" s="11">
        <f t="shared" si="32"/>
        <v>9.6051861390214377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314.18459475735835</v>
      </c>
      <c r="H55" s="67">
        <f t="shared" si="1"/>
        <v>364.22123252546226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0</v>
      </c>
      <c r="N55" s="13">
        <f>IF('Données projet'!$A$36&gt;35,N54+M55-V54,IF(A55&lt;'Données projet'!$A$36,$K$205^A55,IF(A55='Données projet'!$A$36,'Données projet'!$B$36,N54+M55-V54)))</f>
        <v>-5.6843418860808015E-14</v>
      </c>
      <c r="O55" s="13">
        <f>N55*VLOOKUP('Données projet'!$B$9,Paramètres!$A$1:$I$89,3,0)*VLOOKUP('Données projet'!$B$9,Paramètres!$A$1:$I$89,5,0)</f>
        <v>-3.3992364478763198E-14</v>
      </c>
      <c r="P55" s="13" t="e">
        <f t="shared" si="33"/>
        <v>#NUM!</v>
      </c>
      <c r="Q55" s="20" t="e">
        <f t="shared" si="53"/>
        <v>#NUM!</v>
      </c>
      <c r="R55" s="59" t="e">
        <f t="shared" si="0"/>
        <v>#NUM!</v>
      </c>
      <c r="S55" s="59">
        <f ca="1">AVERAGE(OFFSET($R$3,0,0,'Données projet'!$E$9+1,1))-AVERAGE(OFFSET($H$3,0,0,'Données projet'!$E$9+1,1))</f>
        <v>232.5902129145469</v>
      </c>
      <c r="T55" s="59">
        <f t="shared" si="34"/>
        <v>340.94590122751879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168.8411336929104</v>
      </c>
      <c r="AA55" s="21">
        <f>EXP(-LN(2)/25)*AA54+(1-EXP(-LN(2)/25))/(LN(2)/25)*Calculateur!V55*Calculateur!X55*VLOOKUP('Données projet'!$B$9,Paramètres!$A$1:$I$89,3,0)*0.475*44/12</f>
        <v>17.618240089973881</v>
      </c>
      <c r="AB55" s="21">
        <f>EXP(-LN(2)/2)*AB54+(1-EXP(-LN(2)/2))/(LN(2)/2)*V55*Y55*VLOOKUP('Données projet'!$B$9,Paramètres!$A$1:$I$89,3,0)*0.475*44/12</f>
        <v>1.2115400419764921</v>
      </c>
      <c r="AC55" s="22">
        <f t="shared" si="3"/>
        <v>187.67091382486078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0</v>
      </c>
      <c r="AI55" s="13">
        <f>IF('Données projet'!$A$62&gt;35,AI54+AH55-AQ54,IF(A55&lt;'Données projet'!$A$62,$AF$205^A55,IF(A55='Données projet'!$A$62,'Données projet'!$B$62,AI54+AH55-AQ54)))</f>
        <v>0</v>
      </c>
      <c r="AJ55" s="13" t="e">
        <f>AI55*VLOOKUP('Données projet'!$B$10,Paramètres!$A$1:$I$89,3,0)*VLOOKUP('Données projet'!$B$10,Paramètres!$A$1:$I$89,5,0)</f>
        <v>#N/A</v>
      </c>
      <c r="AK55" s="13" t="e">
        <f t="shared" si="35"/>
        <v>#N/A</v>
      </c>
      <c r="AL55" s="20" t="e">
        <f t="shared" si="4"/>
        <v>#N/A</v>
      </c>
      <c r="AM55" s="59" t="e">
        <f t="shared" si="5"/>
        <v>#N/A</v>
      </c>
      <c r="AN55" s="59" t="e">
        <f ca="1">AVERAGE(OFFSET($AM$3,0,0,'Données projet'!$E$10+1,1))-AVERAGE(OFFSET($H$3,0,0,'Données projet'!$E$10+1,1))</f>
        <v>#N/A</v>
      </c>
      <c r="AO55" s="59" t="e">
        <f t="shared" si="36"/>
        <v>#N/A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 t="e">
        <f>EXP(-LN(2)/35)*AU54+(1-EXP(-LN(2)/35))/(LN(2)/35)*AQ55*AR55*VLOOKUP('Données projet'!$B$10,Paramètres!$A$1:$I$89,3,0)*0.475*44/12</f>
        <v>#N/A</v>
      </c>
      <c r="AV55" s="21" t="e">
        <f>EXP(-LN(2)/25)*AV54+(1-EXP(-LN(2)/25))/(LN(2)/25)*Calculateur!AQ55*Calculateur!AS55*VLOOKUP('Données projet'!$B$10,Paramètres!$A$1:$I$89,3,0)*0.475*44/12</f>
        <v>#N/A</v>
      </c>
      <c r="AW55" s="21" t="e">
        <f>EXP(-LN(2)/2)*AW54+(1-EXP(-LN(2)/2))/(LN(2)/2)*AQ55*AT55*VLOOKUP('Données projet'!$B$10,Paramètres!$A$1:$I$89,3,0)*0.475*44/12</f>
        <v>#N/A</v>
      </c>
      <c r="AX55" s="21" t="e">
        <f t="shared" si="6"/>
        <v>#N/A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2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31.693999999999981</v>
      </c>
      <c r="D56" s="11">
        <f t="shared" si="32"/>
        <v>9.768219037044215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320.05923467192008</v>
      </c>
      <c r="H56" s="67">
        <f t="shared" si="1"/>
        <v>365.54669815618524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0</v>
      </c>
      <c r="N56" s="13">
        <f>IF('Données projet'!$A$36&gt;35,N55+M56-V55,IF(A56&lt;'Données projet'!$A$36,$K$205^A56,IF(A56='Données projet'!$A$36,'Données projet'!$B$36,N55+M56-V55)))</f>
        <v>-5.6843418860808015E-14</v>
      </c>
      <c r="O56" s="13">
        <f>N56*VLOOKUP('Données projet'!$B$9,Paramètres!$A$1:$I$89,3,0)*VLOOKUP('Données projet'!$B$9,Paramètres!$A$1:$I$89,5,0)</f>
        <v>-3.3992364478763198E-14</v>
      </c>
      <c r="P56" s="13" t="e">
        <f t="shared" si="33"/>
        <v>#NUM!</v>
      </c>
      <c r="Q56" s="20" t="e">
        <f t="shared" si="53"/>
        <v>#NUM!</v>
      </c>
      <c r="R56" s="59" t="e">
        <f t="shared" si="0"/>
        <v>#NUM!</v>
      </c>
      <c r="S56" s="59">
        <f ca="1">AVERAGE(OFFSET($R$3,0,0,'Données projet'!$E$9+1,1))-AVERAGE(OFFSET($H$3,0,0,'Données projet'!$E$9+1,1))</f>
        <v>232.5902129145469</v>
      </c>
      <c r="T56" s="59">
        <f t="shared" si="34"/>
        <v>340.94590122751879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165.53026204411526</v>
      </c>
      <c r="AA56" s="21">
        <f>EXP(-LN(2)/25)*AA55+(1-EXP(-LN(2)/25))/(LN(2)/25)*Calculateur!V56*Calculateur!X56*VLOOKUP('Données projet'!$B$9,Paramètres!$A$1:$I$89,3,0)*0.475*44/12</f>
        <v>17.136468388210567</v>
      </c>
      <c r="AB56" s="21">
        <f>EXP(-LN(2)/2)*AB55+(1-EXP(-LN(2)/2))/(LN(2)/2)*V56*Y56*VLOOKUP('Données projet'!$B$9,Paramètres!$A$1:$I$89,3,0)*0.475*44/12</f>
        <v>0.85668817936061203</v>
      </c>
      <c r="AC56" s="22">
        <f t="shared" si="3"/>
        <v>183.52341861168645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0</v>
      </c>
      <c r="AI56" s="13">
        <f>IF('Données projet'!$A$62&gt;35,AI55+AH56-AQ55,IF(A56&lt;'Données projet'!$A$62,$AF$205^A56,IF(A56='Données projet'!$A$62,'Données projet'!$B$62,AI55+AH56-AQ55)))</f>
        <v>0</v>
      </c>
      <c r="AJ56" s="13" t="e">
        <f>AI56*VLOOKUP('Données projet'!$B$10,Paramètres!$A$1:$I$89,3,0)*VLOOKUP('Données projet'!$B$10,Paramètres!$A$1:$I$89,5,0)</f>
        <v>#N/A</v>
      </c>
      <c r="AK56" s="13" t="e">
        <f t="shared" si="35"/>
        <v>#N/A</v>
      </c>
      <c r="AL56" s="20" t="e">
        <f t="shared" si="4"/>
        <v>#N/A</v>
      </c>
      <c r="AM56" s="59" t="e">
        <f t="shared" si="5"/>
        <v>#N/A</v>
      </c>
      <c r="AN56" s="59" t="e">
        <f ca="1">AVERAGE(OFFSET($AM$3,0,0,'Données projet'!$E$10+1,1))-AVERAGE(OFFSET($H$3,0,0,'Données projet'!$E$10+1,1))</f>
        <v>#N/A</v>
      </c>
      <c r="AO56" s="59" t="e">
        <f t="shared" si="36"/>
        <v>#N/A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 t="e">
        <f>EXP(-LN(2)/35)*AU55+(1-EXP(-LN(2)/35))/(LN(2)/35)*AQ56*AR56*VLOOKUP('Données projet'!$B$10,Paramètres!$A$1:$I$89,3,0)*0.475*44/12</f>
        <v>#N/A</v>
      </c>
      <c r="AV56" s="21" t="e">
        <f>EXP(-LN(2)/25)*AV55+(1-EXP(-LN(2)/25))/(LN(2)/25)*Calculateur!AQ56*Calculateur!AS56*VLOOKUP('Données projet'!$B$10,Paramètres!$A$1:$I$89,3,0)*0.475*44/12</f>
        <v>#N/A</v>
      </c>
      <c r="AW56" s="21" t="e">
        <f>EXP(-LN(2)/2)*AW55+(1-EXP(-LN(2)/2))/(LN(2)/2)*AQ56*AT56*VLOOKUP('Données projet'!$B$10,Paramètres!$A$1:$I$89,3,0)*0.475*44/12</f>
        <v>#N/A</v>
      </c>
      <c r="AX56" s="21" t="e">
        <f t="shared" si="6"/>
        <v>#N/A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2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32.29199999999998</v>
      </c>
      <c r="D57" s="11">
        <f t="shared" si="32"/>
        <v>9.9308942483743348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325.93111349622279</v>
      </c>
      <c r="H57" s="67">
        <f t="shared" si="1"/>
        <v>366.87154081591859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-5.6843418860808015E-14</v>
      </c>
      <c r="O57" s="13">
        <f>N57*VLOOKUP('Données projet'!$B$9,Paramètres!$A$1:$I$89,3,0)*VLOOKUP('Données projet'!$B$9,Paramètres!$A$1:$I$89,5,0)</f>
        <v>-3.3992364478763198E-14</v>
      </c>
      <c r="P57" s="13" t="e">
        <f t="shared" si="33"/>
        <v>#NUM!</v>
      </c>
      <c r="Q57" s="20" t="e">
        <f t="shared" si="53"/>
        <v>#NUM!</v>
      </c>
      <c r="R57" s="59" t="e">
        <f t="shared" si="0"/>
        <v>#NUM!</v>
      </c>
      <c r="S57" s="59">
        <f ca="1">AVERAGE(OFFSET($R$3,0,0,'Données projet'!$E$9+1,1))-AVERAGE(OFFSET($H$3,0,0,'Données projet'!$E$9+1,1))</f>
        <v>232.5902129145469</v>
      </c>
      <c r="T57" s="59">
        <f t="shared" si="34"/>
        <v>340.94590122751879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162.28431456892068</v>
      </c>
      <c r="AA57" s="21">
        <f>EXP(-LN(2)/25)*AA56+(1-EXP(-LN(2)/25))/(LN(2)/25)*Calculateur!V57*Calculateur!X57*VLOOKUP('Données projet'!$B$9,Paramètres!$A$1:$I$89,3,0)*0.475*44/12</f>
        <v>16.667870758967243</v>
      </c>
      <c r="AB57" s="21">
        <f>EXP(-LN(2)/2)*AB56+(1-EXP(-LN(2)/2))/(LN(2)/2)*V57*Y57*VLOOKUP('Données projet'!$B$9,Paramètres!$A$1:$I$89,3,0)*0.475*44/12</f>
        <v>0.60577002098824606</v>
      </c>
      <c r="AC57" s="22">
        <f t="shared" si="3"/>
        <v>179.55795534887616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0</v>
      </c>
      <c r="AI57" s="13">
        <f>IF('Données projet'!$A$62&gt;35,AI56+AH57-AQ56,IF(A57&lt;'Données projet'!$A$62,$AF$205^A57,IF(A57='Données projet'!$A$62,'Données projet'!$B$62,AI56+AH57-AQ56)))</f>
        <v>0</v>
      </c>
      <c r="AJ57" s="13" t="e">
        <f>AI57*VLOOKUP('Données projet'!$B$10,Paramètres!$A$1:$I$89,3,0)*VLOOKUP('Données projet'!$B$10,Paramètres!$A$1:$I$89,5,0)</f>
        <v>#N/A</v>
      </c>
      <c r="AK57" s="13" t="e">
        <f t="shared" si="35"/>
        <v>#N/A</v>
      </c>
      <c r="AL57" s="20" t="e">
        <f t="shared" si="4"/>
        <v>#N/A</v>
      </c>
      <c r="AM57" s="59" t="e">
        <f t="shared" si="5"/>
        <v>#N/A</v>
      </c>
      <c r="AN57" s="59" t="e">
        <f ca="1">AVERAGE(OFFSET($AM$3,0,0,'Données projet'!$E$10+1,1))-AVERAGE(OFFSET($H$3,0,0,'Données projet'!$E$10+1,1))</f>
        <v>#N/A</v>
      </c>
      <c r="AO57" s="59" t="e">
        <f t="shared" si="36"/>
        <v>#N/A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 t="e">
        <f>EXP(-LN(2)/35)*AU56+(1-EXP(-LN(2)/35))/(LN(2)/35)*AQ57*AR57*VLOOKUP('Données projet'!$B$10,Paramètres!$A$1:$I$89,3,0)*0.475*44/12</f>
        <v>#N/A</v>
      </c>
      <c r="AV57" s="21" t="e">
        <f>EXP(-LN(2)/25)*AV56+(1-EXP(-LN(2)/25))/(LN(2)/25)*Calculateur!AQ57*Calculateur!AS57*VLOOKUP('Données projet'!$B$10,Paramètres!$A$1:$I$89,3,0)*0.475*44/12</f>
        <v>#N/A</v>
      </c>
      <c r="AW57" s="21" t="e">
        <f>EXP(-LN(2)/2)*AW56+(1-EXP(-LN(2)/2))/(LN(2)/2)*AQ57*AT57*VLOOKUP('Données projet'!$B$10,Paramètres!$A$1:$I$89,3,0)*0.475*44/12</f>
        <v>#N/A</v>
      </c>
      <c r="AX57" s="21" t="e">
        <f t="shared" si="6"/>
        <v>#N/A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2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32.889999999999979</v>
      </c>
      <c r="D58" s="11">
        <f t="shared" si="32"/>
        <v>10.093219160740317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331.80028825834614</v>
      </c>
      <c r="H58" s="67">
        <f t="shared" si="1"/>
        <v>368.19577337162264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-5.6843418860808015E-14</v>
      </c>
      <c r="O58" s="13">
        <f>N58*VLOOKUP('Données projet'!$B$9,Paramètres!$A$1:$I$89,3,0)*VLOOKUP('Données projet'!$B$9,Paramètres!$A$1:$I$89,5,0)</f>
        <v>-3.3992364478763198E-14</v>
      </c>
      <c r="P58" s="13" t="e">
        <f t="shared" si="33"/>
        <v>#NUM!</v>
      </c>
      <c r="Q58" s="20" t="e">
        <f t="shared" si="53"/>
        <v>#NUM!</v>
      </c>
      <c r="R58" s="59" t="e">
        <f t="shared" si="0"/>
        <v>#NUM!</v>
      </c>
      <c r="S58" s="59">
        <f ca="1">AVERAGE(OFFSET($R$3,0,0,'Données projet'!$E$9+1,1))-AVERAGE(OFFSET($H$3,0,0,'Données projet'!$E$9+1,1))</f>
        <v>232.5902129145469</v>
      </c>
      <c r="T58" s="59">
        <f t="shared" si="34"/>
        <v>340.94590122751879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159.10201814388222</v>
      </c>
      <c r="AA58" s="21">
        <f>EXP(-LN(2)/25)*AA57+(1-EXP(-LN(2)/25))/(LN(2)/25)*Calculateur!V58*Calculateur!X58*VLOOKUP('Données projet'!$B$9,Paramètres!$A$1:$I$89,3,0)*0.475*44/12</f>
        <v>16.212086956538055</v>
      </c>
      <c r="AB58" s="21">
        <f>EXP(-LN(2)/2)*AB57+(1-EXP(-LN(2)/2))/(LN(2)/2)*V58*Y58*VLOOKUP('Données projet'!$B$9,Paramètres!$A$1:$I$89,3,0)*0.475*44/12</f>
        <v>0.42834408968030602</v>
      </c>
      <c r="AC58" s="22">
        <f t="shared" si="3"/>
        <v>175.74244919010059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0</v>
      </c>
      <c r="AI58" s="13">
        <f>IF('Données projet'!$A$62&gt;35,AI57+AH58-AQ57,IF(A58&lt;'Données projet'!$A$62,$AF$205^A58,IF(A58='Données projet'!$A$62,'Données projet'!$B$62,AI57+AH58-AQ57)))</f>
        <v>0</v>
      </c>
      <c r="AJ58" s="13" t="e">
        <f>AI58*VLOOKUP('Données projet'!$B$10,Paramètres!$A$1:$I$89,3,0)*VLOOKUP('Données projet'!$B$10,Paramètres!$A$1:$I$89,5,0)</f>
        <v>#N/A</v>
      </c>
      <c r="AK58" s="13" t="e">
        <f t="shared" si="35"/>
        <v>#N/A</v>
      </c>
      <c r="AL58" s="20" t="e">
        <f t="shared" si="4"/>
        <v>#N/A</v>
      </c>
      <c r="AM58" s="59" t="e">
        <f t="shared" si="5"/>
        <v>#N/A</v>
      </c>
      <c r="AN58" s="59" t="e">
        <f ca="1">AVERAGE(OFFSET($AM$3,0,0,'Données projet'!$E$10+1,1))-AVERAGE(OFFSET($H$3,0,0,'Données projet'!$E$10+1,1))</f>
        <v>#N/A</v>
      </c>
      <c r="AO58" s="59" t="e">
        <f t="shared" si="36"/>
        <v>#N/A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 t="e">
        <f>EXP(-LN(2)/35)*AU57+(1-EXP(-LN(2)/35))/(LN(2)/35)*AQ58*AR58*VLOOKUP('Données projet'!$B$10,Paramètres!$A$1:$I$89,3,0)*0.475*44/12</f>
        <v>#N/A</v>
      </c>
      <c r="AV58" s="21" t="e">
        <f>EXP(-LN(2)/25)*AV57+(1-EXP(-LN(2)/25))/(LN(2)/25)*Calculateur!AQ58*Calculateur!AS58*VLOOKUP('Données projet'!$B$10,Paramètres!$A$1:$I$89,3,0)*0.475*44/12</f>
        <v>#N/A</v>
      </c>
      <c r="AW58" s="21" t="e">
        <f>EXP(-LN(2)/2)*AW57+(1-EXP(-LN(2)/2))/(LN(2)/2)*AQ58*AT58*VLOOKUP('Données projet'!$B$10,Paramètres!$A$1:$I$89,3,0)*0.475*44/12</f>
        <v>#N/A</v>
      </c>
      <c r="AX58" s="21" t="e">
        <f t="shared" si="6"/>
        <v>#N/A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2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33.487999999999978</v>
      </c>
      <c r="D59" s="11">
        <f t="shared" si="32"/>
        <v>10.255200877844658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337.66681379388842</v>
      </c>
      <c r="H59" s="67">
        <f t="shared" si="1"/>
        <v>369.51940819557939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-5.6843418860808015E-14</v>
      </c>
      <c r="O59" s="13">
        <f>N59*VLOOKUP('Données projet'!$B$9,Paramètres!$A$1:$I$89,3,0)*VLOOKUP('Données projet'!$B$9,Paramètres!$A$1:$I$89,5,0)</f>
        <v>-3.3992364478763198E-14</v>
      </c>
      <c r="P59" s="13" t="e">
        <f t="shared" si="33"/>
        <v>#NUM!</v>
      </c>
      <c r="Q59" s="20" t="e">
        <f t="shared" si="53"/>
        <v>#NUM!</v>
      </c>
      <c r="R59" s="59" t="e">
        <f t="shared" si="0"/>
        <v>#NUM!</v>
      </c>
      <c r="S59" s="59">
        <f ca="1">AVERAGE(OFFSET($R$3,0,0,'Données projet'!$E$9+1,1))-AVERAGE(OFFSET($H$3,0,0,'Données projet'!$E$9+1,1))</f>
        <v>232.5902129145469</v>
      </c>
      <c r="T59" s="59">
        <f t="shared" si="34"/>
        <v>340.94590122751879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155.98212461072958</v>
      </c>
      <c r="AA59" s="21">
        <f>EXP(-LN(2)/25)*AA58+(1-EXP(-LN(2)/25))/(LN(2)/25)*Calculateur!V59*Calculateur!X59*VLOOKUP('Données projet'!$B$9,Paramètres!$A$1:$I$89,3,0)*0.475*44/12</f>
        <v>15.768766586154923</v>
      </c>
      <c r="AB59" s="21">
        <f>EXP(-LN(2)/2)*AB58+(1-EXP(-LN(2)/2))/(LN(2)/2)*V59*Y59*VLOOKUP('Données projet'!$B$9,Paramètres!$A$1:$I$89,3,0)*0.475*44/12</f>
        <v>0.30288501049412303</v>
      </c>
      <c r="AC59" s="22">
        <f t="shared" si="3"/>
        <v>172.05377620737863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0</v>
      </c>
      <c r="AI59" s="13">
        <f>IF('Données projet'!$A$62&gt;35,AI58+AH59-AQ58,IF(A59&lt;'Données projet'!$A$62,$AF$205^A59,IF(A59='Données projet'!$A$62,'Données projet'!$B$62,AI58+AH59-AQ58)))</f>
        <v>0</v>
      </c>
      <c r="AJ59" s="13" t="e">
        <f>AI59*VLOOKUP('Données projet'!$B$10,Paramètres!$A$1:$I$89,3,0)*VLOOKUP('Données projet'!$B$10,Paramètres!$A$1:$I$89,5,0)</f>
        <v>#N/A</v>
      </c>
      <c r="AK59" s="13" t="e">
        <f t="shared" si="35"/>
        <v>#N/A</v>
      </c>
      <c r="AL59" s="20" t="e">
        <f t="shared" si="4"/>
        <v>#N/A</v>
      </c>
      <c r="AM59" s="59" t="e">
        <f t="shared" si="5"/>
        <v>#N/A</v>
      </c>
      <c r="AN59" s="59" t="e">
        <f ca="1">AVERAGE(OFFSET($AM$3,0,0,'Données projet'!$E$10+1,1))-AVERAGE(OFFSET($H$3,0,0,'Données projet'!$E$10+1,1))</f>
        <v>#N/A</v>
      </c>
      <c r="AO59" s="59" t="e">
        <f t="shared" si="36"/>
        <v>#N/A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 t="e">
        <f>EXP(-LN(2)/35)*AU58+(1-EXP(-LN(2)/35))/(LN(2)/35)*AQ59*AR59*VLOOKUP('Données projet'!$B$10,Paramètres!$A$1:$I$89,3,0)*0.475*44/12</f>
        <v>#N/A</v>
      </c>
      <c r="AV59" s="21" t="e">
        <f>EXP(-LN(2)/25)*AV58+(1-EXP(-LN(2)/25))/(LN(2)/25)*Calculateur!AQ59*Calculateur!AS59*VLOOKUP('Données projet'!$B$10,Paramètres!$A$1:$I$89,3,0)*0.475*44/12</f>
        <v>#N/A</v>
      </c>
      <c r="AW59" s="21" t="e">
        <f>EXP(-LN(2)/2)*AW58+(1-EXP(-LN(2)/2))/(LN(2)/2)*AQ59*AT59*VLOOKUP('Données projet'!$B$10,Paramètres!$A$1:$I$89,3,0)*0.475*44/12</f>
        <v>#N/A</v>
      </c>
      <c r="AX59" s="21" t="e">
        <f t="shared" si="6"/>
        <v>#N/A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2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34.085999999999977</v>
      </c>
      <c r="D60" s="11">
        <f t="shared" si="32"/>
        <v>10.41684623515679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343.53074286787682</v>
      </c>
      <c r="H60" s="67">
        <f t="shared" si="1"/>
        <v>370.842457192898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-5.6843418860808015E-14</v>
      </c>
      <c r="O60" s="13">
        <f>N60*VLOOKUP('Données projet'!$B$9,Paramètres!$A$1:$I$89,3,0)*VLOOKUP('Données projet'!$B$9,Paramètres!$A$1:$I$89,5,0)</f>
        <v>-3.3992364478763198E-14</v>
      </c>
      <c r="P60" s="13" t="e">
        <f t="shared" si="33"/>
        <v>#NUM!</v>
      </c>
      <c r="Q60" s="20" t="e">
        <f t="shared" si="53"/>
        <v>#NUM!</v>
      </c>
      <c r="R60" s="59" t="e">
        <f t="shared" si="0"/>
        <v>#NUM!</v>
      </c>
      <c r="S60" s="59">
        <f ca="1">AVERAGE(OFFSET($R$3,0,0,'Données projet'!$E$9+1,1))-AVERAGE(OFFSET($H$3,0,0,'Données projet'!$E$9+1,1))</f>
        <v>232.5902129145469</v>
      </c>
      <c r="T60" s="59">
        <f t="shared" si="34"/>
        <v>340.94590122751879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152.92341028681491</v>
      </c>
      <c r="AA60" s="21">
        <f>EXP(-LN(2)/25)*AA59+(1-EXP(-LN(2)/25))/(LN(2)/25)*Calculateur!V60*Calculateur!X60*VLOOKUP('Données projet'!$B$9,Paramètres!$A$1:$I$89,3,0)*0.475*44/12</f>
        <v>15.337568834613123</v>
      </c>
      <c r="AB60" s="21">
        <f>EXP(-LN(2)/2)*AB59+(1-EXP(-LN(2)/2))/(LN(2)/2)*V60*Y60*VLOOKUP('Données projet'!$B$9,Paramètres!$A$1:$I$89,3,0)*0.475*44/12</f>
        <v>0.21417204484015301</v>
      </c>
      <c r="AC60" s="22">
        <f t="shared" si="3"/>
        <v>168.47515116626818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0</v>
      </c>
      <c r="AI60" s="13">
        <f>IF('Données projet'!$A$62&gt;35,AI59+AH60-AQ59,IF(A60&lt;'Données projet'!$A$62,$AF$205^A60,IF(A60='Données projet'!$A$62,'Données projet'!$B$62,AI59+AH60-AQ59)))</f>
        <v>0</v>
      </c>
      <c r="AJ60" s="13" t="e">
        <f>AI60*VLOOKUP('Données projet'!$B$10,Paramètres!$A$1:$I$89,3,0)*VLOOKUP('Données projet'!$B$10,Paramètres!$A$1:$I$89,5,0)</f>
        <v>#N/A</v>
      </c>
      <c r="AK60" s="13" t="e">
        <f t="shared" si="35"/>
        <v>#N/A</v>
      </c>
      <c r="AL60" s="20" t="e">
        <f t="shared" si="4"/>
        <v>#N/A</v>
      </c>
      <c r="AM60" s="59" t="e">
        <f t="shared" si="5"/>
        <v>#N/A</v>
      </c>
      <c r="AN60" s="59" t="e">
        <f ca="1">AVERAGE(OFFSET($AM$3,0,0,'Données projet'!$E$10+1,1))-AVERAGE(OFFSET($H$3,0,0,'Données projet'!$E$10+1,1))</f>
        <v>#N/A</v>
      </c>
      <c r="AO60" s="59" t="e">
        <f t="shared" si="36"/>
        <v>#N/A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 t="e">
        <f>EXP(-LN(2)/35)*AU59+(1-EXP(-LN(2)/35))/(LN(2)/35)*AQ60*AR60*VLOOKUP('Données projet'!$B$10,Paramètres!$A$1:$I$89,3,0)*0.475*44/12</f>
        <v>#N/A</v>
      </c>
      <c r="AV60" s="21" t="e">
        <f>EXP(-LN(2)/25)*AV59+(1-EXP(-LN(2)/25))/(LN(2)/25)*Calculateur!AQ60*Calculateur!AS60*VLOOKUP('Données projet'!$B$10,Paramètres!$A$1:$I$89,3,0)*0.475*44/12</f>
        <v>#N/A</v>
      </c>
      <c r="AW60" s="21" t="e">
        <f>EXP(-LN(2)/2)*AW59+(1-EXP(-LN(2)/2))/(LN(2)/2)*AQ60*AT60*VLOOKUP('Données projet'!$B$10,Paramètres!$A$1:$I$89,3,0)*0.475*44/12</f>
        <v>#N/A</v>
      </c>
      <c r="AX60" s="21" t="e">
        <f t="shared" si="6"/>
        <v>#N/A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2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34.683999999999976</v>
      </c>
      <c r="D61" s="11">
        <f t="shared" si="32"/>
        <v>10.578161814566396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349.39212628788073</v>
      </c>
      <c r="H61" s="67">
        <f t="shared" si="1"/>
        <v>372.16493182703641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-5.6843418860808015E-14</v>
      </c>
      <c r="O61" s="13">
        <f>N61*VLOOKUP('Données projet'!$B$9,Paramètres!$A$1:$I$89,3,0)*VLOOKUP('Données projet'!$B$9,Paramètres!$A$1:$I$89,5,0)</f>
        <v>-3.3992364478763198E-14</v>
      </c>
      <c r="P61" s="13" t="e">
        <f t="shared" si="33"/>
        <v>#NUM!</v>
      </c>
      <c r="Q61" s="20" t="e">
        <f t="shared" si="53"/>
        <v>#NUM!</v>
      </c>
      <c r="R61" s="59" t="e">
        <f t="shared" si="0"/>
        <v>#NUM!</v>
      </c>
      <c r="S61" s="59">
        <f ca="1">AVERAGE(OFFSET($R$3,0,0,'Données projet'!$E$9+1,1))-AVERAGE(OFFSET($H$3,0,0,'Données projet'!$E$9+1,1))</f>
        <v>232.5902129145469</v>
      </c>
      <c r="T61" s="59">
        <f t="shared" si="34"/>
        <v>340.94590122751879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149.92467548516069</v>
      </c>
      <c r="AA61" s="21">
        <f>EXP(-LN(2)/25)*AA60+(1-EXP(-LN(2)/25))/(LN(2)/25)*Calculateur!V61*Calculateur!X61*VLOOKUP('Données projet'!$B$9,Paramètres!$A$1:$I$89,3,0)*0.475*44/12</f>
        <v>14.918162208262936</v>
      </c>
      <c r="AB61" s="21">
        <f>EXP(-LN(2)/2)*AB60+(1-EXP(-LN(2)/2))/(LN(2)/2)*V61*Y61*VLOOKUP('Données projet'!$B$9,Paramètres!$A$1:$I$89,3,0)*0.475*44/12</f>
        <v>0.15144250524706152</v>
      </c>
      <c r="AC61" s="22">
        <f t="shared" si="3"/>
        <v>164.99428019867071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0</v>
      </c>
      <c r="AI61" s="13">
        <f>IF('Données projet'!$A$62&gt;35,AI60+AH61-AQ60,IF(A61&lt;'Données projet'!$A$62,$AF$205^A61,IF(A61='Données projet'!$A$62,'Données projet'!$B$62,AI60+AH61-AQ60)))</f>
        <v>0</v>
      </c>
      <c r="AJ61" s="13" t="e">
        <f>AI61*VLOOKUP('Données projet'!$B$10,Paramètres!$A$1:$I$89,3,0)*VLOOKUP('Données projet'!$B$10,Paramètres!$A$1:$I$89,5,0)</f>
        <v>#N/A</v>
      </c>
      <c r="AK61" s="13" t="e">
        <f t="shared" si="35"/>
        <v>#N/A</v>
      </c>
      <c r="AL61" s="20" t="e">
        <f t="shared" si="4"/>
        <v>#N/A</v>
      </c>
      <c r="AM61" s="59" t="e">
        <f t="shared" si="5"/>
        <v>#N/A</v>
      </c>
      <c r="AN61" s="59" t="e">
        <f ca="1">AVERAGE(OFFSET($AM$3,0,0,'Données projet'!$E$10+1,1))-AVERAGE(OFFSET($H$3,0,0,'Données projet'!$E$10+1,1))</f>
        <v>#N/A</v>
      </c>
      <c r="AO61" s="59" t="e">
        <f t="shared" si="36"/>
        <v>#N/A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 t="e">
        <f>EXP(-LN(2)/35)*AU60+(1-EXP(-LN(2)/35))/(LN(2)/35)*AQ61*AR61*VLOOKUP('Données projet'!$B$10,Paramètres!$A$1:$I$89,3,0)*0.475*44/12</f>
        <v>#N/A</v>
      </c>
      <c r="AV61" s="21" t="e">
        <f>EXP(-LN(2)/25)*AV60+(1-EXP(-LN(2)/25))/(LN(2)/25)*Calculateur!AQ61*Calculateur!AS61*VLOOKUP('Données projet'!$B$10,Paramètres!$A$1:$I$89,3,0)*0.475*44/12</f>
        <v>#N/A</v>
      </c>
      <c r="AW61" s="21" t="e">
        <f>EXP(-LN(2)/2)*AW60+(1-EXP(-LN(2)/2))/(LN(2)/2)*AQ61*AT61*VLOOKUP('Données projet'!$B$10,Paramètres!$A$1:$I$89,3,0)*0.475*44/12</f>
        <v>#N/A</v>
      </c>
      <c r="AX61" s="21" t="e">
        <f t="shared" si="6"/>
        <v>#N/A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2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35.281999999999975</v>
      </c>
      <c r="D62" s="11">
        <f t="shared" si="32"/>
        <v>10.739153957997569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355.25101300910387</v>
      </c>
      <c r="H62" s="67">
        <f t="shared" si="1"/>
        <v>373.48684314351237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-5.6843418860808015E-14</v>
      </c>
      <c r="O62" s="13">
        <f>N62*VLOOKUP('Données projet'!$B$9,Paramètres!$A$1:$I$89,3,0)*VLOOKUP('Données projet'!$B$9,Paramètres!$A$1:$I$89,5,0)</f>
        <v>-3.3992364478763198E-14</v>
      </c>
      <c r="P62" s="13" t="e">
        <f t="shared" si="33"/>
        <v>#NUM!</v>
      </c>
      <c r="Q62" s="20" t="e">
        <f t="shared" si="53"/>
        <v>#NUM!</v>
      </c>
      <c r="R62" s="59" t="e">
        <f t="shared" si="0"/>
        <v>#NUM!</v>
      </c>
      <c r="S62" s="59">
        <f ca="1">AVERAGE(OFFSET($R$3,0,0,'Données projet'!$E$9+1,1))-AVERAGE(OFFSET($H$3,0,0,'Données projet'!$E$9+1,1))</f>
        <v>232.5902129145469</v>
      </c>
      <c r="T62" s="59">
        <f t="shared" si="34"/>
        <v>340.94590122751879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146.98474404391928</v>
      </c>
      <c r="AA62" s="21">
        <f>EXP(-LN(2)/25)*AA61+(1-EXP(-LN(2)/25))/(LN(2)/25)*Calculateur!V62*Calculateur!X62*VLOOKUP('Données projet'!$B$9,Paramètres!$A$1:$I$89,3,0)*0.475*44/12</f>
        <v>14.510224278165932</v>
      </c>
      <c r="AB62" s="21">
        <f>EXP(-LN(2)/2)*AB61+(1-EXP(-LN(2)/2))/(LN(2)/2)*V62*Y62*VLOOKUP('Données projet'!$B$9,Paramètres!$A$1:$I$89,3,0)*0.475*44/12</f>
        <v>0.1070860224200765</v>
      </c>
      <c r="AC62" s="22">
        <f t="shared" si="3"/>
        <v>161.60205434450529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0</v>
      </c>
      <c r="AI62" s="13">
        <f>IF('Données projet'!$A$62&gt;35,AI61+AH62-AQ61,IF(A62&lt;'Données projet'!$A$62,$AF$205^A62,IF(A62='Données projet'!$A$62,'Données projet'!$B$62,AI61+AH62-AQ61)))</f>
        <v>0</v>
      </c>
      <c r="AJ62" s="13" t="e">
        <f>AI62*VLOOKUP('Données projet'!$B$10,Paramètres!$A$1:$I$89,3,0)*VLOOKUP('Données projet'!$B$10,Paramètres!$A$1:$I$89,5,0)</f>
        <v>#N/A</v>
      </c>
      <c r="AK62" s="13" t="e">
        <f t="shared" si="35"/>
        <v>#N/A</v>
      </c>
      <c r="AL62" s="20" t="e">
        <f t="shared" si="4"/>
        <v>#N/A</v>
      </c>
      <c r="AM62" s="59" t="e">
        <f t="shared" si="5"/>
        <v>#N/A</v>
      </c>
      <c r="AN62" s="59" t="e">
        <f ca="1">AVERAGE(OFFSET($AM$3,0,0,'Données projet'!$E$10+1,1))-AVERAGE(OFFSET($H$3,0,0,'Données projet'!$E$10+1,1))</f>
        <v>#N/A</v>
      </c>
      <c r="AO62" s="59" t="e">
        <f t="shared" si="36"/>
        <v>#N/A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 t="e">
        <f>EXP(-LN(2)/35)*AU61+(1-EXP(-LN(2)/35))/(LN(2)/35)*AQ62*AR62*VLOOKUP('Données projet'!$B$10,Paramètres!$A$1:$I$89,3,0)*0.475*44/12</f>
        <v>#N/A</v>
      </c>
      <c r="AV62" s="21" t="e">
        <f>EXP(-LN(2)/25)*AV61+(1-EXP(-LN(2)/25))/(LN(2)/25)*Calculateur!AQ62*Calculateur!AS62*VLOOKUP('Données projet'!$B$10,Paramètres!$A$1:$I$89,3,0)*0.475*44/12</f>
        <v>#N/A</v>
      </c>
      <c r="AW62" s="21" t="e">
        <f>EXP(-LN(2)/2)*AW61+(1-EXP(-LN(2)/2))/(LN(2)/2)*AQ62*AT62*VLOOKUP('Données projet'!$B$10,Paramètres!$A$1:$I$89,3,0)*0.475*44/12</f>
        <v>#N/A</v>
      </c>
      <c r="AX62" s="21" t="e">
        <f t="shared" si="6"/>
        <v>#N/A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2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35.879999999999974</v>
      </c>
      <c r="D63" s="11">
        <f t="shared" si="32"/>
        <v>10.89982878007377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361.10745023214821</v>
      </c>
      <c r="H63" s="67">
        <f t="shared" si="1"/>
        <v>374.80820179196172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-5.6843418860808015E-14</v>
      </c>
      <c r="O63" s="13">
        <f>N63*VLOOKUP('Données projet'!$B$9,Paramètres!$A$1:$I$89,3,0)*VLOOKUP('Données projet'!$B$9,Paramètres!$A$1:$I$89,5,0)</f>
        <v>-3.3992364478763198E-14</v>
      </c>
      <c r="P63" s="13" t="e">
        <f t="shared" si="33"/>
        <v>#NUM!</v>
      </c>
      <c r="Q63" s="20" t="e">
        <f t="shared" si="53"/>
        <v>#NUM!</v>
      </c>
      <c r="R63" s="59" t="e">
        <f t="shared" si="0"/>
        <v>#NUM!</v>
      </c>
      <c r="S63" s="59">
        <f ca="1">AVERAGE(OFFSET($R$3,0,0,'Données projet'!$E$9+1,1))-AVERAGE(OFFSET($H$3,0,0,'Données projet'!$E$9+1,1))</f>
        <v>232.5902129145469</v>
      </c>
      <c r="T63" s="59">
        <f t="shared" si="34"/>
        <v>340.94590122751879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144.10246286505949</v>
      </c>
      <c r="AA63" s="21">
        <f>EXP(-LN(2)/25)*AA62+(1-EXP(-LN(2)/25))/(LN(2)/25)*Calculateur!V63*Calculateur!X63*VLOOKUP('Données projet'!$B$9,Paramètres!$A$1:$I$89,3,0)*0.475*44/12</f>
        <v>14.113441432219954</v>
      </c>
      <c r="AB63" s="21">
        <f>EXP(-LN(2)/2)*AB62+(1-EXP(-LN(2)/2))/(LN(2)/2)*V63*Y63*VLOOKUP('Données projet'!$B$9,Paramètres!$A$1:$I$89,3,0)*0.475*44/12</f>
        <v>7.5721252623530758E-2</v>
      </c>
      <c r="AC63" s="22">
        <f t="shared" si="3"/>
        <v>158.29162554990299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 t="e">
        <f>VLOOKUP(A63,'Données projet'!$A$61:$I$81,2,0)</f>
        <v>#N/A</v>
      </c>
      <c r="AG63" s="12" t="e">
        <f>VLOOKUP(A63,'Données projet'!$A$61:$I$81,9,0)</f>
        <v>#N/A</v>
      </c>
      <c r="AH63" s="12">
        <f t="array" ref="AH63">INDEX(AG:AG,MIN(IF(ISNUMBER(AG63:AG259),ROW(AG63:AG259),"")))</f>
        <v>0</v>
      </c>
      <c r="AI63" s="13">
        <f>IF('Données projet'!$A$62&gt;35,AI62+AH63-AQ62,IF(A63&lt;'Données projet'!$A$62,$AF$205^A63,IF(A63='Données projet'!$A$62,'Données projet'!$B$62,AI62+AH63-AQ62)))</f>
        <v>0</v>
      </c>
      <c r="AJ63" s="13" t="e">
        <f>AI63*VLOOKUP('Données projet'!$B$10,Paramètres!$A$1:$I$89,3,0)*VLOOKUP('Données projet'!$B$10,Paramètres!$A$1:$I$89,5,0)</f>
        <v>#N/A</v>
      </c>
      <c r="AK63" s="13" t="e">
        <f t="shared" si="35"/>
        <v>#N/A</v>
      </c>
      <c r="AL63" s="20" t="e">
        <f t="shared" si="4"/>
        <v>#N/A</v>
      </c>
      <c r="AM63" s="59" t="e">
        <f t="shared" si="5"/>
        <v>#N/A</v>
      </c>
      <c r="AN63" s="59" t="e">
        <f ca="1">AVERAGE(OFFSET($AM$3,0,0,'Données projet'!$E$10+1,1))-AVERAGE(OFFSET($H$3,0,0,'Données projet'!$E$10+1,1))</f>
        <v>#N/A</v>
      </c>
      <c r="AO63" s="59" t="e">
        <f t="shared" si="36"/>
        <v>#N/A</v>
      </c>
      <c r="AP63" s="15">
        <f>IF(ISNA(VLOOKUP(A63,'Données projet'!$A$61:$I$81,3,0)),0,VLOOKUP(A63,'Données projet'!$A$61:$I$81,3,0))</f>
        <v>0</v>
      </c>
      <c r="AQ63" s="15">
        <f>IF(ISNA(VLOOKUP(A63,'Données projet'!$A$61:$I$81,4,0)),0,VLOOKUP(A63,'Données projet'!$A$61:$I$81,4,0))</f>
        <v>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 t="e">
        <f>EXP(-LN(2)/35)*AU62+(1-EXP(-LN(2)/35))/(LN(2)/35)*AQ63*AR63*VLOOKUP('Données projet'!$B$10,Paramètres!$A$1:$I$89,3,0)*0.475*44/12</f>
        <v>#N/A</v>
      </c>
      <c r="AV63" s="21" t="e">
        <f>EXP(-LN(2)/25)*AV62+(1-EXP(-LN(2)/25))/(LN(2)/25)*Calculateur!AQ63*Calculateur!AS63*VLOOKUP('Données projet'!$B$10,Paramètres!$A$1:$I$89,3,0)*0.475*44/12</f>
        <v>#N/A</v>
      </c>
      <c r="AW63" s="21" t="e">
        <f>EXP(-LN(2)/2)*AW62+(1-EXP(-LN(2)/2))/(LN(2)/2)*AQ63*AT63*VLOOKUP('Données projet'!$B$10,Paramètres!$A$1:$I$89,3,0)*0.475*44/12</f>
        <v>#N/A</v>
      </c>
      <c r="AX63" s="21" t="e">
        <f t="shared" si="6"/>
        <v>#N/A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2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36.477999999999973</v>
      </c>
      <c r="D64" s="11">
        <f t="shared" si="32"/>
        <v>11.060192179914555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366.96148349407707</v>
      </c>
      <c r="H64" s="67">
        <f t="shared" si="1"/>
        <v>376.12901804668445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-5.6843418860808015E-14</v>
      </c>
      <c r="O64" s="13">
        <f>N64*VLOOKUP('Données projet'!$B$9,Paramètres!$A$1:$I$89,3,0)*VLOOKUP('Données projet'!$B$9,Paramètres!$A$1:$I$89,5,0)</f>
        <v>-3.3992364478763198E-14</v>
      </c>
      <c r="P64" s="13" t="e">
        <f t="shared" si="33"/>
        <v>#NUM!</v>
      </c>
      <c r="Q64" s="20" t="e">
        <f t="shared" si="53"/>
        <v>#NUM!</v>
      </c>
      <c r="R64" s="59" t="e">
        <f t="shared" si="0"/>
        <v>#NUM!</v>
      </c>
      <c r="S64" s="59">
        <f ca="1">AVERAGE(OFFSET($R$3,0,0,'Données projet'!$E$9+1,1))-AVERAGE(OFFSET($H$3,0,0,'Données projet'!$E$9+1,1))</f>
        <v>232.5902129145469</v>
      </c>
      <c r="T64" s="59">
        <f t="shared" si="34"/>
        <v>340.94590122751879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141.27670146209923</v>
      </c>
      <c r="AA64" s="21">
        <f>EXP(-LN(2)/25)*AA63+(1-EXP(-LN(2)/25))/(LN(2)/25)*Calculateur!V64*Calculateur!X64*VLOOKUP('Données projet'!$B$9,Paramètres!$A$1:$I$89,3,0)*0.475*44/12</f>
        <v>13.727508634062271</v>
      </c>
      <c r="AB64" s="21">
        <f>EXP(-LN(2)/2)*AB63+(1-EXP(-LN(2)/2))/(LN(2)/2)*V64*Y64*VLOOKUP('Données projet'!$B$9,Paramètres!$A$1:$I$89,3,0)*0.475*44/12</f>
        <v>5.3543011210038252E-2</v>
      </c>
      <c r="AC64" s="22">
        <f t="shared" si="3"/>
        <v>155.05775310737152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0</v>
      </c>
      <c r="AI64" s="13">
        <f>IF('Données projet'!$A$62&gt;35,AI63+AH64-AQ63,IF(A64&lt;'Données projet'!$A$62,$AF$205^A64,IF(A64='Données projet'!$A$62,'Données projet'!$B$62,AI63+AH64-AQ63)))</f>
        <v>0</v>
      </c>
      <c r="AJ64" s="13" t="e">
        <f>AI64*VLOOKUP('Données projet'!$B$10,Paramètres!$A$1:$I$89,3,0)*VLOOKUP('Données projet'!$B$10,Paramètres!$A$1:$I$89,5,0)</f>
        <v>#N/A</v>
      </c>
      <c r="AK64" s="13" t="e">
        <f t="shared" si="35"/>
        <v>#N/A</v>
      </c>
      <c r="AL64" s="20" t="e">
        <f t="shared" si="4"/>
        <v>#N/A</v>
      </c>
      <c r="AM64" s="59" t="e">
        <f t="shared" si="5"/>
        <v>#N/A</v>
      </c>
      <c r="AN64" s="59" t="e">
        <f ca="1">AVERAGE(OFFSET($AM$3,0,0,'Données projet'!$E$10+1,1))-AVERAGE(OFFSET($H$3,0,0,'Données projet'!$E$10+1,1))</f>
        <v>#N/A</v>
      </c>
      <c r="AO64" s="59" t="e">
        <f t="shared" si="36"/>
        <v>#N/A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 t="e">
        <f>EXP(-LN(2)/35)*AU63+(1-EXP(-LN(2)/35))/(LN(2)/35)*AQ64*AR64*VLOOKUP('Données projet'!$B$10,Paramètres!$A$1:$I$89,3,0)*0.475*44/12</f>
        <v>#N/A</v>
      </c>
      <c r="AV64" s="21" t="e">
        <f>EXP(-LN(2)/25)*AV63+(1-EXP(-LN(2)/25))/(LN(2)/25)*Calculateur!AQ64*Calculateur!AS64*VLOOKUP('Données projet'!$B$10,Paramètres!$A$1:$I$89,3,0)*0.475*44/12</f>
        <v>#N/A</v>
      </c>
      <c r="AW64" s="21" t="e">
        <f>EXP(-LN(2)/2)*AW63+(1-EXP(-LN(2)/2))/(LN(2)/2)*AQ64*AT64*VLOOKUP('Données projet'!$B$10,Paramètres!$A$1:$I$89,3,0)*0.475*44/12</f>
        <v>#N/A</v>
      </c>
      <c r="AX64" s="21" t="e">
        <f t="shared" si="6"/>
        <v>#N/A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2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37.075999999999972</v>
      </c>
      <c r="D65" s="11">
        <f t="shared" si="32"/>
        <v>11.220249852136822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372.81315675333667</v>
      </c>
      <c r="H65" s="67">
        <f t="shared" si="1"/>
        <v>377.44930182580492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-5.6843418860808015E-14</v>
      </c>
      <c r="O65" s="13">
        <f>N65*VLOOKUP('Données projet'!$B$9,Paramètres!$A$1:$I$89,3,0)*VLOOKUP('Données projet'!$B$9,Paramètres!$A$1:$I$89,5,0)</f>
        <v>-3.3992364478763198E-14</v>
      </c>
      <c r="P65" s="13" t="e">
        <f t="shared" si="33"/>
        <v>#NUM!</v>
      </c>
      <c r="Q65" s="20" t="e">
        <f t="shared" si="53"/>
        <v>#NUM!</v>
      </c>
      <c r="R65" s="59" t="e">
        <f t="shared" si="0"/>
        <v>#NUM!</v>
      </c>
      <c r="S65" s="59">
        <f ca="1">AVERAGE(OFFSET($R$3,0,0,'Données projet'!$E$9+1,1))-AVERAGE(OFFSET($H$3,0,0,'Données projet'!$E$9+1,1))</f>
        <v>232.5902129145469</v>
      </c>
      <c r="T65" s="59">
        <f t="shared" si="34"/>
        <v>340.94590122751879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138.50635151670673</v>
      </c>
      <c r="AA65" s="21">
        <f>EXP(-LN(2)/25)*AA64+(1-EXP(-LN(2)/25))/(LN(2)/25)*Calculateur!V65*Calculateur!X65*VLOOKUP('Données projet'!$B$9,Paramètres!$A$1:$I$89,3,0)*0.475*44/12</f>
        <v>13.352129188565534</v>
      </c>
      <c r="AB65" s="21">
        <f>EXP(-LN(2)/2)*AB64+(1-EXP(-LN(2)/2))/(LN(2)/2)*V65*Y65*VLOOKUP('Données projet'!$B$9,Paramètres!$A$1:$I$89,3,0)*0.475*44/12</f>
        <v>3.7860626311765379E-2</v>
      </c>
      <c r="AC65" s="22">
        <f t="shared" si="3"/>
        <v>151.89634133158401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0</v>
      </c>
      <c r="AI65" s="13">
        <f>IF('Données projet'!$A$62&gt;35,AI64+AH65-AQ64,IF(A65&lt;'Données projet'!$A$62,$AF$205^A65,IF(A65='Données projet'!$A$62,'Données projet'!$B$62,AI64+AH65-AQ64)))</f>
        <v>0</v>
      </c>
      <c r="AJ65" s="13" t="e">
        <f>AI65*VLOOKUP('Données projet'!$B$10,Paramètres!$A$1:$I$89,3,0)*VLOOKUP('Données projet'!$B$10,Paramètres!$A$1:$I$89,5,0)</f>
        <v>#N/A</v>
      </c>
      <c r="AK65" s="13" t="e">
        <f t="shared" si="35"/>
        <v>#N/A</v>
      </c>
      <c r="AL65" s="20" t="e">
        <f t="shared" si="4"/>
        <v>#N/A</v>
      </c>
      <c r="AM65" s="59" t="e">
        <f t="shared" si="5"/>
        <v>#N/A</v>
      </c>
      <c r="AN65" s="59" t="e">
        <f ca="1">AVERAGE(OFFSET($AM$3,0,0,'Données projet'!$E$10+1,1))-AVERAGE(OFFSET($H$3,0,0,'Données projet'!$E$10+1,1))</f>
        <v>#N/A</v>
      </c>
      <c r="AO65" s="59" t="e">
        <f t="shared" si="36"/>
        <v>#N/A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 t="e">
        <f>EXP(-LN(2)/35)*AU64+(1-EXP(-LN(2)/35))/(LN(2)/35)*AQ65*AR65*VLOOKUP('Données projet'!$B$10,Paramètres!$A$1:$I$89,3,0)*0.475*44/12</f>
        <v>#N/A</v>
      </c>
      <c r="AV65" s="21" t="e">
        <f>EXP(-LN(2)/25)*AV64+(1-EXP(-LN(2)/25))/(LN(2)/25)*Calculateur!AQ65*Calculateur!AS65*VLOOKUP('Données projet'!$B$10,Paramètres!$A$1:$I$89,3,0)*0.475*44/12</f>
        <v>#N/A</v>
      </c>
      <c r="AW65" s="21" t="e">
        <f>EXP(-LN(2)/2)*AW64+(1-EXP(-LN(2)/2))/(LN(2)/2)*AQ65*AT65*VLOOKUP('Données projet'!$B$10,Paramètres!$A$1:$I$89,3,0)*0.475*44/12</f>
        <v>#N/A</v>
      </c>
      <c r="AX65" s="21" t="e">
        <f t="shared" si="6"/>
        <v>#N/A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2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66" s="11">
        <f t="shared" si="32"/>
        <v>11.380007297126165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378.6625124690438</v>
      </c>
      <c r="H66" s="67">
        <f t="shared" si="1"/>
        <v>378.76906270916135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-5.6843418860808015E-14</v>
      </c>
      <c r="O66" s="13">
        <f>N66*VLOOKUP('Données projet'!$B$9,Paramètres!$A$1:$I$89,3,0)*VLOOKUP('Données projet'!$B$9,Paramètres!$A$1:$I$89,5,0)</f>
        <v>-3.3992364478763198E-14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232.5902129145469</v>
      </c>
      <c r="T66" s="59">
        <f t="shared" si="34"/>
        <v>340.94590122751879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135.79032644399678</v>
      </c>
      <c r="AA66" s="21">
        <f>EXP(-LN(2)/25)*AA65+(1-EXP(-LN(2)/25))/(LN(2)/25)*Calculateur!V66*Calculateur!X66*VLOOKUP('Données projet'!$B$9,Paramètres!$A$1:$I$89,3,0)*0.475*44/12</f>
        <v>12.987014513746253</v>
      </c>
      <c r="AB66" s="21">
        <f>EXP(-LN(2)/2)*AB65+(1-EXP(-LN(2)/2))/(LN(2)/2)*V66*Y66*VLOOKUP('Données projet'!$B$9,Paramètres!$A$1:$I$89,3,0)*0.475*44/12</f>
        <v>2.6771505605019126E-2</v>
      </c>
      <c r="AC66" s="22">
        <f t="shared" si="3"/>
        <v>148.80411246334805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0</v>
      </c>
      <c r="AI66" s="13">
        <f>IF('Données projet'!$A$62&gt;35,AI65+AH66-AQ65,IF(A66&lt;'Données projet'!$A$62,$AF$205^A66,IF(A66='Données projet'!$A$62,'Données projet'!$B$62,AI65+AH66-AQ65)))</f>
        <v>0</v>
      </c>
      <c r="AJ66" s="13" t="e">
        <f>AI66*VLOOKUP('Données projet'!$B$10,Paramètres!$A$1:$I$89,3,0)*VLOOKUP('Données projet'!$B$10,Paramètres!$A$1:$I$89,5,0)</f>
        <v>#N/A</v>
      </c>
      <c r="AK66" s="13" t="e">
        <f t="shared" si="35"/>
        <v>#N/A</v>
      </c>
      <c r="AL66" s="20" t="e">
        <f t="shared" si="4"/>
        <v>#N/A</v>
      </c>
      <c r="AM66" s="59" t="e">
        <f t="shared" si="5"/>
        <v>#N/A</v>
      </c>
      <c r="AN66" s="59" t="e">
        <f ca="1">AVERAGE(OFFSET($AM$3,0,0,'Données projet'!$E$10+1,1))-AVERAGE(OFFSET($H$3,0,0,'Données projet'!$E$10+1,1))</f>
        <v>#N/A</v>
      </c>
      <c r="AO66" s="59" t="e">
        <f t="shared" si="36"/>
        <v>#N/A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 t="e">
        <f>EXP(-LN(2)/35)*AU65+(1-EXP(-LN(2)/35))/(LN(2)/35)*AQ66*AR66*VLOOKUP('Données projet'!$B$10,Paramètres!$A$1:$I$89,3,0)*0.475*44/12</f>
        <v>#N/A</v>
      </c>
      <c r="AV66" s="21" t="e">
        <f>EXP(-LN(2)/25)*AV65+(1-EXP(-LN(2)/25))/(LN(2)/25)*Calculateur!AQ66*Calculateur!AS66*VLOOKUP('Données projet'!$B$10,Paramètres!$A$1:$I$89,3,0)*0.475*44/12</f>
        <v>#N/A</v>
      </c>
      <c r="AW66" s="21" t="e">
        <f>EXP(-LN(2)/2)*AW65+(1-EXP(-LN(2)/2))/(LN(2)/2)*AQ66*AT66*VLOOKUP('Données projet'!$B$10,Paramètres!$A$1:$I$89,3,0)*0.475*44/12</f>
        <v>#N/A</v>
      </c>
      <c r="AX66" s="21" t="e">
        <f t="shared" si="6"/>
        <v>#N/A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2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38.27199999999997</v>
      </c>
      <c r="D67" s="11">
        <f t="shared" si="32"/>
        <v>11.539469830637575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384.50959167509694</v>
      </c>
      <c r="H67" s="67">
        <f t="shared" si="1"/>
        <v>380.08830995502706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-5.6843418860808015E-14</v>
      </c>
      <c r="O67" s="13">
        <f>N67*VLOOKUP('Données projet'!$B$9,Paramètres!$A$1:$I$89,3,0)*VLOOKUP('Données projet'!$B$9,Paramètres!$A$1:$I$89,5,0)</f>
        <v>-3.3992364478763198E-14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232.5902129145469</v>
      </c>
      <c r="T67" s="59">
        <f t="shared" si="34"/>
        <v>340.94590122751879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133.12756096635096</v>
      </c>
      <c r="AA67" s="21">
        <f>EXP(-LN(2)/25)*AA66+(1-EXP(-LN(2)/25))/(LN(2)/25)*Calculateur!V67*Calculateur!X67*VLOOKUP('Données projet'!$B$9,Paramètres!$A$1:$I$89,3,0)*0.475*44/12</f>
        <v>12.63188391891045</v>
      </c>
      <c r="AB67" s="21">
        <f>EXP(-LN(2)/2)*AB66+(1-EXP(-LN(2)/2))/(LN(2)/2)*V67*Y67*VLOOKUP('Données projet'!$B$9,Paramètres!$A$1:$I$89,3,0)*0.475*44/12</f>
        <v>1.8930313155882689E-2</v>
      </c>
      <c r="AC67" s="22">
        <f t="shared" si="3"/>
        <v>145.77837519841731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0</v>
      </c>
      <c r="AI67" s="13">
        <f>IF('Données projet'!$A$62&gt;35,AI66+AH67-AQ66,IF(A67&lt;'Données projet'!$A$62,$AF$205^A67,IF(A67='Données projet'!$A$62,'Données projet'!$B$62,AI66+AH67-AQ66)))</f>
        <v>0</v>
      </c>
      <c r="AJ67" s="13" t="e">
        <f>AI67*VLOOKUP('Données projet'!$B$10,Paramètres!$A$1:$I$89,3,0)*VLOOKUP('Données projet'!$B$10,Paramètres!$A$1:$I$89,5,0)</f>
        <v>#N/A</v>
      </c>
      <c r="AK67" s="13" t="e">
        <f t="shared" si="35"/>
        <v>#N/A</v>
      </c>
      <c r="AL67" s="20" t="e">
        <f t="shared" si="4"/>
        <v>#N/A</v>
      </c>
      <c r="AM67" s="59" t="e">
        <f t="shared" si="5"/>
        <v>#N/A</v>
      </c>
      <c r="AN67" s="59" t="e">
        <f ca="1">AVERAGE(OFFSET($AM$3,0,0,'Données projet'!$E$10+1,1))-AVERAGE(OFFSET($H$3,0,0,'Données projet'!$E$10+1,1))</f>
        <v>#N/A</v>
      </c>
      <c r="AO67" s="59" t="e">
        <f t="shared" si="36"/>
        <v>#N/A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 t="e">
        <f>EXP(-LN(2)/35)*AU66+(1-EXP(-LN(2)/35))/(LN(2)/35)*AQ67*AR67*VLOOKUP('Données projet'!$B$10,Paramètres!$A$1:$I$89,3,0)*0.475*44/12</f>
        <v>#N/A</v>
      </c>
      <c r="AV67" s="21" t="e">
        <f>EXP(-LN(2)/25)*AV66+(1-EXP(-LN(2)/25))/(LN(2)/25)*Calculateur!AQ67*Calculateur!AS67*VLOOKUP('Données projet'!$B$10,Paramètres!$A$1:$I$89,3,0)*0.475*44/12</f>
        <v>#N/A</v>
      </c>
      <c r="AW67" s="21" t="e">
        <f>EXP(-LN(2)/2)*AW66+(1-EXP(-LN(2)/2))/(LN(2)/2)*AQ67*AT67*VLOOKUP('Données projet'!$B$10,Paramètres!$A$1:$I$89,3,0)*0.475*44/12</f>
        <v>#N/A</v>
      </c>
      <c r="AX67" s="21" t="e">
        <f t="shared" si="6"/>
        <v>#N/A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2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38.869999999999969</v>
      </c>
      <c r="D68" s="11">
        <f t="shared" si="32"/>
        <v>11.698642592779086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390.35443404952258</v>
      </c>
      <c r="H68" s="67">
        <f t="shared" ref="H68:H131" si="56">(B68+E68+F68)*44/12+(C68+D68)*0.475*44/12</f>
        <v>381.40705251575685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-5.6843418860808015E-14</v>
      </c>
      <c r="O68" s="13">
        <f>N68*VLOOKUP('Données projet'!$B$9,Paramètres!$A$1:$I$89,3,0)*VLOOKUP('Données projet'!$B$9,Paramètres!$A$1:$I$89,5,0)</f>
        <v>-3.3992364478763198E-14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232.5902129145469</v>
      </c>
      <c r="T68" s="59">
        <f t="shared" si="34"/>
        <v>340.94590122751879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130.51701069559519</v>
      </c>
      <c r="AA68" s="21">
        <f>EXP(-LN(2)/25)*AA67+(1-EXP(-LN(2)/25))/(LN(2)/25)*Calculateur!V68*Calculateur!X68*VLOOKUP('Données projet'!$B$9,Paramètres!$A$1:$I$89,3,0)*0.475*44/12</f>
        <v>12.286464388865939</v>
      </c>
      <c r="AB68" s="21">
        <f>EXP(-LN(2)/2)*AB67+(1-EXP(-LN(2)/2))/(LN(2)/2)*V68*Y68*VLOOKUP('Données projet'!$B$9,Paramètres!$A$1:$I$89,3,0)*0.475*44/12</f>
        <v>1.3385752802509563E-2</v>
      </c>
      <c r="AC68" s="22">
        <f t="shared" ref="AC68:AC131" si="57">SUM(Z68:AB68)</f>
        <v>142.81686083726365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0</v>
      </c>
      <c r="AI68" s="13">
        <f>IF('Données projet'!$A$62&gt;35,AI67+AH68-AQ67,IF(A68&lt;'Données projet'!$A$62,$AF$205^A68,IF(A68='Données projet'!$A$62,'Données projet'!$B$62,AI67+AH68-AQ67)))</f>
        <v>0</v>
      </c>
      <c r="AJ68" s="13" t="e">
        <f>AI68*VLOOKUP('Données projet'!$B$10,Paramètres!$A$1:$I$89,3,0)*VLOOKUP('Données projet'!$B$10,Paramètres!$A$1:$I$89,5,0)</f>
        <v>#N/A</v>
      </c>
      <c r="AK68" s="13" t="e">
        <f t="shared" si="35"/>
        <v>#N/A</v>
      </c>
      <c r="AL68" s="20" t="e">
        <f t="shared" ref="AL68:AL131" si="58">(AJ68+AK68)*0.475*44/12</f>
        <v>#N/A</v>
      </c>
      <c r="AM68" s="59" t="e">
        <f t="shared" ref="AM68:AM131" si="59">AL68+(AD68+AE68)*44/12</f>
        <v>#N/A</v>
      </c>
      <c r="AN68" s="59" t="e">
        <f ca="1">AVERAGE(OFFSET($AM$3,0,0,'Données projet'!$E$10+1,1))-AVERAGE(OFFSET($H$3,0,0,'Données projet'!$E$10+1,1))</f>
        <v>#N/A</v>
      </c>
      <c r="AO68" s="59" t="e">
        <f t="shared" si="36"/>
        <v>#N/A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 t="e">
        <f>EXP(-LN(2)/35)*AU67+(1-EXP(-LN(2)/35))/(LN(2)/35)*AQ68*AR68*VLOOKUP('Données projet'!$B$10,Paramètres!$A$1:$I$89,3,0)*0.475*44/12</f>
        <v>#N/A</v>
      </c>
      <c r="AV68" s="21" t="e">
        <f>EXP(-LN(2)/25)*AV67+(1-EXP(-LN(2)/25))/(LN(2)/25)*Calculateur!AQ68*Calculateur!AS68*VLOOKUP('Données projet'!$B$10,Paramètres!$A$1:$I$89,3,0)*0.475*44/12</f>
        <v>#N/A</v>
      </c>
      <c r="AW68" s="21" t="e">
        <f>EXP(-LN(2)/2)*AW67+(1-EXP(-LN(2)/2))/(LN(2)/2)*AQ68*AT68*VLOOKUP('Données projet'!$B$10,Paramètres!$A$1:$I$89,3,0)*0.475*44/12</f>
        <v>#N/A</v>
      </c>
      <c r="AX68" s="21" t="e">
        <f t="shared" ref="AX68:AX131" si="60">SUM(AU68:AW68)</f>
        <v>#N/A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2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39.467999999999968</v>
      </c>
      <c r="D69" s="11">
        <f t="shared" ref="D69:D132" si="86">IFERROR(EXP(-1.0587+0.8836*LN(C69)+0.284),0)</f>
        <v>11.857530556426889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396.19707797943539</v>
      </c>
      <c r="H69" s="67">
        <f t="shared" si="56"/>
        <v>382.7252990524434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-5.6843418860808015E-14</v>
      </c>
      <c r="O69" s="13">
        <f>N69*VLOOKUP('Données projet'!$B$9,Paramètres!$A$1:$I$89,3,0)*VLOOKUP('Données projet'!$B$9,Paramètres!$A$1:$I$89,5,0)</f>
        <v>-3.3992364478763198E-14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232.5902129145469</v>
      </c>
      <c r="T69" s="59">
        <f t="shared" ref="T69:T132" si="88">$T$3</f>
        <v>340.94590122751879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127.9576517233705</v>
      </c>
      <c r="AA69" s="21">
        <f>EXP(-LN(2)/25)*AA68+(1-EXP(-LN(2)/25))/(LN(2)/25)*Calculateur!V69*Calculateur!X69*VLOOKUP('Données projet'!$B$9,Paramètres!$A$1:$I$89,3,0)*0.475*44/12</f>
        <v>11.950490374035319</v>
      </c>
      <c r="AB69" s="21">
        <f>EXP(-LN(2)/2)*AB68+(1-EXP(-LN(2)/2))/(LN(2)/2)*V69*Y69*VLOOKUP('Données projet'!$B$9,Paramètres!$A$1:$I$89,3,0)*0.475*44/12</f>
        <v>9.4651565779413447E-3</v>
      </c>
      <c r="AC69" s="22">
        <f t="shared" si="57"/>
        <v>139.91760725398376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0</v>
      </c>
      <c r="AI69" s="13">
        <f>IF('Données projet'!$A$62&gt;35,AI68+AH69-AQ68,IF(A69&lt;'Données projet'!$A$62,$AF$205^A69,IF(A69='Données projet'!$A$62,'Données projet'!$B$62,AI68+AH69-AQ68)))</f>
        <v>0</v>
      </c>
      <c r="AJ69" s="13" t="e">
        <f>AI69*VLOOKUP('Données projet'!$B$10,Paramètres!$A$1:$I$89,3,0)*VLOOKUP('Données projet'!$B$10,Paramètres!$A$1:$I$89,5,0)</f>
        <v>#N/A</v>
      </c>
      <c r="AK69" s="13" t="e">
        <f t="shared" ref="AK69:AK132" si="89">EXP(-1.0587+0.8836*LN(AJ69)+0.284)</f>
        <v>#N/A</v>
      </c>
      <c r="AL69" s="20" t="e">
        <f t="shared" si="58"/>
        <v>#N/A</v>
      </c>
      <c r="AM69" s="59" t="e">
        <f t="shared" si="59"/>
        <v>#N/A</v>
      </c>
      <c r="AN69" s="59" t="e">
        <f ca="1">AVERAGE(OFFSET($AM$3,0,0,'Données projet'!$E$10+1,1))-AVERAGE(OFFSET($H$3,0,0,'Données projet'!$E$10+1,1))</f>
        <v>#N/A</v>
      </c>
      <c r="AO69" s="59" t="e">
        <f t="shared" ref="AO69:AO132" si="90">$AO$3</f>
        <v>#N/A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 t="e">
        <f>EXP(-LN(2)/35)*AU68+(1-EXP(-LN(2)/35))/(LN(2)/35)*AQ69*AR69*VLOOKUP('Données projet'!$B$10,Paramètres!$A$1:$I$89,3,0)*0.475*44/12</f>
        <v>#N/A</v>
      </c>
      <c r="AV69" s="21" t="e">
        <f>EXP(-LN(2)/25)*AV68+(1-EXP(-LN(2)/25))/(LN(2)/25)*Calculateur!AQ69*Calculateur!AS69*VLOOKUP('Données projet'!$B$10,Paramètres!$A$1:$I$89,3,0)*0.475*44/12</f>
        <v>#N/A</v>
      </c>
      <c r="AW69" s="21" t="e">
        <f>EXP(-LN(2)/2)*AW68+(1-EXP(-LN(2)/2))/(LN(2)/2)*AQ69*AT69*VLOOKUP('Données projet'!$B$10,Paramètres!$A$1:$I$89,3,0)*0.475*44/12</f>
        <v>#N/A</v>
      </c>
      <c r="AX69" s="21" t="e">
        <f t="shared" si="60"/>
        <v>#N/A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2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40.065999999999967</v>
      </c>
      <c r="D70" s="11">
        <f t="shared" si="86"/>
        <v>12.016138535115942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402.03756062194742</v>
      </c>
      <c r="H70" s="67">
        <f t="shared" si="56"/>
        <v>384.04305794866019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-5.6843418860808015E-14</v>
      </c>
      <c r="O70" s="13">
        <f>N70*VLOOKUP('Données projet'!$B$9,Paramètres!$A$1:$I$89,3,0)*VLOOKUP('Données projet'!$B$9,Paramètres!$A$1:$I$89,5,0)</f>
        <v>-3.3992364478763198E-14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232.5902129145469</v>
      </c>
      <c r="T70" s="59">
        <f t="shared" si="88"/>
        <v>340.94590122751879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125.44848021953631</v>
      </c>
      <c r="AA70" s="21">
        <f>EXP(-LN(2)/25)*AA69+(1-EXP(-LN(2)/25))/(LN(2)/25)*Calculateur!V70*Calculateur!X70*VLOOKUP('Données projet'!$B$9,Paramètres!$A$1:$I$89,3,0)*0.475*44/12</f>
        <v>11.623703586308347</v>
      </c>
      <c r="AB70" s="21">
        <f>EXP(-LN(2)/2)*AB69+(1-EXP(-LN(2)/2))/(LN(2)/2)*V70*Y70*VLOOKUP('Données projet'!$B$9,Paramètres!$A$1:$I$89,3,0)*0.475*44/12</f>
        <v>6.6928764012547815E-3</v>
      </c>
      <c r="AC70" s="22">
        <f t="shared" si="57"/>
        <v>137.07887668224589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0</v>
      </c>
      <c r="AI70" s="13">
        <f>IF('Données projet'!$A$62&gt;35,AI69+AH70-AQ69,IF(A70&lt;'Données projet'!$A$62,$AF$205^A70,IF(A70='Données projet'!$A$62,'Données projet'!$B$62,AI69+AH70-AQ69)))</f>
        <v>0</v>
      </c>
      <c r="AJ70" s="13" t="e">
        <f>AI70*VLOOKUP('Données projet'!$B$10,Paramètres!$A$1:$I$89,3,0)*VLOOKUP('Données projet'!$B$10,Paramètres!$A$1:$I$89,5,0)</f>
        <v>#N/A</v>
      </c>
      <c r="AK70" s="13" t="e">
        <f t="shared" si="89"/>
        <v>#N/A</v>
      </c>
      <c r="AL70" s="20" t="e">
        <f t="shared" si="58"/>
        <v>#N/A</v>
      </c>
      <c r="AM70" s="59" t="e">
        <f t="shared" si="59"/>
        <v>#N/A</v>
      </c>
      <c r="AN70" s="59" t="e">
        <f ca="1">AVERAGE(OFFSET($AM$3,0,0,'Données projet'!$E$10+1,1))-AVERAGE(OFFSET($H$3,0,0,'Données projet'!$E$10+1,1))</f>
        <v>#N/A</v>
      </c>
      <c r="AO70" s="59" t="e">
        <f t="shared" si="90"/>
        <v>#N/A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 t="e">
        <f>EXP(-LN(2)/35)*AU69+(1-EXP(-LN(2)/35))/(LN(2)/35)*AQ70*AR70*VLOOKUP('Données projet'!$B$10,Paramètres!$A$1:$I$89,3,0)*0.475*44/12</f>
        <v>#N/A</v>
      </c>
      <c r="AV70" s="21" t="e">
        <f>EXP(-LN(2)/25)*AV69+(1-EXP(-LN(2)/25))/(LN(2)/25)*Calculateur!AQ70*Calculateur!AS70*VLOOKUP('Données projet'!$B$10,Paramètres!$A$1:$I$89,3,0)*0.475*44/12</f>
        <v>#N/A</v>
      </c>
      <c r="AW70" s="21" t="e">
        <f>EXP(-LN(2)/2)*AW69+(1-EXP(-LN(2)/2))/(LN(2)/2)*AQ70*AT70*VLOOKUP('Données projet'!$B$10,Paramètres!$A$1:$I$89,3,0)*0.475*44/12</f>
        <v>#N/A</v>
      </c>
      <c r="AX70" s="21" t="e">
        <f t="shared" si="60"/>
        <v>#N/A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2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40.663999999999966</v>
      </c>
      <c r="D71" s="11">
        <f t="shared" si="86"/>
        <v>12.174471190446138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407.8759179613383</v>
      </c>
      <c r="H71" s="67">
        <f t="shared" si="56"/>
        <v>385.36033732336028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-5.6843418860808015E-14</v>
      </c>
      <c r="O71" s="13">
        <f>N71*VLOOKUP('Données projet'!$B$9,Paramètres!$A$1:$I$89,3,0)*VLOOKUP('Données projet'!$B$9,Paramètres!$A$1:$I$89,5,0)</f>
        <v>-3.3992364478763198E-14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232.5902129145469</v>
      </c>
      <c r="T71" s="59">
        <f t="shared" si="88"/>
        <v>340.94590122751879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122.9885120384488</v>
      </c>
      <c r="AA71" s="21">
        <f>EXP(-LN(2)/25)*AA70+(1-EXP(-LN(2)/25))/(LN(2)/25)*Calculateur!V71*Calculateur!X71*VLOOKUP('Données projet'!$B$9,Paramètres!$A$1:$I$89,3,0)*0.475*44/12</f>
        <v>11.305852800476739</v>
      </c>
      <c r="AB71" s="21">
        <f>EXP(-LN(2)/2)*AB70+(1-EXP(-LN(2)/2))/(LN(2)/2)*V71*Y71*VLOOKUP('Données projet'!$B$9,Paramètres!$A$1:$I$89,3,0)*0.475*44/12</f>
        <v>4.7325782889706723E-3</v>
      </c>
      <c r="AC71" s="22">
        <f t="shared" si="57"/>
        <v>134.29909741721451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0</v>
      </c>
      <c r="AI71" s="13">
        <f>IF('Données projet'!$A$62&gt;35,AI70+AH71-AQ70,IF(A71&lt;'Données projet'!$A$62,$AF$205^A71,IF(A71='Données projet'!$A$62,'Données projet'!$B$62,AI70+AH71-AQ70)))</f>
        <v>0</v>
      </c>
      <c r="AJ71" s="13" t="e">
        <f>AI71*VLOOKUP('Données projet'!$B$10,Paramètres!$A$1:$I$89,3,0)*VLOOKUP('Données projet'!$B$10,Paramètres!$A$1:$I$89,5,0)</f>
        <v>#N/A</v>
      </c>
      <c r="AK71" s="13" t="e">
        <f t="shared" si="89"/>
        <v>#N/A</v>
      </c>
      <c r="AL71" s="20" t="e">
        <f t="shared" si="58"/>
        <v>#N/A</v>
      </c>
      <c r="AM71" s="59" t="e">
        <f t="shared" si="59"/>
        <v>#N/A</v>
      </c>
      <c r="AN71" s="59" t="e">
        <f ca="1">AVERAGE(OFFSET($AM$3,0,0,'Données projet'!$E$10+1,1))-AVERAGE(OFFSET($H$3,0,0,'Données projet'!$E$10+1,1))</f>
        <v>#N/A</v>
      </c>
      <c r="AO71" s="59" t="e">
        <f t="shared" si="90"/>
        <v>#N/A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 t="e">
        <f>EXP(-LN(2)/35)*AU70+(1-EXP(-LN(2)/35))/(LN(2)/35)*AQ71*AR71*VLOOKUP('Données projet'!$B$10,Paramètres!$A$1:$I$89,3,0)*0.475*44/12</f>
        <v>#N/A</v>
      </c>
      <c r="AV71" s="21" t="e">
        <f>EXP(-LN(2)/25)*AV70+(1-EXP(-LN(2)/25))/(LN(2)/25)*Calculateur!AQ71*Calculateur!AS71*VLOOKUP('Données projet'!$B$10,Paramètres!$A$1:$I$89,3,0)*0.475*44/12</f>
        <v>#N/A</v>
      </c>
      <c r="AW71" s="21" t="e">
        <f>EXP(-LN(2)/2)*AW70+(1-EXP(-LN(2)/2))/(LN(2)/2)*AQ71*AT71*VLOOKUP('Données projet'!$B$10,Paramètres!$A$1:$I$89,3,0)*0.475*44/12</f>
        <v>#N/A</v>
      </c>
      <c r="AX71" s="21" t="e">
        <f t="shared" si="60"/>
        <v>#N/A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2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41.261999999999965</v>
      </c>
      <c r="D72" s="11">
        <f t="shared" si="86"/>
        <v>12.332533039040444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413.71218486276803</v>
      </c>
      <c r="H72" s="67">
        <f t="shared" si="56"/>
        <v>386.67714504299533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-5.6843418860808015E-14</v>
      </c>
      <c r="O72" s="13">
        <f>N72*VLOOKUP('Données projet'!$B$9,Paramètres!$A$1:$I$89,3,0)*VLOOKUP('Données projet'!$B$9,Paramètres!$A$1:$I$89,5,0)</f>
        <v>-3.3992364478763198E-14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232.5902129145469</v>
      </c>
      <c r="T72" s="59">
        <f t="shared" si="88"/>
        <v>340.94590122751879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120.57678233295999</v>
      </c>
      <c r="AA72" s="21">
        <f>EXP(-LN(2)/25)*AA71+(1-EXP(-LN(2)/25))/(LN(2)/25)*Calculateur!V72*Calculateur!X72*VLOOKUP('Données projet'!$B$9,Paramètres!$A$1:$I$89,3,0)*0.475*44/12</f>
        <v>10.996693661098744</v>
      </c>
      <c r="AB72" s="21">
        <f>EXP(-LN(2)/2)*AB71+(1-EXP(-LN(2)/2))/(LN(2)/2)*V72*Y72*VLOOKUP('Données projet'!$B$9,Paramètres!$A$1:$I$89,3,0)*0.475*44/12</f>
        <v>3.3464382006273908E-3</v>
      </c>
      <c r="AC72" s="22">
        <f t="shared" si="57"/>
        <v>131.57682243225935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0</v>
      </c>
      <c r="AI72" s="13">
        <f>IF('Données projet'!$A$62&gt;35,AI71+AH72-AQ71,IF(A72&lt;'Données projet'!$A$62,$AF$205^A72,IF(A72='Données projet'!$A$62,'Données projet'!$B$62,AI71+AH72-AQ71)))</f>
        <v>0</v>
      </c>
      <c r="AJ72" s="13" t="e">
        <f>AI72*VLOOKUP('Données projet'!$B$10,Paramètres!$A$1:$I$89,3,0)*VLOOKUP('Données projet'!$B$10,Paramètres!$A$1:$I$89,5,0)</f>
        <v>#N/A</v>
      </c>
      <c r="AK72" s="13" t="e">
        <f t="shared" si="89"/>
        <v>#N/A</v>
      </c>
      <c r="AL72" s="20" t="e">
        <f t="shared" si="58"/>
        <v>#N/A</v>
      </c>
      <c r="AM72" s="59" t="e">
        <f t="shared" si="59"/>
        <v>#N/A</v>
      </c>
      <c r="AN72" s="59" t="e">
        <f ca="1">AVERAGE(OFFSET($AM$3,0,0,'Données projet'!$E$10+1,1))-AVERAGE(OFFSET($H$3,0,0,'Données projet'!$E$10+1,1))</f>
        <v>#N/A</v>
      </c>
      <c r="AO72" s="59" t="e">
        <f t="shared" si="90"/>
        <v>#N/A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 t="e">
        <f>EXP(-LN(2)/35)*AU71+(1-EXP(-LN(2)/35))/(LN(2)/35)*AQ72*AR72*VLOOKUP('Données projet'!$B$10,Paramètres!$A$1:$I$89,3,0)*0.475*44/12</f>
        <v>#N/A</v>
      </c>
      <c r="AV72" s="21" t="e">
        <f>EXP(-LN(2)/25)*AV71+(1-EXP(-LN(2)/25))/(LN(2)/25)*Calculateur!AQ72*Calculateur!AS72*VLOOKUP('Données projet'!$B$10,Paramètres!$A$1:$I$89,3,0)*0.475*44/12</f>
        <v>#N/A</v>
      </c>
      <c r="AW72" s="21" t="e">
        <f>EXP(-LN(2)/2)*AW71+(1-EXP(-LN(2)/2))/(LN(2)/2)*AQ72*AT72*VLOOKUP('Données projet'!$B$10,Paramètres!$A$1:$I$89,3,0)*0.475*44/12</f>
        <v>#N/A</v>
      </c>
      <c r="AX72" s="21" t="e">
        <f t="shared" si="60"/>
        <v>#N/A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2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41.859999999999964</v>
      </c>
      <c r="D73" s="11">
        <f t="shared" si="86"/>
        <v>12.490328459088207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419.5463951227859</v>
      </c>
      <c r="H73" s="67">
        <f t="shared" si="56"/>
        <v>387.99348873291189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-5.6843418860808015E-14</v>
      </c>
      <c r="O73" s="13">
        <f>N73*VLOOKUP('Données projet'!$B$9,Paramètres!$A$1:$I$89,3,0)*VLOOKUP('Données projet'!$B$9,Paramètres!$A$1:$I$89,5,0)</f>
        <v>-3.3992364478763198E-14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232.5902129145469</v>
      </c>
      <c r="T73" s="59">
        <f t="shared" si="88"/>
        <v>340.94590122751879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118.21234517598594</v>
      </c>
      <c r="AA73" s="21">
        <f>EXP(-LN(2)/25)*AA72+(1-EXP(-LN(2)/25))/(LN(2)/25)*Calculateur!V73*Calculateur!X73*VLOOKUP('Données projet'!$B$9,Paramètres!$A$1:$I$89,3,0)*0.475*44/12</f>
        <v>10.695988494645013</v>
      </c>
      <c r="AB73" s="21">
        <f>EXP(-LN(2)/2)*AB72+(1-EXP(-LN(2)/2))/(LN(2)/2)*V73*Y73*VLOOKUP('Données projet'!$B$9,Paramètres!$A$1:$I$89,3,0)*0.475*44/12</f>
        <v>2.3662891444853362E-3</v>
      </c>
      <c r="AC73" s="22">
        <f t="shared" si="57"/>
        <v>128.91069995977543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 t="e">
        <f>VLOOKUP(A73,'Données projet'!$A$61:$I$81,2,0)</f>
        <v>#N/A</v>
      </c>
      <c r="AG73" s="12" t="e">
        <f>VLOOKUP(A73,'Données projet'!$A$61:$I$81,9,0)</f>
        <v>#N/A</v>
      </c>
      <c r="AH73" s="12">
        <f t="array" ref="AH73">INDEX(AG:AG,MIN(IF(ISNUMBER(AG73:AG269),ROW(AG73:AG269),"")))</f>
        <v>0</v>
      </c>
      <c r="AI73" s="13">
        <f>IF('Données projet'!$A$62&gt;35,AI72+AH73-AQ72,IF(A73&lt;'Données projet'!$A$62,$AF$205^A73,IF(A73='Données projet'!$A$62,'Données projet'!$B$62,AI72+AH73-AQ72)))</f>
        <v>0</v>
      </c>
      <c r="AJ73" s="13" t="e">
        <f>AI73*VLOOKUP('Données projet'!$B$10,Paramètres!$A$1:$I$89,3,0)*VLOOKUP('Données projet'!$B$10,Paramètres!$A$1:$I$89,5,0)</f>
        <v>#N/A</v>
      </c>
      <c r="AK73" s="13" t="e">
        <f t="shared" si="89"/>
        <v>#N/A</v>
      </c>
      <c r="AL73" s="20" t="e">
        <f t="shared" si="58"/>
        <v>#N/A</v>
      </c>
      <c r="AM73" s="59" t="e">
        <f t="shared" si="59"/>
        <v>#N/A</v>
      </c>
      <c r="AN73" s="59" t="e">
        <f ca="1">AVERAGE(OFFSET($AM$3,0,0,'Données projet'!$E$10+1,1))-AVERAGE(OFFSET($H$3,0,0,'Données projet'!$E$10+1,1))</f>
        <v>#N/A</v>
      </c>
      <c r="AO73" s="59" t="e">
        <f t="shared" si="90"/>
        <v>#N/A</v>
      </c>
      <c r="AP73" s="15">
        <f>IF(ISNA(VLOOKUP(A73,'Données projet'!$A$61:$I$81,3,0)),0,VLOOKUP(A73,'Données projet'!$A$61:$I$81,3,0))</f>
        <v>0</v>
      </c>
      <c r="AQ73" s="15">
        <f>IF(ISNA(VLOOKUP(A73,'Données projet'!$A$61:$I$81,4,0)),0,VLOOKUP(A73,'Données projet'!$A$61:$I$81,4,0))</f>
        <v>0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 t="e">
        <f>EXP(-LN(2)/35)*AU72+(1-EXP(-LN(2)/35))/(LN(2)/35)*AQ73*AR73*VLOOKUP('Données projet'!$B$10,Paramètres!$A$1:$I$89,3,0)*0.475*44/12</f>
        <v>#N/A</v>
      </c>
      <c r="AV73" s="21" t="e">
        <f>EXP(-LN(2)/25)*AV72+(1-EXP(-LN(2)/25))/(LN(2)/25)*Calculateur!AQ73*Calculateur!AS73*VLOOKUP('Données projet'!$B$10,Paramètres!$A$1:$I$89,3,0)*0.475*44/12</f>
        <v>#N/A</v>
      </c>
      <c r="AW73" s="21" t="e">
        <f>EXP(-LN(2)/2)*AW72+(1-EXP(-LN(2)/2))/(LN(2)/2)*AQ73*AT73*VLOOKUP('Données projet'!$B$10,Paramètres!$A$1:$I$89,3,0)*0.475*44/12</f>
        <v>#N/A</v>
      </c>
      <c r="AX73" s="21" t="e">
        <f t="shared" si="60"/>
        <v>#N/A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2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42.457999999999963</v>
      </c>
      <c r="D74" s="11">
        <f t="shared" si="86"/>
        <v>12.64786169650392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425.37858151687209</v>
      </c>
      <c r="H74" s="67">
        <f t="shared" si="56"/>
        <v>389.30937578807755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-5.6843418860808015E-14</v>
      </c>
      <c r="O74" s="13">
        <f>N74*VLOOKUP('Données projet'!$B$9,Paramètres!$A$1:$I$89,3,0)*VLOOKUP('Données projet'!$B$9,Paramètres!$A$1:$I$89,5,0)</f>
        <v>-3.3992364478763198E-14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232.5902129145469</v>
      </c>
      <c r="T74" s="59">
        <f t="shared" si="88"/>
        <v>340.94590122751879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115.89427318949589</v>
      </c>
      <c r="AA74" s="21">
        <f>EXP(-LN(2)/25)*AA73+(1-EXP(-LN(2)/25))/(LN(2)/25)*Calculateur!V74*Calculateur!X74*VLOOKUP('Données projet'!$B$9,Paramètres!$A$1:$I$89,3,0)*0.475*44/12</f>
        <v>10.403506126781355</v>
      </c>
      <c r="AB74" s="21">
        <f>EXP(-LN(2)/2)*AB73+(1-EXP(-LN(2)/2))/(LN(2)/2)*V74*Y74*VLOOKUP('Données projet'!$B$9,Paramètres!$A$1:$I$89,3,0)*0.475*44/12</f>
        <v>1.6732191003136954E-3</v>
      </c>
      <c r="AC74" s="22">
        <f t="shared" si="57"/>
        <v>126.29945253537755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0</v>
      </c>
      <c r="AI74" s="13">
        <f>IF('Données projet'!$A$62&gt;35,AI73+AH74-AQ73,IF(A74&lt;'Données projet'!$A$62,$AF$205^A74,IF(A74='Données projet'!$A$62,'Données projet'!$B$62,AI73+AH74-AQ73)))</f>
        <v>0</v>
      </c>
      <c r="AJ74" s="13" t="e">
        <f>AI74*VLOOKUP('Données projet'!$B$10,Paramètres!$A$1:$I$89,3,0)*VLOOKUP('Données projet'!$B$10,Paramètres!$A$1:$I$89,5,0)</f>
        <v>#N/A</v>
      </c>
      <c r="AK74" s="13" t="e">
        <f t="shared" si="89"/>
        <v>#N/A</v>
      </c>
      <c r="AL74" s="20" t="e">
        <f t="shared" si="58"/>
        <v>#N/A</v>
      </c>
      <c r="AM74" s="59" t="e">
        <f t="shared" si="59"/>
        <v>#N/A</v>
      </c>
      <c r="AN74" s="59" t="e">
        <f ca="1">AVERAGE(OFFSET($AM$3,0,0,'Données projet'!$E$10+1,1))-AVERAGE(OFFSET($H$3,0,0,'Données projet'!$E$10+1,1))</f>
        <v>#N/A</v>
      </c>
      <c r="AO74" s="59" t="e">
        <f t="shared" si="90"/>
        <v>#N/A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 t="e">
        <f>EXP(-LN(2)/35)*AU73+(1-EXP(-LN(2)/35))/(LN(2)/35)*AQ74*AR74*VLOOKUP('Données projet'!$B$10,Paramètres!$A$1:$I$89,3,0)*0.475*44/12</f>
        <v>#N/A</v>
      </c>
      <c r="AV74" s="21" t="e">
        <f>EXP(-LN(2)/25)*AV73+(1-EXP(-LN(2)/25))/(LN(2)/25)*Calculateur!AQ74*Calculateur!AS74*VLOOKUP('Données projet'!$B$10,Paramètres!$A$1:$I$89,3,0)*0.475*44/12</f>
        <v>#N/A</v>
      </c>
      <c r="AW74" s="21" t="e">
        <f>EXP(-LN(2)/2)*AW73+(1-EXP(-LN(2)/2))/(LN(2)/2)*AQ74*AT74*VLOOKUP('Données projet'!$B$10,Paramètres!$A$1:$I$89,3,0)*0.475*44/12</f>
        <v>#N/A</v>
      </c>
      <c r="AX74" s="21" t="e">
        <f t="shared" si="60"/>
        <v>#N/A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2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43.055999999999962</v>
      </c>
      <c r="D75" s="11">
        <f t="shared" si="86"/>
        <v>12.80513687072917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431.20877584422487</v>
      </c>
      <c r="H75" s="67">
        <f t="shared" si="56"/>
        <v>390.62481338318656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-5.6843418860808015E-14</v>
      </c>
      <c r="O75" s="13">
        <f>N75*VLOOKUP('Données projet'!$B$9,Paramètres!$A$1:$I$89,3,0)*VLOOKUP('Données projet'!$B$9,Paramètres!$A$1:$I$89,5,0)</f>
        <v>-3.3992364478763198E-14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232.5902129145469</v>
      </c>
      <c r="T75" s="59">
        <f t="shared" si="88"/>
        <v>340.94590122751879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113.62165718077661</v>
      </c>
      <c r="AA75" s="21">
        <f>EXP(-LN(2)/25)*AA74+(1-EXP(-LN(2)/25))/(LN(2)/25)*Calculateur!V75*Calculateur!X75*VLOOKUP('Données projet'!$B$9,Paramètres!$A$1:$I$89,3,0)*0.475*44/12</f>
        <v>10.11902170464791</v>
      </c>
      <c r="AB75" s="21">
        <f>EXP(-LN(2)/2)*AB74+(1-EXP(-LN(2)/2))/(LN(2)/2)*V75*Y75*VLOOKUP('Données projet'!$B$9,Paramètres!$A$1:$I$89,3,0)*0.475*44/12</f>
        <v>1.1831445722426681E-3</v>
      </c>
      <c r="AC75" s="22">
        <f t="shared" si="57"/>
        <v>123.74186202999675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0</v>
      </c>
      <c r="AI75" s="13">
        <f>IF('Données projet'!$A$62&gt;35,AI74+AH75-AQ74,IF(A75&lt;'Données projet'!$A$62,$AF$205^A75,IF(A75='Données projet'!$A$62,'Données projet'!$B$62,AI74+AH75-AQ74)))</f>
        <v>0</v>
      </c>
      <c r="AJ75" s="13" t="e">
        <f>AI75*VLOOKUP('Données projet'!$B$10,Paramètres!$A$1:$I$89,3,0)*VLOOKUP('Données projet'!$B$10,Paramètres!$A$1:$I$89,5,0)</f>
        <v>#N/A</v>
      </c>
      <c r="AK75" s="13" t="e">
        <f t="shared" si="89"/>
        <v>#N/A</v>
      </c>
      <c r="AL75" s="20" t="e">
        <f t="shared" si="58"/>
        <v>#N/A</v>
      </c>
      <c r="AM75" s="59" t="e">
        <f t="shared" si="59"/>
        <v>#N/A</v>
      </c>
      <c r="AN75" s="59" t="e">
        <f ca="1">AVERAGE(OFFSET($AM$3,0,0,'Données projet'!$E$10+1,1))-AVERAGE(OFFSET($H$3,0,0,'Données projet'!$E$10+1,1))</f>
        <v>#N/A</v>
      </c>
      <c r="AO75" s="59" t="e">
        <f t="shared" si="90"/>
        <v>#N/A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 t="e">
        <f>EXP(-LN(2)/35)*AU74+(1-EXP(-LN(2)/35))/(LN(2)/35)*AQ75*AR75*VLOOKUP('Données projet'!$B$10,Paramètres!$A$1:$I$89,3,0)*0.475*44/12</f>
        <v>#N/A</v>
      </c>
      <c r="AV75" s="21" t="e">
        <f>EXP(-LN(2)/25)*AV74+(1-EXP(-LN(2)/25))/(LN(2)/25)*Calculateur!AQ75*Calculateur!AS75*VLOOKUP('Données projet'!$B$10,Paramètres!$A$1:$I$89,3,0)*0.475*44/12</f>
        <v>#N/A</v>
      </c>
      <c r="AW75" s="21" t="e">
        <f>EXP(-LN(2)/2)*AW74+(1-EXP(-LN(2)/2))/(LN(2)/2)*AQ75*AT75*VLOOKUP('Données projet'!$B$10,Paramètres!$A$1:$I$89,3,0)*0.475*44/12</f>
        <v>#N/A</v>
      </c>
      <c r="AX75" s="21" t="e">
        <f t="shared" si="60"/>
        <v>#N/A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2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43.653999999999961</v>
      </c>
      <c r="D76" s="11">
        <f t="shared" si="86"/>
        <v>12.962157980203079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437.03700896998839</v>
      </c>
      <c r="H76" s="67">
        <f t="shared" si="56"/>
        <v>391.93980848218695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-5.6843418860808015E-14</v>
      </c>
      <c r="O76" s="13">
        <f>N76*VLOOKUP('Données projet'!$B$9,Paramètres!$A$1:$I$89,3,0)*VLOOKUP('Données projet'!$B$9,Paramètres!$A$1:$I$89,5,0)</f>
        <v>-3.3992364478763198E-14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232.5902129145469</v>
      </c>
      <c r="T76" s="59">
        <f t="shared" si="88"/>
        <v>340.94590122751879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111.39360578582942</v>
      </c>
      <c r="AA76" s="21">
        <f>EXP(-LN(2)/25)*AA75+(1-EXP(-LN(2)/25))/(LN(2)/25)*Calculateur!V76*Calculateur!X76*VLOOKUP('Données projet'!$B$9,Paramètres!$A$1:$I$89,3,0)*0.475*44/12</f>
        <v>9.8423165239980879</v>
      </c>
      <c r="AB76" s="21">
        <f>EXP(-LN(2)/2)*AB75+(1-EXP(-LN(2)/2))/(LN(2)/2)*V76*Y76*VLOOKUP('Données projet'!$B$9,Paramètres!$A$1:$I$89,3,0)*0.475*44/12</f>
        <v>8.3660955015684769E-4</v>
      </c>
      <c r="AC76" s="22">
        <f t="shared" si="57"/>
        <v>121.23675891937768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0</v>
      </c>
      <c r="AI76" s="13">
        <f>IF('Données projet'!$A$62&gt;35,AI75+AH76-AQ75,IF(A76&lt;'Données projet'!$A$62,$AF$205^A76,IF(A76='Données projet'!$A$62,'Données projet'!$B$62,AI75+AH76-AQ75)))</f>
        <v>0</v>
      </c>
      <c r="AJ76" s="13" t="e">
        <f>AI76*VLOOKUP('Données projet'!$B$10,Paramètres!$A$1:$I$89,3,0)*VLOOKUP('Données projet'!$B$10,Paramètres!$A$1:$I$89,5,0)</f>
        <v>#N/A</v>
      </c>
      <c r="AK76" s="13" t="e">
        <f t="shared" si="89"/>
        <v>#N/A</v>
      </c>
      <c r="AL76" s="20" t="e">
        <f t="shared" si="58"/>
        <v>#N/A</v>
      </c>
      <c r="AM76" s="59" t="e">
        <f t="shared" si="59"/>
        <v>#N/A</v>
      </c>
      <c r="AN76" s="59" t="e">
        <f ca="1">AVERAGE(OFFSET($AM$3,0,0,'Données projet'!$E$10+1,1))-AVERAGE(OFFSET($H$3,0,0,'Données projet'!$E$10+1,1))</f>
        <v>#N/A</v>
      </c>
      <c r="AO76" s="59" t="e">
        <f t="shared" si="90"/>
        <v>#N/A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 t="e">
        <f>EXP(-LN(2)/35)*AU75+(1-EXP(-LN(2)/35))/(LN(2)/35)*AQ76*AR76*VLOOKUP('Données projet'!$B$10,Paramètres!$A$1:$I$89,3,0)*0.475*44/12</f>
        <v>#N/A</v>
      </c>
      <c r="AV76" s="21" t="e">
        <f>EXP(-LN(2)/25)*AV75+(1-EXP(-LN(2)/25))/(LN(2)/25)*Calculateur!AQ76*Calculateur!AS76*VLOOKUP('Données projet'!$B$10,Paramètres!$A$1:$I$89,3,0)*0.475*44/12</f>
        <v>#N/A</v>
      </c>
      <c r="AW76" s="21" t="e">
        <f>EXP(-LN(2)/2)*AW75+(1-EXP(-LN(2)/2))/(LN(2)/2)*AQ76*AT76*VLOOKUP('Données projet'!$B$10,Paramètres!$A$1:$I$89,3,0)*0.475*44/12</f>
        <v>#N/A</v>
      </c>
      <c r="AX76" s="21" t="e">
        <f t="shared" si="60"/>
        <v>#N/A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2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44.25199999999996</v>
      </c>
      <c r="D77" s="11">
        <f t="shared" si="86"/>
        <v>13.118928907524445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442.86331086510063</v>
      </c>
      <c r="H77" s="67">
        <f t="shared" si="56"/>
        <v>393.25436784727162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-5.6843418860808015E-14</v>
      </c>
      <c r="O77" s="13">
        <f>N77*VLOOKUP('Données projet'!$B$9,Paramètres!$A$1:$I$89,3,0)*VLOOKUP('Données projet'!$B$9,Paramètres!$A$1:$I$89,5,0)</f>
        <v>-3.3992364478763198E-14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232.5902129145469</v>
      </c>
      <c r="T77" s="59">
        <f t="shared" si="88"/>
        <v>340.94590122751879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109.20924511975998</v>
      </c>
      <c r="AA77" s="21">
        <f>EXP(-LN(2)/25)*AA76+(1-EXP(-LN(2)/25))/(LN(2)/25)*Calculateur!V77*Calculateur!X77*VLOOKUP('Données projet'!$B$9,Paramètres!$A$1:$I$89,3,0)*0.475*44/12</f>
        <v>9.5731778610644298</v>
      </c>
      <c r="AB77" s="21">
        <f>EXP(-LN(2)/2)*AB76+(1-EXP(-LN(2)/2))/(LN(2)/2)*V77*Y77*VLOOKUP('Données projet'!$B$9,Paramètres!$A$1:$I$89,3,0)*0.475*44/12</f>
        <v>5.9157228612133404E-4</v>
      </c>
      <c r="AC77" s="22">
        <f t="shared" si="57"/>
        <v>118.78301455311053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0</v>
      </c>
      <c r="AI77" s="13">
        <f>IF('Données projet'!$A$62&gt;35,AI76+AH77-AQ76,IF(A77&lt;'Données projet'!$A$62,$AF$205^A77,IF(A77='Données projet'!$A$62,'Données projet'!$B$62,AI76+AH77-AQ76)))</f>
        <v>0</v>
      </c>
      <c r="AJ77" s="13" t="e">
        <f>AI77*VLOOKUP('Données projet'!$B$10,Paramètres!$A$1:$I$89,3,0)*VLOOKUP('Données projet'!$B$10,Paramètres!$A$1:$I$89,5,0)</f>
        <v>#N/A</v>
      </c>
      <c r="AK77" s="13" t="e">
        <f t="shared" si="89"/>
        <v>#N/A</v>
      </c>
      <c r="AL77" s="20" t="e">
        <f t="shared" si="58"/>
        <v>#N/A</v>
      </c>
      <c r="AM77" s="59" t="e">
        <f t="shared" si="59"/>
        <v>#N/A</v>
      </c>
      <c r="AN77" s="59" t="e">
        <f ca="1">AVERAGE(OFFSET($AM$3,0,0,'Données projet'!$E$10+1,1))-AVERAGE(OFFSET($H$3,0,0,'Données projet'!$E$10+1,1))</f>
        <v>#N/A</v>
      </c>
      <c r="AO77" s="59" t="e">
        <f t="shared" si="90"/>
        <v>#N/A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 t="e">
        <f>EXP(-LN(2)/35)*AU76+(1-EXP(-LN(2)/35))/(LN(2)/35)*AQ77*AR77*VLOOKUP('Données projet'!$B$10,Paramètres!$A$1:$I$89,3,0)*0.475*44/12</f>
        <v>#N/A</v>
      </c>
      <c r="AV77" s="21" t="e">
        <f>EXP(-LN(2)/25)*AV76+(1-EXP(-LN(2)/25))/(LN(2)/25)*Calculateur!AQ77*Calculateur!AS77*VLOOKUP('Données projet'!$B$10,Paramètres!$A$1:$I$89,3,0)*0.475*44/12</f>
        <v>#N/A</v>
      </c>
      <c r="AW77" s="21" t="e">
        <f>EXP(-LN(2)/2)*AW76+(1-EXP(-LN(2)/2))/(LN(2)/2)*AQ77*AT77*VLOOKUP('Données projet'!$B$10,Paramètres!$A$1:$I$89,3,0)*0.475*44/12</f>
        <v>#N/A</v>
      </c>
      <c r="AX77" s="21" t="e">
        <f t="shared" si="60"/>
        <v>#N/A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2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44.849999999999959</v>
      </c>
      <c r="D78" s="11">
        <f t="shared" si="86"/>
        <v>13.275453424326999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448.6877106439274</v>
      </c>
      <c r="H78" s="67">
        <f t="shared" si="56"/>
        <v>394.56849804736942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-5.6843418860808015E-14</v>
      </c>
      <c r="O78" s="13">
        <f>N78*VLOOKUP('Données projet'!$B$9,Paramètres!$A$1:$I$89,3,0)*VLOOKUP('Données projet'!$B$9,Paramètres!$A$1:$I$89,5,0)</f>
        <v>-3.3992364478763198E-14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232.5902129145469</v>
      </c>
      <c r="T78" s="59">
        <f t="shared" si="88"/>
        <v>340.94590122751879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107.06771843402372</v>
      </c>
      <c r="AA78" s="21">
        <f>EXP(-LN(2)/25)*AA77+(1-EXP(-LN(2)/25))/(LN(2)/25)*Calculateur!V78*Calculateur!X78*VLOOKUP('Données projet'!$B$9,Paramètres!$A$1:$I$89,3,0)*0.475*44/12</f>
        <v>9.3113988090220783</v>
      </c>
      <c r="AB78" s="21">
        <f>EXP(-LN(2)/2)*AB77+(1-EXP(-LN(2)/2))/(LN(2)/2)*V78*Y78*VLOOKUP('Données projet'!$B$9,Paramètres!$A$1:$I$89,3,0)*0.475*44/12</f>
        <v>4.1830477507842384E-4</v>
      </c>
      <c r="AC78" s="22">
        <f t="shared" si="57"/>
        <v>116.37953554782088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0</v>
      </c>
      <c r="AI78" s="13">
        <f>IF('Données projet'!$A$62&gt;35,AI77+AH78-AQ77,IF(A78&lt;'Données projet'!$A$62,$AF$205^A78,IF(A78='Données projet'!$A$62,'Données projet'!$B$62,AI77+AH78-AQ77)))</f>
        <v>0</v>
      </c>
      <c r="AJ78" s="13" t="e">
        <f>AI78*VLOOKUP('Données projet'!$B$10,Paramètres!$A$1:$I$89,3,0)*VLOOKUP('Données projet'!$B$10,Paramètres!$A$1:$I$89,5,0)</f>
        <v>#N/A</v>
      </c>
      <c r="AK78" s="13" t="e">
        <f t="shared" si="89"/>
        <v>#N/A</v>
      </c>
      <c r="AL78" s="20" t="e">
        <f t="shared" si="58"/>
        <v>#N/A</v>
      </c>
      <c r="AM78" s="59" t="e">
        <f t="shared" si="59"/>
        <v>#N/A</v>
      </c>
      <c r="AN78" s="59" t="e">
        <f ca="1">AVERAGE(OFFSET($AM$3,0,0,'Données projet'!$E$10+1,1))-AVERAGE(OFFSET($H$3,0,0,'Données projet'!$E$10+1,1))</f>
        <v>#N/A</v>
      </c>
      <c r="AO78" s="59" t="e">
        <f t="shared" si="90"/>
        <v>#N/A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 t="e">
        <f>EXP(-LN(2)/35)*AU77+(1-EXP(-LN(2)/35))/(LN(2)/35)*AQ78*AR78*VLOOKUP('Données projet'!$B$10,Paramètres!$A$1:$I$89,3,0)*0.475*44/12</f>
        <v>#N/A</v>
      </c>
      <c r="AV78" s="21" t="e">
        <f>EXP(-LN(2)/25)*AV77+(1-EXP(-LN(2)/25))/(LN(2)/25)*Calculateur!AQ78*Calculateur!AS78*VLOOKUP('Données projet'!$B$10,Paramètres!$A$1:$I$89,3,0)*0.475*44/12</f>
        <v>#N/A</v>
      </c>
      <c r="AW78" s="21" t="e">
        <f>EXP(-LN(2)/2)*AW77+(1-EXP(-LN(2)/2))/(LN(2)/2)*AQ78*AT78*VLOOKUP('Données projet'!$B$10,Paramètres!$A$1:$I$89,3,0)*0.475*44/12</f>
        <v>#N/A</v>
      </c>
      <c r="AX78" s="21" t="e">
        <f t="shared" si="60"/>
        <v>#N/A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2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45.447999999999958</v>
      </c>
      <c r="D79" s="11">
        <f t="shared" si="86"/>
        <v>13.431735195887123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454.51023659983008</v>
      </c>
      <c r="H79" s="67">
        <f t="shared" si="56"/>
        <v>395.88220546616998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-5.6843418860808015E-14</v>
      </c>
      <c r="O79" s="13">
        <f>N79*VLOOKUP('Données projet'!$B$9,Paramètres!$A$1:$I$89,3,0)*VLOOKUP('Données projet'!$B$9,Paramètres!$A$1:$I$89,5,0)</f>
        <v>-3.3992364478763198E-14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232.5902129145469</v>
      </c>
      <c r="T79" s="59">
        <f t="shared" si="88"/>
        <v>340.94590122751879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104.96818578039243</v>
      </c>
      <c r="AA79" s="21">
        <f>EXP(-LN(2)/25)*AA78+(1-EXP(-LN(2)/25))/(LN(2)/25)*Calculateur!V79*Calculateur!X79*VLOOKUP('Données projet'!$B$9,Paramètres!$A$1:$I$89,3,0)*0.475*44/12</f>
        <v>9.0567781189241874</v>
      </c>
      <c r="AB79" s="21">
        <f>EXP(-LN(2)/2)*AB78+(1-EXP(-LN(2)/2))/(LN(2)/2)*V79*Y79*VLOOKUP('Données projet'!$B$9,Paramètres!$A$1:$I$89,3,0)*0.475*44/12</f>
        <v>2.9578614306066702E-4</v>
      </c>
      <c r="AC79" s="22">
        <f t="shared" si="57"/>
        <v>114.02525968545967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0</v>
      </c>
      <c r="AI79" s="13">
        <f>IF('Données projet'!$A$62&gt;35,AI78+AH79-AQ78,IF(A79&lt;'Données projet'!$A$62,$AF$205^A79,IF(A79='Données projet'!$A$62,'Données projet'!$B$62,AI78+AH79-AQ78)))</f>
        <v>0</v>
      </c>
      <c r="AJ79" s="13" t="e">
        <f>AI79*VLOOKUP('Données projet'!$B$10,Paramètres!$A$1:$I$89,3,0)*VLOOKUP('Données projet'!$B$10,Paramètres!$A$1:$I$89,5,0)</f>
        <v>#N/A</v>
      </c>
      <c r="AK79" s="13" t="e">
        <f t="shared" si="89"/>
        <v>#N/A</v>
      </c>
      <c r="AL79" s="20" t="e">
        <f t="shared" si="58"/>
        <v>#N/A</v>
      </c>
      <c r="AM79" s="59" t="e">
        <f t="shared" si="59"/>
        <v>#N/A</v>
      </c>
      <c r="AN79" s="59" t="e">
        <f ca="1">AVERAGE(OFFSET($AM$3,0,0,'Données projet'!$E$10+1,1))-AVERAGE(OFFSET($H$3,0,0,'Données projet'!$E$10+1,1))</f>
        <v>#N/A</v>
      </c>
      <c r="AO79" s="59" t="e">
        <f t="shared" si="90"/>
        <v>#N/A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 t="e">
        <f>EXP(-LN(2)/35)*AU78+(1-EXP(-LN(2)/35))/(LN(2)/35)*AQ79*AR79*VLOOKUP('Données projet'!$B$10,Paramètres!$A$1:$I$89,3,0)*0.475*44/12</f>
        <v>#N/A</v>
      </c>
      <c r="AV79" s="21" t="e">
        <f>EXP(-LN(2)/25)*AV78+(1-EXP(-LN(2)/25))/(LN(2)/25)*Calculateur!AQ79*Calculateur!AS79*VLOOKUP('Données projet'!$B$10,Paramètres!$A$1:$I$89,3,0)*0.475*44/12</f>
        <v>#N/A</v>
      </c>
      <c r="AW79" s="21" t="e">
        <f>EXP(-LN(2)/2)*AW78+(1-EXP(-LN(2)/2))/(LN(2)/2)*AQ79*AT79*VLOOKUP('Données projet'!$B$10,Paramètres!$A$1:$I$89,3,0)*0.475*44/12</f>
        <v>#N/A</v>
      </c>
      <c r="AX79" s="21" t="e">
        <f t="shared" si="60"/>
        <v>#N/A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2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46.045999999999957</v>
      </c>
      <c r="D80" s="11">
        <f t="shared" si="86"/>
        <v>13.587777785482281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460.33091623881029</v>
      </c>
      <c r="H80" s="67">
        <f t="shared" si="56"/>
        <v>397.19549630971488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-5.6843418860808015E-14</v>
      </c>
      <c r="O80" s="13">
        <f>N80*VLOOKUP('Données projet'!$B$9,Paramètres!$A$1:$I$89,3,0)*VLOOKUP('Données projet'!$B$9,Paramètres!$A$1:$I$89,5,0)</f>
        <v>-3.3992364478763198E-14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232.5902129145469</v>
      </c>
      <c r="T80" s="59">
        <f t="shared" si="88"/>
        <v>340.94590122751879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102.90982368151039</v>
      </c>
      <c r="AA80" s="21">
        <f>EXP(-LN(2)/25)*AA79+(1-EXP(-LN(2)/25))/(LN(2)/25)*Calculateur!V80*Calculateur!X80*VLOOKUP('Données projet'!$B$9,Paramètres!$A$1:$I$89,3,0)*0.475*44/12</f>
        <v>8.809120044986944</v>
      </c>
      <c r="AB80" s="21">
        <f>EXP(-LN(2)/2)*AB79+(1-EXP(-LN(2)/2))/(LN(2)/2)*V80*Y80*VLOOKUP('Données projet'!$B$9,Paramètres!$A$1:$I$89,3,0)*0.475*44/12</f>
        <v>2.0915238753921192E-4</v>
      </c>
      <c r="AC80" s="22">
        <f t="shared" si="57"/>
        <v>111.71915287888487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0</v>
      </c>
      <c r="AI80" s="13">
        <f>IF('Données projet'!$A$62&gt;35,AI79+AH80-AQ79,IF(A80&lt;'Données projet'!$A$62,$AF$205^A80,IF(A80='Données projet'!$A$62,'Données projet'!$B$62,AI79+AH80-AQ79)))</f>
        <v>0</v>
      </c>
      <c r="AJ80" s="13" t="e">
        <f>AI80*VLOOKUP('Données projet'!$B$10,Paramètres!$A$1:$I$89,3,0)*VLOOKUP('Données projet'!$B$10,Paramètres!$A$1:$I$89,5,0)</f>
        <v>#N/A</v>
      </c>
      <c r="AK80" s="13" t="e">
        <f t="shared" si="89"/>
        <v>#N/A</v>
      </c>
      <c r="AL80" s="20" t="e">
        <f t="shared" si="58"/>
        <v>#N/A</v>
      </c>
      <c r="AM80" s="59" t="e">
        <f t="shared" si="59"/>
        <v>#N/A</v>
      </c>
      <c r="AN80" s="59" t="e">
        <f ca="1">AVERAGE(OFFSET($AM$3,0,0,'Données projet'!$E$10+1,1))-AVERAGE(OFFSET($H$3,0,0,'Données projet'!$E$10+1,1))</f>
        <v>#N/A</v>
      </c>
      <c r="AO80" s="59" t="e">
        <f t="shared" si="90"/>
        <v>#N/A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 t="e">
        <f>EXP(-LN(2)/35)*AU79+(1-EXP(-LN(2)/35))/(LN(2)/35)*AQ80*AR80*VLOOKUP('Données projet'!$B$10,Paramètres!$A$1:$I$89,3,0)*0.475*44/12</f>
        <v>#N/A</v>
      </c>
      <c r="AV80" s="21" t="e">
        <f>EXP(-LN(2)/25)*AV79+(1-EXP(-LN(2)/25))/(LN(2)/25)*Calculateur!AQ80*Calculateur!AS80*VLOOKUP('Données projet'!$B$10,Paramètres!$A$1:$I$89,3,0)*0.475*44/12</f>
        <v>#N/A</v>
      </c>
      <c r="AW80" s="21" t="e">
        <f>EXP(-LN(2)/2)*AW79+(1-EXP(-LN(2)/2))/(LN(2)/2)*AQ80*AT80*VLOOKUP('Données projet'!$B$10,Paramètres!$A$1:$I$89,3,0)*0.475*44/12</f>
        <v>#N/A</v>
      </c>
      <c r="AX80" s="21" t="e">
        <f t="shared" si="60"/>
        <v>#N/A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2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46.643999999999956</v>
      </c>
      <c r="D81" s="11">
        <f t="shared" si="86"/>
        <v>13.74358465851647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466.14977631135486</v>
      </c>
      <c r="H81" s="67">
        <f t="shared" si="56"/>
        <v>398.50837661358275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-5.6843418860808015E-14</v>
      </c>
      <c r="O81" s="13">
        <f>N81*VLOOKUP('Données projet'!$B$9,Paramètres!$A$1:$I$89,3,0)*VLOOKUP('Données projet'!$B$9,Paramètres!$A$1:$I$89,5,0)</f>
        <v>-3.3992364478763198E-14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232.5902129145469</v>
      </c>
      <c r="T81" s="59">
        <f t="shared" si="88"/>
        <v>340.94590122751879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100.89182480791051</v>
      </c>
      <c r="AA81" s="21">
        <f>EXP(-LN(2)/25)*AA80+(1-EXP(-LN(2)/25))/(LN(2)/25)*Calculateur!V81*Calculateur!X81*VLOOKUP('Données projet'!$B$9,Paramètres!$A$1:$I$89,3,0)*0.475*44/12</f>
        <v>8.5682341941052869</v>
      </c>
      <c r="AB81" s="21">
        <f>EXP(-LN(2)/2)*AB80+(1-EXP(-LN(2)/2))/(LN(2)/2)*V81*Y81*VLOOKUP('Données projet'!$B$9,Paramètres!$A$1:$I$89,3,0)*0.475*44/12</f>
        <v>1.4789307153033351E-4</v>
      </c>
      <c r="AC81" s="22">
        <f t="shared" si="57"/>
        <v>109.46020689508732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0</v>
      </c>
      <c r="AI81" s="13">
        <f>IF('Données projet'!$A$62&gt;35,AI80+AH81-AQ80,IF(A81&lt;'Données projet'!$A$62,$AF$205^A81,IF(A81='Données projet'!$A$62,'Données projet'!$B$62,AI80+AH81-AQ80)))</f>
        <v>0</v>
      </c>
      <c r="AJ81" s="13" t="e">
        <f>AI81*VLOOKUP('Données projet'!$B$10,Paramètres!$A$1:$I$89,3,0)*VLOOKUP('Données projet'!$B$10,Paramètres!$A$1:$I$89,5,0)</f>
        <v>#N/A</v>
      </c>
      <c r="AK81" s="13" t="e">
        <f t="shared" si="89"/>
        <v>#N/A</v>
      </c>
      <c r="AL81" s="20" t="e">
        <f t="shared" si="58"/>
        <v>#N/A</v>
      </c>
      <c r="AM81" s="59" t="e">
        <f t="shared" si="59"/>
        <v>#N/A</v>
      </c>
      <c r="AN81" s="59" t="e">
        <f ca="1">AVERAGE(OFFSET($AM$3,0,0,'Données projet'!$E$10+1,1))-AVERAGE(OFFSET($H$3,0,0,'Données projet'!$E$10+1,1))</f>
        <v>#N/A</v>
      </c>
      <c r="AO81" s="59" t="e">
        <f t="shared" si="90"/>
        <v>#N/A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 t="e">
        <f>EXP(-LN(2)/35)*AU80+(1-EXP(-LN(2)/35))/(LN(2)/35)*AQ81*AR81*VLOOKUP('Données projet'!$B$10,Paramètres!$A$1:$I$89,3,0)*0.475*44/12</f>
        <v>#N/A</v>
      </c>
      <c r="AV81" s="21" t="e">
        <f>EXP(-LN(2)/25)*AV80+(1-EXP(-LN(2)/25))/(LN(2)/25)*Calculateur!AQ81*Calculateur!AS81*VLOOKUP('Données projet'!$B$10,Paramètres!$A$1:$I$89,3,0)*0.475*44/12</f>
        <v>#N/A</v>
      </c>
      <c r="AW81" s="21" t="e">
        <f>EXP(-LN(2)/2)*AW80+(1-EXP(-LN(2)/2))/(LN(2)/2)*AQ81*AT81*VLOOKUP('Données projet'!$B$10,Paramètres!$A$1:$I$89,3,0)*0.475*44/12</f>
        <v>#N/A</v>
      </c>
      <c r="AX81" s="21" t="e">
        <f t="shared" si="60"/>
        <v>#N/A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2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47.241999999999955</v>
      </c>
      <c r="D82" s="11">
        <f t="shared" si="86"/>
        <v>13.899159186428221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471.96684284260351</v>
      </c>
      <c r="H82" s="67">
        <f t="shared" si="56"/>
        <v>399.82085224969569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-5.6843418860808015E-14</v>
      </c>
      <c r="O82" s="13">
        <f>N82*VLOOKUP('Données projet'!$B$9,Paramètres!$A$1:$I$89,3,0)*VLOOKUP('Données projet'!$B$9,Paramètres!$A$1:$I$89,5,0)</f>
        <v>-3.3992364478763198E-14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232.5902129145469</v>
      </c>
      <c r="T82" s="59">
        <f t="shared" si="88"/>
        <v>340.94590122751879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98.913397661364158</v>
      </c>
      <c r="AA82" s="21">
        <f>EXP(-LN(2)/25)*AA81+(1-EXP(-LN(2)/25))/(LN(2)/25)*Calculateur!V82*Calculateur!X82*VLOOKUP('Données projet'!$B$9,Paramètres!$A$1:$I$89,3,0)*0.475*44/12</f>
        <v>8.3339353794836253</v>
      </c>
      <c r="AB82" s="21">
        <f>EXP(-LN(2)/2)*AB81+(1-EXP(-LN(2)/2))/(LN(2)/2)*V82*Y82*VLOOKUP('Données projet'!$B$9,Paramètres!$A$1:$I$89,3,0)*0.475*44/12</f>
        <v>1.0457619376960596E-4</v>
      </c>
      <c r="AC82" s="22">
        <f t="shared" si="57"/>
        <v>107.24743761704154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0</v>
      </c>
      <c r="AI82" s="13">
        <f>IF('Données projet'!$A$62&gt;35,AI81+AH82-AQ81,IF(A82&lt;'Données projet'!$A$62,$AF$205^A82,IF(A82='Données projet'!$A$62,'Données projet'!$B$62,AI81+AH82-AQ81)))</f>
        <v>0</v>
      </c>
      <c r="AJ82" s="13" t="e">
        <f>AI82*VLOOKUP('Données projet'!$B$10,Paramètres!$A$1:$I$89,3,0)*VLOOKUP('Données projet'!$B$10,Paramètres!$A$1:$I$89,5,0)</f>
        <v>#N/A</v>
      </c>
      <c r="AK82" s="13" t="e">
        <f t="shared" si="89"/>
        <v>#N/A</v>
      </c>
      <c r="AL82" s="20" t="e">
        <f t="shared" si="58"/>
        <v>#N/A</v>
      </c>
      <c r="AM82" s="59" t="e">
        <f t="shared" si="59"/>
        <v>#N/A</v>
      </c>
      <c r="AN82" s="59" t="e">
        <f ca="1">AVERAGE(OFFSET($AM$3,0,0,'Données projet'!$E$10+1,1))-AVERAGE(OFFSET($H$3,0,0,'Données projet'!$E$10+1,1))</f>
        <v>#N/A</v>
      </c>
      <c r="AO82" s="59" t="e">
        <f t="shared" si="90"/>
        <v>#N/A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 t="e">
        <f>EXP(-LN(2)/35)*AU81+(1-EXP(-LN(2)/35))/(LN(2)/35)*AQ82*AR82*VLOOKUP('Données projet'!$B$10,Paramètres!$A$1:$I$89,3,0)*0.475*44/12</f>
        <v>#N/A</v>
      </c>
      <c r="AV82" s="21" t="e">
        <f>EXP(-LN(2)/25)*AV81+(1-EXP(-LN(2)/25))/(LN(2)/25)*Calculateur!AQ82*Calculateur!AS82*VLOOKUP('Données projet'!$B$10,Paramètres!$A$1:$I$89,3,0)*0.475*44/12</f>
        <v>#N/A</v>
      </c>
      <c r="AW82" s="21" t="e">
        <f>EXP(-LN(2)/2)*AW81+(1-EXP(-LN(2)/2))/(LN(2)/2)*AQ82*AT82*VLOOKUP('Données projet'!$B$10,Paramètres!$A$1:$I$89,3,0)*0.475*44/12</f>
        <v>#N/A</v>
      </c>
      <c r="AX82" s="21" t="e">
        <f t="shared" si="60"/>
        <v>#N/A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2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47.839999999999954</v>
      </c>
      <c r="D83" s="11">
        <f t="shared" si="86"/>
        <v>14.054504650394959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477.78214116094318</v>
      </c>
      <c r="H83" s="67">
        <f t="shared" si="56"/>
        <v>401.13292893277111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-5.6843418860808015E-14</v>
      </c>
      <c r="O83" s="13">
        <f>N83*VLOOKUP('Données projet'!$B$9,Paramètres!$A$1:$I$89,3,0)*VLOOKUP('Données projet'!$B$9,Paramètres!$A$1:$I$89,5,0)</f>
        <v>-3.3992364478763198E-14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232.5902129145469</v>
      </c>
      <c r="T83" s="59">
        <f t="shared" si="88"/>
        <v>340.94590122751879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96.973766264440172</v>
      </c>
      <c r="AA83" s="21">
        <f>EXP(-LN(2)/25)*AA82+(1-EXP(-LN(2)/25))/(LN(2)/25)*Calculateur!V83*Calculateur!X83*VLOOKUP('Données projet'!$B$9,Paramètres!$A$1:$I$89,3,0)*0.475*44/12</f>
        <v>8.1060434782690312</v>
      </c>
      <c r="AB83" s="21">
        <f>EXP(-LN(2)/2)*AB82+(1-EXP(-LN(2)/2))/(LN(2)/2)*V83*Y83*VLOOKUP('Données projet'!$B$9,Paramètres!$A$1:$I$89,3,0)*0.475*44/12</f>
        <v>7.3946535765166755E-5</v>
      </c>
      <c r="AC83" s="22">
        <f t="shared" si="57"/>
        <v>105.07988368924497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 t="e">
        <f>VLOOKUP(A83,'Données projet'!$A$61:$I$81,2,0)</f>
        <v>#N/A</v>
      </c>
      <c r="AG83" s="12" t="e">
        <f>VLOOKUP(A83,'Données projet'!$A$61:$I$81,9,0)</f>
        <v>#N/A</v>
      </c>
      <c r="AH83" s="12">
        <f t="array" ref="AH83">INDEX(AG:AG,MIN(IF(ISNUMBER(AG83:AG279),ROW(AG83:AG279),"")))</f>
        <v>0</v>
      </c>
      <c r="AI83" s="13">
        <f>IF('Données projet'!$A$62&gt;35,AI82+AH83-AQ82,IF(A83&lt;'Données projet'!$A$62,$AF$205^A83,IF(A83='Données projet'!$A$62,'Données projet'!$B$62,AI82+AH83-AQ82)))</f>
        <v>0</v>
      </c>
      <c r="AJ83" s="13" t="e">
        <f>AI83*VLOOKUP('Données projet'!$B$10,Paramètres!$A$1:$I$89,3,0)*VLOOKUP('Données projet'!$B$10,Paramètres!$A$1:$I$89,5,0)</f>
        <v>#N/A</v>
      </c>
      <c r="AK83" s="13" t="e">
        <f t="shared" si="89"/>
        <v>#N/A</v>
      </c>
      <c r="AL83" s="20" t="e">
        <f t="shared" si="58"/>
        <v>#N/A</v>
      </c>
      <c r="AM83" s="59" t="e">
        <f t="shared" si="59"/>
        <v>#N/A</v>
      </c>
      <c r="AN83" s="59" t="e">
        <f ca="1">AVERAGE(OFFSET($AM$3,0,0,'Données projet'!$E$10+1,1))-AVERAGE(OFFSET($H$3,0,0,'Données projet'!$E$10+1,1))</f>
        <v>#N/A</v>
      </c>
      <c r="AO83" s="59" t="e">
        <f t="shared" si="90"/>
        <v>#N/A</v>
      </c>
      <c r="AP83" s="15">
        <f>IF(ISNA(VLOOKUP(A83,'Données projet'!$A$61:$I$81,3,0)),0,VLOOKUP(A83,'Données projet'!$A$61:$I$81,3,0))</f>
        <v>0</v>
      </c>
      <c r="AQ83" s="15">
        <f>IF(ISNA(VLOOKUP(A83,'Données projet'!$A$61:$I$81,4,0)),0,VLOOKUP(A83,'Données projet'!$A$61:$I$81,4,0))</f>
        <v>0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 t="e">
        <f>EXP(-LN(2)/35)*AU82+(1-EXP(-LN(2)/35))/(LN(2)/35)*AQ83*AR83*VLOOKUP('Données projet'!$B$10,Paramètres!$A$1:$I$89,3,0)*0.475*44/12</f>
        <v>#N/A</v>
      </c>
      <c r="AV83" s="21" t="e">
        <f>EXP(-LN(2)/25)*AV82+(1-EXP(-LN(2)/25))/(LN(2)/25)*Calculateur!AQ83*Calculateur!AS83*VLOOKUP('Données projet'!$B$10,Paramètres!$A$1:$I$89,3,0)*0.475*44/12</f>
        <v>#N/A</v>
      </c>
      <c r="AW83" s="21" t="e">
        <f>EXP(-LN(2)/2)*AW82+(1-EXP(-LN(2)/2))/(LN(2)/2)*AQ83*AT83*VLOOKUP('Données projet'!$B$10,Paramètres!$A$1:$I$89,3,0)*0.475*44/12</f>
        <v>#N/A</v>
      </c>
      <c r="AX83" s="21" t="e">
        <f t="shared" si="60"/>
        <v>#N/A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2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48.437999999999953</v>
      </c>
      <c r="D84" s="11">
        <f t="shared" si="86"/>
        <v>14.209624244846959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483.59569592513407</v>
      </c>
      <c r="H84" s="67">
        <f t="shared" si="56"/>
        <v>402.44461222644168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-5.6843418860808015E-14</v>
      </c>
      <c r="O84" s="13">
        <f>N84*VLOOKUP('Données projet'!$B$9,Paramètres!$A$1:$I$89,3,0)*VLOOKUP('Données projet'!$B$9,Paramètres!$A$1:$I$89,5,0)</f>
        <v>-3.3992364478763198E-14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232.5902129145469</v>
      </c>
      <c r="T84" s="59">
        <f t="shared" si="88"/>
        <v>340.94590122751879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95.072169856151532</v>
      </c>
      <c r="AA84" s="21">
        <f>EXP(-LN(2)/25)*AA83+(1-EXP(-LN(2)/25))/(LN(2)/25)*Calculateur!V84*Calculateur!X84*VLOOKUP('Données projet'!$B$9,Paramètres!$A$1:$I$89,3,0)*0.475*44/12</f>
        <v>7.8843832930774642</v>
      </c>
      <c r="AB84" s="21">
        <f>EXP(-LN(2)/2)*AB83+(1-EXP(-LN(2)/2))/(LN(2)/2)*V84*Y84*VLOOKUP('Données projet'!$B$9,Paramètres!$A$1:$I$89,3,0)*0.475*44/12</f>
        <v>5.2288096884802981E-5</v>
      </c>
      <c r="AC84" s="22">
        <f t="shared" si="57"/>
        <v>102.95660543732588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0</v>
      </c>
      <c r="AJ84" s="13" t="e">
        <f>AI84*VLOOKUP('Données projet'!$B$10,Paramètres!$A$1:$I$89,3,0)*VLOOKUP('Données projet'!$B$10,Paramètres!$A$1:$I$89,5,0)</f>
        <v>#N/A</v>
      </c>
      <c r="AK84" s="13" t="e">
        <f t="shared" si="89"/>
        <v>#N/A</v>
      </c>
      <c r="AL84" s="20" t="e">
        <f t="shared" si="58"/>
        <v>#N/A</v>
      </c>
      <c r="AM84" s="59" t="e">
        <f t="shared" si="59"/>
        <v>#N/A</v>
      </c>
      <c r="AN84" s="59" t="e">
        <f ca="1">AVERAGE(OFFSET($AM$3,0,0,'Données projet'!$E$10+1,1))-AVERAGE(OFFSET($H$3,0,0,'Données projet'!$E$10+1,1))</f>
        <v>#N/A</v>
      </c>
      <c r="AO84" s="59" t="e">
        <f t="shared" si="90"/>
        <v>#N/A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 t="e">
        <f>EXP(-LN(2)/35)*AU83+(1-EXP(-LN(2)/35))/(LN(2)/35)*AQ84*AR84*VLOOKUP('Données projet'!$B$10,Paramètres!$A$1:$I$89,3,0)*0.475*44/12</f>
        <v>#N/A</v>
      </c>
      <c r="AV84" s="21" t="e">
        <f>EXP(-LN(2)/25)*AV83+(1-EXP(-LN(2)/25))/(LN(2)/25)*Calculateur!AQ84*Calculateur!AS84*VLOOKUP('Données projet'!$B$10,Paramètres!$A$1:$I$89,3,0)*0.475*44/12</f>
        <v>#N/A</v>
      </c>
      <c r="AW84" s="21" t="e">
        <f>EXP(-LN(2)/2)*AW83+(1-EXP(-LN(2)/2))/(LN(2)/2)*AQ84*AT84*VLOOKUP('Données projet'!$B$10,Paramètres!$A$1:$I$89,3,0)*0.475*44/12</f>
        <v>#N/A</v>
      </c>
      <c r="AX84" s="21" t="e">
        <f t="shared" si="60"/>
        <v>#N/A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2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49.035999999999952</v>
      </c>
      <c r="D85" s="11">
        <f t="shared" si="86"/>
        <v>14.364521080802797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489.40753115005629</v>
      </c>
      <c r="H85" s="67">
        <f t="shared" si="56"/>
        <v>403.75590754906477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-5.6843418860808015E-14</v>
      </c>
      <c r="O85" s="13">
        <f>N85*VLOOKUP('Données projet'!$B$9,Paramètres!$A$1:$I$89,3,0)*VLOOKUP('Données projet'!$B$9,Paramètres!$A$1:$I$89,5,0)</f>
        <v>-3.3992364478763198E-14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232.5902129145469</v>
      </c>
      <c r="T85" s="59">
        <f t="shared" si="88"/>
        <v>340.94590122751879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93.207862593570141</v>
      </c>
      <c r="AA85" s="21">
        <f>EXP(-LN(2)/25)*AA84+(1-EXP(-LN(2)/25))/(LN(2)/25)*Calculateur!V85*Calculateur!X85*VLOOKUP('Données projet'!$B$9,Paramètres!$A$1:$I$89,3,0)*0.475*44/12</f>
        <v>7.668784417306564</v>
      </c>
      <c r="AB85" s="21">
        <f>EXP(-LN(2)/2)*AB84+(1-EXP(-LN(2)/2))/(LN(2)/2)*V85*Y85*VLOOKUP('Données projet'!$B$9,Paramètres!$A$1:$I$89,3,0)*0.475*44/12</f>
        <v>3.6973267882583378E-5</v>
      </c>
      <c r="AC85" s="22">
        <f t="shared" si="57"/>
        <v>100.87668398414459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0</v>
      </c>
      <c r="AJ85" s="13" t="e">
        <f>AI85*VLOOKUP('Données projet'!$B$10,Paramètres!$A$1:$I$89,3,0)*VLOOKUP('Données projet'!$B$10,Paramètres!$A$1:$I$89,5,0)</f>
        <v>#N/A</v>
      </c>
      <c r="AK85" s="13" t="e">
        <f t="shared" si="89"/>
        <v>#N/A</v>
      </c>
      <c r="AL85" s="20" t="e">
        <f t="shared" si="58"/>
        <v>#N/A</v>
      </c>
      <c r="AM85" s="59" t="e">
        <f t="shared" si="59"/>
        <v>#N/A</v>
      </c>
      <c r="AN85" s="59" t="e">
        <f ca="1">AVERAGE(OFFSET($AM$3,0,0,'Données projet'!$E$10+1,1))-AVERAGE(OFFSET($H$3,0,0,'Données projet'!$E$10+1,1))</f>
        <v>#N/A</v>
      </c>
      <c r="AO85" s="59" t="e">
        <f t="shared" si="90"/>
        <v>#N/A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 t="e">
        <f>EXP(-LN(2)/35)*AU84+(1-EXP(-LN(2)/35))/(LN(2)/35)*AQ85*AR85*VLOOKUP('Données projet'!$B$10,Paramètres!$A$1:$I$89,3,0)*0.475*44/12</f>
        <v>#N/A</v>
      </c>
      <c r="AV85" s="21" t="e">
        <f>EXP(-LN(2)/25)*AV84+(1-EXP(-LN(2)/25))/(LN(2)/25)*Calculateur!AQ85*Calculateur!AS85*VLOOKUP('Données projet'!$B$10,Paramètres!$A$1:$I$89,3,0)*0.475*44/12</f>
        <v>#N/A</v>
      </c>
      <c r="AW85" s="21" t="e">
        <f>EXP(-LN(2)/2)*AW84+(1-EXP(-LN(2)/2))/(LN(2)/2)*AQ85*AT85*VLOOKUP('Données projet'!$B$10,Paramètres!$A$1:$I$89,3,0)*0.475*44/12</f>
        <v>#N/A</v>
      </c>
      <c r="AX85" s="21" t="e">
        <f t="shared" si="60"/>
        <v>#N/A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2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49.633999999999951</v>
      </c>
      <c r="D86" s="11">
        <f t="shared" si="86"/>
        <v>14.519198189037443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495.21767023116581</v>
      </c>
      <c r="H86" s="67">
        <f t="shared" si="56"/>
        <v>405.0668201792401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-5.6843418860808015E-14</v>
      </c>
      <c r="O86" s="13">
        <f>N86*VLOOKUP('Données projet'!$B$9,Paramètres!$A$1:$I$89,3,0)*VLOOKUP('Données projet'!$B$9,Paramètres!$A$1:$I$89,5,0)</f>
        <v>-3.3992364478763198E-14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232.5902129145469</v>
      </c>
      <c r="T86" s="59">
        <f t="shared" si="88"/>
        <v>340.94590122751879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91.380113259292827</v>
      </c>
      <c r="AA86" s="21">
        <f>EXP(-LN(2)/25)*AA85+(1-EXP(-LN(2)/25))/(LN(2)/25)*Calculateur!V86*Calculateur!X86*VLOOKUP('Données projet'!$B$9,Paramètres!$A$1:$I$89,3,0)*0.475*44/12</f>
        <v>7.4590811041314709</v>
      </c>
      <c r="AB86" s="21">
        <f>EXP(-LN(2)/2)*AB85+(1-EXP(-LN(2)/2))/(LN(2)/2)*V86*Y86*VLOOKUP('Données projet'!$B$9,Paramètres!$A$1:$I$89,3,0)*0.475*44/12</f>
        <v>2.614404844240149E-5</v>
      </c>
      <c r="AC86" s="22">
        <f t="shared" si="57"/>
        <v>98.839220507472746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0</v>
      </c>
      <c r="AJ86" s="13" t="e">
        <f>AI86*VLOOKUP('Données projet'!$B$10,Paramètres!$A$1:$I$89,3,0)*VLOOKUP('Données projet'!$B$10,Paramètres!$A$1:$I$89,5,0)</f>
        <v>#N/A</v>
      </c>
      <c r="AK86" s="13" t="e">
        <f t="shared" si="89"/>
        <v>#N/A</v>
      </c>
      <c r="AL86" s="20" t="e">
        <f t="shared" si="58"/>
        <v>#N/A</v>
      </c>
      <c r="AM86" s="59" t="e">
        <f t="shared" si="59"/>
        <v>#N/A</v>
      </c>
      <c r="AN86" s="59" t="e">
        <f ca="1">AVERAGE(OFFSET($AM$3,0,0,'Données projet'!$E$10+1,1))-AVERAGE(OFFSET($H$3,0,0,'Données projet'!$E$10+1,1))</f>
        <v>#N/A</v>
      </c>
      <c r="AO86" s="59" t="e">
        <f t="shared" si="90"/>
        <v>#N/A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 t="e">
        <f>EXP(-LN(2)/35)*AU85+(1-EXP(-LN(2)/35))/(LN(2)/35)*AQ86*AR86*VLOOKUP('Données projet'!$B$10,Paramètres!$A$1:$I$89,3,0)*0.475*44/12</f>
        <v>#N/A</v>
      </c>
      <c r="AV86" s="21" t="e">
        <f>EXP(-LN(2)/25)*AV85+(1-EXP(-LN(2)/25))/(LN(2)/25)*Calculateur!AQ86*Calculateur!AS86*VLOOKUP('Données projet'!$B$10,Paramètres!$A$1:$I$89,3,0)*0.475*44/12</f>
        <v>#N/A</v>
      </c>
      <c r="AW86" s="21" t="e">
        <f>EXP(-LN(2)/2)*AW85+(1-EXP(-LN(2)/2))/(LN(2)/2)*AQ86*AT86*VLOOKUP('Données projet'!$B$10,Paramètres!$A$1:$I$89,3,0)*0.475*44/12</f>
        <v>#N/A</v>
      </c>
      <c r="AX86" s="21" t="e">
        <f t="shared" si="60"/>
        <v>#N/A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2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</v>
      </c>
      <c r="D87" s="11">
        <f t="shared" si="86"/>
        <v>14.673658523093403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501.02613596773813</v>
      </c>
      <c r="H87" s="67">
        <f t="shared" si="56"/>
        <v>406.37735526105422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-5.6843418860808015E-14</v>
      </c>
      <c r="O87" s="13">
        <f>N87*VLOOKUP('Données projet'!$B$9,Paramètres!$A$1:$I$89,3,0)*VLOOKUP('Données projet'!$B$9,Paramètres!$A$1:$I$89,5,0)</f>
        <v>-3.3992364478763198E-14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232.5902129145469</v>
      </c>
      <c r="T87" s="59">
        <f t="shared" si="88"/>
        <v>340.94590122751879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89.588204974643673</v>
      </c>
      <c r="AA87" s="21">
        <f>EXP(-LN(2)/25)*AA86+(1-EXP(-LN(2)/25))/(LN(2)/25)*Calculateur!V87*Calculateur!X87*VLOOKUP('Données projet'!$B$9,Paramètres!$A$1:$I$89,3,0)*0.475*44/12</f>
        <v>7.2551121390829687</v>
      </c>
      <c r="AB87" s="21">
        <f>EXP(-LN(2)/2)*AB86+(1-EXP(-LN(2)/2))/(LN(2)/2)*V87*Y87*VLOOKUP('Données projet'!$B$9,Paramètres!$A$1:$I$89,3,0)*0.475*44/12</f>
        <v>1.8486633941291689E-5</v>
      </c>
      <c r="AC87" s="22">
        <f t="shared" si="57"/>
        <v>96.843335600360589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0</v>
      </c>
      <c r="AJ87" s="13" t="e">
        <f>AI87*VLOOKUP('Données projet'!$B$10,Paramètres!$A$1:$I$89,3,0)*VLOOKUP('Données projet'!$B$10,Paramètres!$A$1:$I$89,5,0)</f>
        <v>#N/A</v>
      </c>
      <c r="AK87" s="13" t="e">
        <f t="shared" si="89"/>
        <v>#N/A</v>
      </c>
      <c r="AL87" s="20" t="e">
        <f t="shared" si="58"/>
        <v>#N/A</v>
      </c>
      <c r="AM87" s="59" t="e">
        <f t="shared" si="59"/>
        <v>#N/A</v>
      </c>
      <c r="AN87" s="59" t="e">
        <f ca="1">AVERAGE(OFFSET($AM$3,0,0,'Données projet'!$E$10+1,1))-AVERAGE(OFFSET($H$3,0,0,'Données projet'!$E$10+1,1))</f>
        <v>#N/A</v>
      </c>
      <c r="AO87" s="59" t="e">
        <f t="shared" si="90"/>
        <v>#N/A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 t="e">
        <f>EXP(-LN(2)/35)*AU86+(1-EXP(-LN(2)/35))/(LN(2)/35)*AQ87*AR87*VLOOKUP('Données projet'!$B$10,Paramètres!$A$1:$I$89,3,0)*0.475*44/12</f>
        <v>#N/A</v>
      </c>
      <c r="AV87" s="21" t="e">
        <f>EXP(-LN(2)/25)*AV86+(1-EXP(-LN(2)/25))/(LN(2)/25)*Calculateur!AQ87*Calculateur!AS87*VLOOKUP('Données projet'!$B$10,Paramètres!$A$1:$I$89,3,0)*0.475*44/12</f>
        <v>#N/A</v>
      </c>
      <c r="AW87" s="21" t="e">
        <f>EXP(-LN(2)/2)*AW86+(1-EXP(-LN(2)/2))/(LN(2)/2)*AQ87*AT87*VLOOKUP('Données projet'!$B$10,Paramètres!$A$1:$I$89,3,0)*0.475*44/12</f>
        <v>#N/A</v>
      </c>
      <c r="AX87" s="21" t="e">
        <f t="shared" si="60"/>
        <v>#N/A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2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50.829999999999949</v>
      </c>
      <c r="D88" s="11">
        <f t="shared" si="86"/>
        <v>14.827904962144244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506.83295058497271</v>
      </c>
      <c r="H88" s="67">
        <f t="shared" si="56"/>
        <v>407.6875178090678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-5.6843418860808015E-14</v>
      </c>
      <c r="O88" s="13">
        <f>N88*VLOOKUP('Données projet'!$B$9,Paramètres!$A$1:$I$89,3,0)*VLOOKUP('Données projet'!$B$9,Paramètres!$A$1:$I$89,5,0)</f>
        <v>-3.3992364478763198E-14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232.5902129145469</v>
      </c>
      <c r="T88" s="59">
        <f t="shared" si="88"/>
        <v>340.94590122751879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87.831434918500364</v>
      </c>
      <c r="AA88" s="21">
        <f>EXP(-LN(2)/25)*AA87+(1-EXP(-LN(2)/25))/(LN(2)/25)*Calculateur!V88*Calculateur!X88*VLOOKUP('Données projet'!$B$9,Paramètres!$A$1:$I$89,3,0)*0.475*44/12</f>
        <v>7.0567207161099796</v>
      </c>
      <c r="AB88" s="21">
        <f>EXP(-LN(2)/2)*AB87+(1-EXP(-LN(2)/2))/(LN(2)/2)*V88*Y88*VLOOKUP('Données projet'!$B$9,Paramètres!$A$1:$I$89,3,0)*0.475*44/12</f>
        <v>1.3072024221200745E-5</v>
      </c>
      <c r="AC88" s="22">
        <f t="shared" si="57"/>
        <v>94.888168706634559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0</v>
      </c>
      <c r="AJ88" s="13" t="e">
        <f>AI88*VLOOKUP('Données projet'!$B$10,Paramètres!$A$1:$I$89,3,0)*VLOOKUP('Données projet'!$B$10,Paramètres!$A$1:$I$89,5,0)</f>
        <v>#N/A</v>
      </c>
      <c r="AK88" s="13" t="e">
        <f t="shared" si="89"/>
        <v>#N/A</v>
      </c>
      <c r="AL88" s="20" t="e">
        <f t="shared" si="58"/>
        <v>#N/A</v>
      </c>
      <c r="AM88" s="59" t="e">
        <f t="shared" si="59"/>
        <v>#N/A</v>
      </c>
      <c r="AN88" s="59" t="e">
        <f ca="1">AVERAGE(OFFSET($AM$3,0,0,'Données projet'!$E$10+1,1))-AVERAGE(OFFSET($H$3,0,0,'Données projet'!$E$10+1,1))</f>
        <v>#N/A</v>
      </c>
      <c r="AO88" s="59" t="e">
        <f t="shared" si="90"/>
        <v>#N/A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 t="e">
        <f>EXP(-LN(2)/35)*AU87+(1-EXP(-LN(2)/35))/(LN(2)/35)*AQ88*AR88*VLOOKUP('Données projet'!$B$10,Paramètres!$A$1:$I$89,3,0)*0.475*44/12</f>
        <v>#N/A</v>
      </c>
      <c r="AV88" s="21" t="e">
        <f>EXP(-LN(2)/25)*AV87+(1-EXP(-LN(2)/25))/(LN(2)/25)*Calculateur!AQ88*Calculateur!AS88*VLOOKUP('Données projet'!$B$10,Paramètres!$A$1:$I$89,3,0)*0.475*44/12</f>
        <v>#N/A</v>
      </c>
      <c r="AW88" s="21" t="e">
        <f>EXP(-LN(2)/2)*AW87+(1-EXP(-LN(2)/2))/(LN(2)/2)*AQ88*AT88*VLOOKUP('Données projet'!$B$10,Paramètres!$A$1:$I$89,3,0)*0.475*44/12</f>
        <v>#N/A</v>
      </c>
      <c r="AX88" s="21" t="e">
        <f t="shared" si="60"/>
        <v>#N/A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2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51.427999999999948</v>
      </c>
      <c r="D89" s="11">
        <f t="shared" si="86"/>
        <v>14.981940313719663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512.63813575502866</v>
      </c>
      <c r="H89" s="67">
        <f t="shared" si="56"/>
        <v>408.99731271306166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-5.6843418860808015E-14</v>
      </c>
      <c r="O89" s="13">
        <f>N89*VLOOKUP('Données projet'!$B$9,Paramètres!$A$1:$I$89,3,0)*VLOOKUP('Données projet'!$B$9,Paramètres!$A$1:$I$89,5,0)</f>
        <v>-3.3992364478763198E-14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232.5902129145469</v>
      </c>
      <c r="T89" s="59">
        <f t="shared" si="88"/>
        <v>340.94590122751879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86.109114051634094</v>
      </c>
      <c r="AA89" s="21">
        <f>EXP(-LN(2)/25)*AA88+(1-EXP(-LN(2)/25))/(LN(2)/25)*Calculateur!V89*Calculateur!X89*VLOOKUP('Données projet'!$B$9,Paramètres!$A$1:$I$89,3,0)*0.475*44/12</f>
        <v>6.8637543170311384</v>
      </c>
      <c r="AB89" s="21">
        <f>EXP(-LN(2)/2)*AB88+(1-EXP(-LN(2)/2))/(LN(2)/2)*V89*Y89*VLOOKUP('Données projet'!$B$9,Paramètres!$A$1:$I$89,3,0)*0.475*44/12</f>
        <v>9.2433169706458444E-6</v>
      </c>
      <c r="AC89" s="22">
        <f t="shared" si="57"/>
        <v>92.972877611982199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0</v>
      </c>
      <c r="AJ89" s="13" t="e">
        <f>AI89*VLOOKUP('Données projet'!$B$10,Paramètres!$A$1:$I$89,3,0)*VLOOKUP('Données projet'!$B$10,Paramètres!$A$1:$I$89,5,0)</f>
        <v>#N/A</v>
      </c>
      <c r="AK89" s="13" t="e">
        <f t="shared" si="89"/>
        <v>#N/A</v>
      </c>
      <c r="AL89" s="20" t="e">
        <f t="shared" si="58"/>
        <v>#N/A</v>
      </c>
      <c r="AM89" s="59" t="e">
        <f t="shared" si="59"/>
        <v>#N/A</v>
      </c>
      <c r="AN89" s="59" t="e">
        <f ca="1">AVERAGE(OFFSET($AM$3,0,0,'Données projet'!$E$10+1,1))-AVERAGE(OFFSET($H$3,0,0,'Données projet'!$E$10+1,1))</f>
        <v>#N/A</v>
      </c>
      <c r="AO89" s="59" t="e">
        <f t="shared" si="90"/>
        <v>#N/A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 t="e">
        <f>EXP(-LN(2)/35)*AU88+(1-EXP(-LN(2)/35))/(LN(2)/35)*AQ89*AR89*VLOOKUP('Données projet'!$B$10,Paramètres!$A$1:$I$89,3,0)*0.475*44/12</f>
        <v>#N/A</v>
      </c>
      <c r="AV89" s="21" t="e">
        <f>EXP(-LN(2)/25)*AV88+(1-EXP(-LN(2)/25))/(LN(2)/25)*Calculateur!AQ89*Calculateur!AS89*VLOOKUP('Données projet'!$B$10,Paramètres!$A$1:$I$89,3,0)*0.475*44/12</f>
        <v>#N/A</v>
      </c>
      <c r="AW89" s="21" t="e">
        <f>EXP(-LN(2)/2)*AW88+(1-EXP(-LN(2)/2))/(LN(2)/2)*AQ89*AT89*VLOOKUP('Données projet'!$B$10,Paramètres!$A$1:$I$89,3,0)*0.475*44/12</f>
        <v>#N/A</v>
      </c>
      <c r="AX89" s="21" t="e">
        <f t="shared" si="60"/>
        <v>#N/A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2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52.025999999999947</v>
      </c>
      <c r="D90" s="11">
        <f t="shared" si="86"/>
        <v>15.135767316300113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518.44171261705321</v>
      </c>
      <c r="H90" s="67">
        <f t="shared" si="56"/>
        <v>410.30674474255591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-5.6843418860808015E-14</v>
      </c>
      <c r="O90" s="13">
        <f>N90*VLOOKUP('Données projet'!$B$9,Paramètres!$A$1:$I$89,3,0)*VLOOKUP('Données projet'!$B$9,Paramètres!$A$1:$I$89,5,0)</f>
        <v>-3.3992364478763198E-14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232.5902129145469</v>
      </c>
      <c r="T90" s="59">
        <f t="shared" si="88"/>
        <v>340.94590122751879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84.42056684645506</v>
      </c>
      <c r="AA90" s="21">
        <f>EXP(-LN(2)/25)*AA89+(1-EXP(-LN(2)/25))/(LN(2)/25)*Calculateur!V90*Calculateur!X90*VLOOKUP('Données projet'!$B$9,Paramètres!$A$1:$I$89,3,0)*0.475*44/12</f>
        <v>6.6760645942827699</v>
      </c>
      <c r="AB90" s="21">
        <f>EXP(-LN(2)/2)*AB89+(1-EXP(-LN(2)/2))/(LN(2)/2)*V90*Y90*VLOOKUP('Données projet'!$B$9,Paramètres!$A$1:$I$89,3,0)*0.475*44/12</f>
        <v>6.5360121106003726E-6</v>
      </c>
      <c r="AC90" s="22">
        <f t="shared" si="57"/>
        <v>91.096637976749932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0</v>
      </c>
      <c r="AJ90" s="13" t="e">
        <f>AI90*VLOOKUP('Données projet'!$B$10,Paramètres!$A$1:$I$89,3,0)*VLOOKUP('Données projet'!$B$10,Paramètres!$A$1:$I$89,5,0)</f>
        <v>#N/A</v>
      </c>
      <c r="AK90" s="13" t="e">
        <f t="shared" si="89"/>
        <v>#N/A</v>
      </c>
      <c r="AL90" s="20" t="e">
        <f t="shared" si="58"/>
        <v>#N/A</v>
      </c>
      <c r="AM90" s="59" t="e">
        <f t="shared" si="59"/>
        <v>#N/A</v>
      </c>
      <c r="AN90" s="59" t="e">
        <f ca="1">AVERAGE(OFFSET($AM$3,0,0,'Données projet'!$E$10+1,1))-AVERAGE(OFFSET($H$3,0,0,'Données projet'!$E$10+1,1))</f>
        <v>#N/A</v>
      </c>
      <c r="AO90" s="59" t="e">
        <f t="shared" si="90"/>
        <v>#N/A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 t="e">
        <f>EXP(-LN(2)/35)*AU89+(1-EXP(-LN(2)/35))/(LN(2)/35)*AQ90*AR90*VLOOKUP('Données projet'!$B$10,Paramètres!$A$1:$I$89,3,0)*0.475*44/12</f>
        <v>#N/A</v>
      </c>
      <c r="AV90" s="21" t="e">
        <f>EXP(-LN(2)/25)*AV89+(1-EXP(-LN(2)/25))/(LN(2)/25)*Calculateur!AQ90*Calculateur!AS90*VLOOKUP('Données projet'!$B$10,Paramètres!$A$1:$I$89,3,0)*0.475*44/12</f>
        <v>#N/A</v>
      </c>
      <c r="AW90" s="21" t="e">
        <f>EXP(-LN(2)/2)*AW89+(1-EXP(-LN(2)/2))/(LN(2)/2)*AQ90*AT90*VLOOKUP('Données projet'!$B$10,Paramètres!$A$1:$I$89,3,0)*0.475*44/12</f>
        <v>#N/A</v>
      </c>
      <c r="AX90" s="21" t="e">
        <f t="shared" si="60"/>
        <v>#N/A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2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52.623999999999945</v>
      </c>
      <c r="D91" s="11">
        <f t="shared" si="86"/>
        <v>15.289388641788751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524.24370179626362</v>
      </c>
      <c r="H91" s="67">
        <f t="shared" si="56"/>
        <v>411.6158185511153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-5.6843418860808015E-14</v>
      </c>
      <c r="O91" s="13">
        <f>N91*VLOOKUP('Données projet'!$B$9,Paramètres!$A$1:$I$89,3,0)*VLOOKUP('Données projet'!$B$9,Paramètres!$A$1:$I$89,5,0)</f>
        <v>-3.3992364478763198E-14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232.5902129145469</v>
      </c>
      <c r="T91" s="59">
        <f t="shared" si="88"/>
        <v>340.94590122751879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82.765131022057489</v>
      </c>
      <c r="AA91" s="21">
        <f>EXP(-LN(2)/25)*AA90+(1-EXP(-LN(2)/25))/(LN(2)/25)*Calculateur!V91*Calculateur!X91*VLOOKUP('Données projet'!$B$9,Paramètres!$A$1:$I$89,3,0)*0.475*44/12</f>
        <v>6.4935072568731291</v>
      </c>
      <c r="AB91" s="21">
        <f>EXP(-LN(2)/2)*AB90+(1-EXP(-LN(2)/2))/(LN(2)/2)*V91*Y91*VLOOKUP('Données projet'!$B$9,Paramètres!$A$1:$I$89,3,0)*0.475*44/12</f>
        <v>4.6216584853229222E-6</v>
      </c>
      <c r="AC91" s="22">
        <f t="shared" si="57"/>
        <v>89.258642900589109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0</v>
      </c>
      <c r="AJ91" s="13" t="e">
        <f>AI91*VLOOKUP('Données projet'!$B$10,Paramètres!$A$1:$I$89,3,0)*VLOOKUP('Données projet'!$B$10,Paramètres!$A$1:$I$89,5,0)</f>
        <v>#N/A</v>
      </c>
      <c r="AK91" s="13" t="e">
        <f t="shared" si="89"/>
        <v>#N/A</v>
      </c>
      <c r="AL91" s="20" t="e">
        <f t="shared" si="58"/>
        <v>#N/A</v>
      </c>
      <c r="AM91" s="59" t="e">
        <f t="shared" si="59"/>
        <v>#N/A</v>
      </c>
      <c r="AN91" s="59" t="e">
        <f ca="1">AVERAGE(OFFSET($AM$3,0,0,'Données projet'!$E$10+1,1))-AVERAGE(OFFSET($H$3,0,0,'Données projet'!$E$10+1,1))</f>
        <v>#N/A</v>
      </c>
      <c r="AO91" s="59" t="e">
        <f t="shared" si="90"/>
        <v>#N/A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 t="e">
        <f>EXP(-LN(2)/35)*AU90+(1-EXP(-LN(2)/35))/(LN(2)/35)*AQ91*AR91*VLOOKUP('Données projet'!$B$10,Paramètres!$A$1:$I$89,3,0)*0.475*44/12</f>
        <v>#N/A</v>
      </c>
      <c r="AV91" s="21" t="e">
        <f>EXP(-LN(2)/25)*AV90+(1-EXP(-LN(2)/25))/(LN(2)/25)*Calculateur!AQ91*Calculateur!AS91*VLOOKUP('Données projet'!$B$10,Paramètres!$A$1:$I$89,3,0)*0.475*44/12</f>
        <v>#N/A</v>
      </c>
      <c r="AW91" s="21" t="e">
        <f>EXP(-LN(2)/2)*AW90+(1-EXP(-LN(2)/2))/(LN(2)/2)*AQ91*AT91*VLOOKUP('Données projet'!$B$10,Paramètres!$A$1:$I$89,3,0)*0.475*44/12</f>
        <v>#N/A</v>
      </c>
      <c r="AX91" s="21" t="e">
        <f t="shared" si="60"/>
        <v>#N/A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2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53.221999999999944</v>
      </c>
      <c r="D92" s="11">
        <f t="shared" si="86"/>
        <v>15.442806897867856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530.04412342213755</v>
      </c>
      <c r="H92" s="67">
        <f t="shared" si="56"/>
        <v>412.92453868045305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-5.6843418860808015E-14</v>
      </c>
      <c r="O92" s="13">
        <f>N92*VLOOKUP('Données projet'!$B$9,Paramètres!$A$1:$I$89,3,0)*VLOOKUP('Données projet'!$B$9,Paramètres!$A$1:$I$89,5,0)</f>
        <v>-3.3992364478763198E-14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232.5902129145469</v>
      </c>
      <c r="T92" s="59">
        <f t="shared" si="88"/>
        <v>340.94590122751879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81.142157284460211</v>
      </c>
      <c r="AA92" s="21">
        <f>EXP(-LN(2)/25)*AA91+(1-EXP(-LN(2)/25))/(LN(2)/25)*Calculateur!V92*Calculateur!X92*VLOOKUP('Données projet'!$B$9,Paramètres!$A$1:$I$89,3,0)*0.475*44/12</f>
        <v>6.3159419594552277</v>
      </c>
      <c r="AB92" s="21">
        <f>EXP(-LN(2)/2)*AB91+(1-EXP(-LN(2)/2))/(LN(2)/2)*V92*Y92*VLOOKUP('Données projet'!$B$9,Paramètres!$A$1:$I$89,3,0)*0.475*44/12</f>
        <v>3.2680060553001863E-6</v>
      </c>
      <c r="AC92" s="22">
        <f t="shared" si="57"/>
        <v>87.458102511921496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0</v>
      </c>
      <c r="AJ92" s="13" t="e">
        <f>AI92*VLOOKUP('Données projet'!$B$10,Paramètres!$A$1:$I$89,3,0)*VLOOKUP('Données projet'!$B$10,Paramètres!$A$1:$I$89,5,0)</f>
        <v>#N/A</v>
      </c>
      <c r="AK92" s="13" t="e">
        <f t="shared" si="89"/>
        <v>#N/A</v>
      </c>
      <c r="AL92" s="20" t="e">
        <f t="shared" si="58"/>
        <v>#N/A</v>
      </c>
      <c r="AM92" s="59" t="e">
        <f t="shared" si="59"/>
        <v>#N/A</v>
      </c>
      <c r="AN92" s="59" t="e">
        <f ca="1">AVERAGE(OFFSET($AM$3,0,0,'Données projet'!$E$10+1,1))-AVERAGE(OFFSET($H$3,0,0,'Données projet'!$E$10+1,1))</f>
        <v>#N/A</v>
      </c>
      <c r="AO92" s="59" t="e">
        <f t="shared" si="90"/>
        <v>#N/A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 t="e">
        <f>EXP(-LN(2)/35)*AU91+(1-EXP(-LN(2)/35))/(LN(2)/35)*AQ92*AR92*VLOOKUP('Données projet'!$B$10,Paramètres!$A$1:$I$89,3,0)*0.475*44/12</f>
        <v>#N/A</v>
      </c>
      <c r="AV92" s="21" t="e">
        <f>EXP(-LN(2)/25)*AV91+(1-EXP(-LN(2)/25))/(LN(2)/25)*Calculateur!AQ92*Calculateur!AS92*VLOOKUP('Données projet'!$B$10,Paramètres!$A$1:$I$89,3,0)*0.475*44/12</f>
        <v>#N/A</v>
      </c>
      <c r="AW92" s="21" t="e">
        <f>EXP(-LN(2)/2)*AW91+(1-EXP(-LN(2)/2))/(LN(2)/2)*AQ92*AT92*VLOOKUP('Données projet'!$B$10,Paramètres!$A$1:$I$89,3,0)*0.475*44/12</f>
        <v>#N/A</v>
      </c>
      <c r="AX92" s="21" t="e">
        <f t="shared" si="60"/>
        <v>#N/A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2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53.819999999999943</v>
      </c>
      <c r="D93" s="11">
        <f t="shared" si="86"/>
        <v>15.596024630246252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535.84299714576014</v>
      </c>
      <c r="H93" s="67">
        <f t="shared" si="56"/>
        <v>414.23290956434545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-5.6843418860808015E-14</v>
      </c>
      <c r="O93" s="13">
        <f>N93*VLOOKUP('Données projet'!$B$9,Paramètres!$A$1:$I$89,3,0)*VLOOKUP('Données projet'!$B$9,Paramètres!$A$1:$I$89,5,0)</f>
        <v>-3.3992364478763198E-14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232.5902129145469</v>
      </c>
      <c r="T93" s="59">
        <f t="shared" si="88"/>
        <v>340.94590122751879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79.551009071940982</v>
      </c>
      <c r="AA93" s="21">
        <f>EXP(-LN(2)/25)*AA92+(1-EXP(-LN(2)/25))/(LN(2)/25)*Calculateur!V93*Calculateur!X93*VLOOKUP('Données projet'!$B$9,Paramètres!$A$1:$I$89,3,0)*0.475*44/12</f>
        <v>6.1432321944329722</v>
      </c>
      <c r="AB93" s="21">
        <f>EXP(-LN(2)/2)*AB92+(1-EXP(-LN(2)/2))/(LN(2)/2)*V93*Y93*VLOOKUP('Données projet'!$B$9,Paramètres!$A$1:$I$89,3,0)*0.475*44/12</f>
        <v>2.3108292426614611E-6</v>
      </c>
      <c r="AC93" s="22">
        <f t="shared" si="57"/>
        <v>85.694243577203196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0</v>
      </c>
      <c r="AJ93" s="13" t="e">
        <f>AI93*VLOOKUP('Données projet'!$B$10,Paramètres!$A$1:$I$89,3,0)*VLOOKUP('Données projet'!$B$10,Paramètres!$A$1:$I$89,5,0)</f>
        <v>#N/A</v>
      </c>
      <c r="AK93" s="13" t="e">
        <f t="shared" si="89"/>
        <v>#N/A</v>
      </c>
      <c r="AL93" s="20" t="e">
        <f t="shared" si="58"/>
        <v>#N/A</v>
      </c>
      <c r="AM93" s="59" t="e">
        <f t="shared" si="59"/>
        <v>#N/A</v>
      </c>
      <c r="AN93" s="59" t="e">
        <f ca="1">AVERAGE(OFFSET($AM$3,0,0,'Données projet'!$E$10+1,1))-AVERAGE(OFFSET($H$3,0,0,'Données projet'!$E$10+1,1))</f>
        <v>#N/A</v>
      </c>
      <c r="AO93" s="59" t="e">
        <f t="shared" si="90"/>
        <v>#N/A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 t="e">
        <f>EXP(-LN(2)/35)*AU92+(1-EXP(-LN(2)/35))/(LN(2)/35)*AQ93*AR93*VLOOKUP('Données projet'!$B$10,Paramètres!$A$1:$I$89,3,0)*0.475*44/12</f>
        <v>#N/A</v>
      </c>
      <c r="AV93" s="21" t="e">
        <f>EXP(-LN(2)/25)*AV92+(1-EXP(-LN(2)/25))/(LN(2)/25)*Calculateur!AQ93*Calculateur!AS93*VLOOKUP('Données projet'!$B$10,Paramètres!$A$1:$I$89,3,0)*0.475*44/12</f>
        <v>#N/A</v>
      </c>
      <c r="AW93" s="21" t="e">
        <f>EXP(-LN(2)/2)*AW92+(1-EXP(-LN(2)/2))/(LN(2)/2)*AQ93*AT93*VLOOKUP('Données projet'!$B$10,Paramètres!$A$1:$I$89,3,0)*0.475*44/12</f>
        <v>#N/A</v>
      </c>
      <c r="AX93" s="21" t="e">
        <f t="shared" si="60"/>
        <v>#N/A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2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54.417999999999942</v>
      </c>
      <c r="D94" s="11">
        <f t="shared" si="86"/>
        <v>15.749044324804029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541.64034215638151</v>
      </c>
      <c r="H94" s="67">
        <f t="shared" si="56"/>
        <v>415.54093553236692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-5.6843418860808015E-14</v>
      </c>
      <c r="O94" s="13">
        <f>N94*VLOOKUP('Données projet'!$B$9,Paramètres!$A$1:$I$89,3,0)*VLOOKUP('Données projet'!$B$9,Paramètres!$A$1:$I$89,5,0)</f>
        <v>-3.3992364478763198E-14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232.5902129145469</v>
      </c>
      <c r="T94" s="59">
        <f t="shared" si="88"/>
        <v>340.94590122751879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77.991062305364665</v>
      </c>
      <c r="AA94" s="21">
        <f>EXP(-LN(2)/25)*AA93+(1-EXP(-LN(2)/25))/(LN(2)/25)*Calculateur!V94*Calculateur!X94*VLOOKUP('Données projet'!$B$9,Paramètres!$A$1:$I$89,3,0)*0.475*44/12</f>
        <v>5.9752451870176619</v>
      </c>
      <c r="AB94" s="21">
        <f>EXP(-LN(2)/2)*AB93+(1-EXP(-LN(2)/2))/(LN(2)/2)*V94*Y94*VLOOKUP('Données projet'!$B$9,Paramètres!$A$1:$I$89,3,0)*0.475*44/12</f>
        <v>1.6340030276500931E-6</v>
      </c>
      <c r="AC94" s="22">
        <f t="shared" si="57"/>
        <v>83.966309126385354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0</v>
      </c>
      <c r="AJ94" s="13" t="e">
        <f>AI94*VLOOKUP('Données projet'!$B$10,Paramètres!$A$1:$I$89,3,0)*VLOOKUP('Données projet'!$B$10,Paramètres!$A$1:$I$89,5,0)</f>
        <v>#N/A</v>
      </c>
      <c r="AK94" s="13" t="e">
        <f t="shared" si="89"/>
        <v>#N/A</v>
      </c>
      <c r="AL94" s="20" t="e">
        <f t="shared" si="58"/>
        <v>#N/A</v>
      </c>
      <c r="AM94" s="59" t="e">
        <f t="shared" si="59"/>
        <v>#N/A</v>
      </c>
      <c r="AN94" s="59" t="e">
        <f ca="1">AVERAGE(OFFSET($AM$3,0,0,'Données projet'!$E$10+1,1))-AVERAGE(OFFSET($H$3,0,0,'Données projet'!$E$10+1,1))</f>
        <v>#N/A</v>
      </c>
      <c r="AO94" s="59" t="e">
        <f t="shared" si="90"/>
        <v>#N/A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 t="e">
        <f>EXP(-LN(2)/35)*AU93+(1-EXP(-LN(2)/35))/(LN(2)/35)*AQ94*AR94*VLOOKUP('Données projet'!$B$10,Paramètres!$A$1:$I$89,3,0)*0.475*44/12</f>
        <v>#N/A</v>
      </c>
      <c r="AV94" s="21" t="e">
        <f>EXP(-LN(2)/25)*AV93+(1-EXP(-LN(2)/25))/(LN(2)/25)*Calculateur!AQ94*Calculateur!AS94*VLOOKUP('Données projet'!$B$10,Paramètres!$A$1:$I$89,3,0)*0.475*44/12</f>
        <v>#N/A</v>
      </c>
      <c r="AW94" s="21" t="e">
        <f>EXP(-LN(2)/2)*AW93+(1-EXP(-LN(2)/2))/(LN(2)/2)*AQ94*AT94*VLOOKUP('Données projet'!$B$10,Paramètres!$A$1:$I$89,3,0)*0.475*44/12</f>
        <v>#N/A</v>
      </c>
      <c r="AX94" s="21" t="e">
        <f t="shared" si="60"/>
        <v>#N/A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2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55.015999999999941</v>
      </c>
      <c r="D95" s="11">
        <f t="shared" si="86"/>
        <v>15.901868409640313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547.43617719722295</v>
      </c>
      <c r="H95" s="67">
        <f t="shared" si="56"/>
        <v>416.84862081345676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-5.6843418860808015E-14</v>
      </c>
      <c r="O95" s="13">
        <f>N95*VLOOKUP('Données projet'!$B$9,Paramètres!$A$1:$I$89,3,0)*VLOOKUP('Données projet'!$B$9,Paramètres!$A$1:$I$89,5,0)</f>
        <v>-3.3992364478763198E-14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232.5902129145469</v>
      </c>
      <c r="T95" s="59">
        <f t="shared" si="88"/>
        <v>340.94590122751879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76.461705143407343</v>
      </c>
      <c r="AA95" s="21">
        <f>EXP(-LN(2)/25)*AA94+(1-EXP(-LN(2)/25))/(LN(2)/25)*Calculateur!V95*Calculateur!X95*VLOOKUP('Données projet'!$B$9,Paramètres!$A$1:$I$89,3,0)*0.475*44/12</f>
        <v>5.811851793154176</v>
      </c>
      <c r="AB95" s="21">
        <f>EXP(-LN(2)/2)*AB94+(1-EXP(-LN(2)/2))/(LN(2)/2)*V95*Y95*VLOOKUP('Données projet'!$B$9,Paramètres!$A$1:$I$89,3,0)*0.475*44/12</f>
        <v>1.1554146213307306E-6</v>
      </c>
      <c r="AC95" s="22">
        <f t="shared" si="57"/>
        <v>82.273558091976142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0</v>
      </c>
      <c r="AJ95" s="13" t="e">
        <f>AI95*VLOOKUP('Données projet'!$B$10,Paramètres!$A$1:$I$89,3,0)*VLOOKUP('Données projet'!$B$10,Paramètres!$A$1:$I$89,5,0)</f>
        <v>#N/A</v>
      </c>
      <c r="AK95" s="13" t="e">
        <f t="shared" si="89"/>
        <v>#N/A</v>
      </c>
      <c r="AL95" s="20" t="e">
        <f t="shared" si="58"/>
        <v>#N/A</v>
      </c>
      <c r="AM95" s="59" t="e">
        <f t="shared" si="59"/>
        <v>#N/A</v>
      </c>
      <c r="AN95" s="59" t="e">
        <f ca="1">AVERAGE(OFFSET($AM$3,0,0,'Données projet'!$E$10+1,1))-AVERAGE(OFFSET($H$3,0,0,'Données projet'!$E$10+1,1))</f>
        <v>#N/A</v>
      </c>
      <c r="AO95" s="59" t="e">
        <f t="shared" si="90"/>
        <v>#N/A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 t="e">
        <f>EXP(-LN(2)/35)*AU94+(1-EXP(-LN(2)/35))/(LN(2)/35)*AQ95*AR95*VLOOKUP('Données projet'!$B$10,Paramètres!$A$1:$I$89,3,0)*0.475*44/12</f>
        <v>#N/A</v>
      </c>
      <c r="AV95" s="21" t="e">
        <f>EXP(-LN(2)/25)*AV94+(1-EXP(-LN(2)/25))/(LN(2)/25)*Calculateur!AQ95*Calculateur!AS95*VLOOKUP('Données projet'!$B$10,Paramètres!$A$1:$I$89,3,0)*0.475*44/12</f>
        <v>#N/A</v>
      </c>
      <c r="AW95" s="21" t="e">
        <f>EXP(-LN(2)/2)*AW94+(1-EXP(-LN(2)/2))/(LN(2)/2)*AQ95*AT95*VLOOKUP('Données projet'!$B$10,Paramètres!$A$1:$I$89,3,0)*0.475*44/12</f>
        <v>#N/A</v>
      </c>
      <c r="AX95" s="21" t="e">
        <f t="shared" si="60"/>
        <v>#N/A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2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55.61399999999994</v>
      </c>
      <c r="D96" s="11">
        <f t="shared" si="86"/>
        <v>16.054499257029473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553.23052058057795</v>
      </c>
      <c r="H96" s="67">
        <f t="shared" si="56"/>
        <v>418.15596953932624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-5.6843418860808015E-14</v>
      </c>
      <c r="O96" s="13">
        <f>N96*VLOOKUP('Données projet'!$B$9,Paramètres!$A$1:$I$89,3,0)*VLOOKUP('Données projet'!$B$9,Paramètres!$A$1:$I$89,5,0)</f>
        <v>-3.3992364478763198E-14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232.5902129145469</v>
      </c>
      <c r="T96" s="59">
        <f t="shared" si="88"/>
        <v>340.94590122751879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74.962337742580232</v>
      </c>
      <c r="AA96" s="21">
        <f>EXP(-LN(2)/25)*AA95+(1-EXP(-LN(2)/25))/(LN(2)/25)*Calculateur!V96*Calculateur!X96*VLOOKUP('Données projet'!$B$9,Paramètres!$A$1:$I$89,3,0)*0.475*44/12</f>
        <v>5.6529264002383721</v>
      </c>
      <c r="AB96" s="21">
        <f>EXP(-LN(2)/2)*AB95+(1-EXP(-LN(2)/2))/(LN(2)/2)*V96*Y96*VLOOKUP('Données projet'!$B$9,Paramètres!$A$1:$I$89,3,0)*0.475*44/12</f>
        <v>8.1700151382504657E-7</v>
      </c>
      <c r="AC96" s="22">
        <f t="shared" si="57"/>
        <v>80.615264959820124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0</v>
      </c>
      <c r="AJ96" s="13" t="e">
        <f>AI96*VLOOKUP('Données projet'!$B$10,Paramètres!$A$1:$I$89,3,0)*VLOOKUP('Données projet'!$B$10,Paramètres!$A$1:$I$89,5,0)</f>
        <v>#N/A</v>
      </c>
      <c r="AK96" s="13" t="e">
        <f t="shared" si="89"/>
        <v>#N/A</v>
      </c>
      <c r="AL96" s="20" t="e">
        <f t="shared" si="58"/>
        <v>#N/A</v>
      </c>
      <c r="AM96" s="59" t="e">
        <f t="shared" si="59"/>
        <v>#N/A</v>
      </c>
      <c r="AN96" s="59" t="e">
        <f ca="1">AVERAGE(OFFSET($AM$3,0,0,'Données projet'!$E$10+1,1))-AVERAGE(OFFSET($H$3,0,0,'Données projet'!$E$10+1,1))</f>
        <v>#N/A</v>
      </c>
      <c r="AO96" s="59" t="e">
        <f t="shared" si="90"/>
        <v>#N/A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 t="e">
        <f>EXP(-LN(2)/35)*AU95+(1-EXP(-LN(2)/35))/(LN(2)/35)*AQ96*AR96*VLOOKUP('Données projet'!$B$10,Paramètres!$A$1:$I$89,3,0)*0.475*44/12</f>
        <v>#N/A</v>
      </c>
      <c r="AV96" s="21" t="e">
        <f>EXP(-LN(2)/25)*AV95+(1-EXP(-LN(2)/25))/(LN(2)/25)*Calculateur!AQ96*Calculateur!AS96*VLOOKUP('Données projet'!$B$10,Paramètres!$A$1:$I$89,3,0)*0.475*44/12</f>
        <v>#N/A</v>
      </c>
      <c r="AW96" s="21" t="e">
        <f>EXP(-LN(2)/2)*AW95+(1-EXP(-LN(2)/2))/(LN(2)/2)*AQ96*AT96*VLOOKUP('Données projet'!$B$10,Paramètres!$A$1:$I$89,3,0)*0.475*44/12</f>
        <v>#N/A</v>
      </c>
      <c r="AX96" s="21" t="e">
        <f t="shared" si="60"/>
        <v>#N/A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2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56.211999999999939</v>
      </c>
      <c r="D97" s="11">
        <f t="shared" si="86"/>
        <v>16.206939185290693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559.0233902022436</v>
      </c>
      <c r="H97" s="67">
        <f t="shared" si="56"/>
        <v>419.46298574771453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-5.6843418860808015E-14</v>
      </c>
      <c r="O97" s="13">
        <f>N97*VLOOKUP('Données projet'!$B$9,Paramètres!$A$1:$I$89,3,0)*VLOOKUP('Données projet'!$B$9,Paramètres!$A$1:$I$89,5,0)</f>
        <v>-3.3992364478763198E-14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232.5902129145469</v>
      </c>
      <c r="T97" s="59">
        <f t="shared" si="88"/>
        <v>340.94590122751879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73.49237202195954</v>
      </c>
      <c r="AA97" s="21">
        <f>EXP(-LN(2)/25)*AA96+(1-EXP(-LN(2)/25))/(LN(2)/25)*Calculateur!V97*Calculateur!X97*VLOOKUP('Données projet'!$B$9,Paramètres!$A$1:$I$89,3,0)*0.475*44/12</f>
        <v>5.4983468305493748</v>
      </c>
      <c r="AB97" s="21">
        <f>EXP(-LN(2)/2)*AB96+(1-EXP(-LN(2)/2))/(LN(2)/2)*V97*Y97*VLOOKUP('Données projet'!$B$9,Paramètres!$A$1:$I$89,3,0)*0.475*44/12</f>
        <v>5.7770731066536528E-7</v>
      </c>
      <c r="AC97" s="22">
        <f t="shared" si="57"/>
        <v>78.990719430216231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0</v>
      </c>
      <c r="AJ97" s="13" t="e">
        <f>AI97*VLOOKUP('Données projet'!$B$10,Paramètres!$A$1:$I$89,3,0)*VLOOKUP('Données projet'!$B$10,Paramètres!$A$1:$I$89,5,0)</f>
        <v>#N/A</v>
      </c>
      <c r="AK97" s="13" t="e">
        <f t="shared" si="89"/>
        <v>#N/A</v>
      </c>
      <c r="AL97" s="20" t="e">
        <f t="shared" si="58"/>
        <v>#N/A</v>
      </c>
      <c r="AM97" s="59" t="e">
        <f t="shared" si="59"/>
        <v>#N/A</v>
      </c>
      <c r="AN97" s="59" t="e">
        <f ca="1">AVERAGE(OFFSET($AM$3,0,0,'Données projet'!$E$10+1,1))-AVERAGE(OFFSET($H$3,0,0,'Données projet'!$E$10+1,1))</f>
        <v>#N/A</v>
      </c>
      <c r="AO97" s="59" t="e">
        <f t="shared" si="90"/>
        <v>#N/A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 t="e">
        <f>EXP(-LN(2)/35)*AU96+(1-EXP(-LN(2)/35))/(LN(2)/35)*AQ97*AR97*VLOOKUP('Données projet'!$B$10,Paramètres!$A$1:$I$89,3,0)*0.475*44/12</f>
        <v>#N/A</v>
      </c>
      <c r="AV97" s="21" t="e">
        <f>EXP(-LN(2)/25)*AV96+(1-EXP(-LN(2)/25))/(LN(2)/25)*Calculateur!AQ97*Calculateur!AS97*VLOOKUP('Données projet'!$B$10,Paramètres!$A$1:$I$89,3,0)*0.475*44/12</f>
        <v>#N/A</v>
      </c>
      <c r="AW97" s="21" t="e">
        <f>EXP(-LN(2)/2)*AW96+(1-EXP(-LN(2)/2))/(LN(2)/2)*AQ97*AT97*VLOOKUP('Données projet'!$B$10,Paramètres!$A$1:$I$89,3,0)*0.475*44/12</f>
        <v>#N/A</v>
      </c>
      <c r="AX97" s="21" t="e">
        <f t="shared" si="60"/>
        <v>#N/A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2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56.809999999999938</v>
      </c>
      <c r="D98" s="11">
        <f t="shared" si="86"/>
        <v>16.359190460575874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564.8148035553221</v>
      </c>
      <c r="H98" s="67">
        <f t="shared" si="56"/>
        <v>420.76967338550281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-5.6843418860808015E-14</v>
      </c>
      <c r="O98" s="13">
        <f>N98*VLOOKUP('Données projet'!$B$9,Paramètres!$A$1:$I$89,3,0)*VLOOKUP('Données projet'!$B$9,Paramètres!$A$1:$I$89,5,0)</f>
        <v>-3.3992364478763198E-14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232.5902129145469</v>
      </c>
      <c r="T98" s="59">
        <f t="shared" si="88"/>
        <v>340.94590122751879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72.051231432529647</v>
      </c>
      <c r="AA98" s="21">
        <f>EXP(-LN(2)/25)*AA97+(1-EXP(-LN(2)/25))/(LN(2)/25)*Calculateur!V98*Calculateur!X98*VLOOKUP('Données projet'!$B$9,Paramètres!$A$1:$I$89,3,0)*0.475*44/12</f>
        <v>5.3479942473225091</v>
      </c>
      <c r="AB98" s="21">
        <f>EXP(-LN(2)/2)*AB97+(1-EXP(-LN(2)/2))/(LN(2)/2)*V98*Y98*VLOOKUP('Données projet'!$B$9,Paramètres!$A$1:$I$89,3,0)*0.475*44/12</f>
        <v>4.0850075691252329E-7</v>
      </c>
      <c r="AC98" s="22">
        <f t="shared" si="57"/>
        <v>77.399226088352904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0</v>
      </c>
      <c r="AJ98" s="13" t="e">
        <f>AI98*VLOOKUP('Données projet'!$B$10,Paramètres!$A$1:$I$89,3,0)*VLOOKUP('Données projet'!$B$10,Paramètres!$A$1:$I$89,5,0)</f>
        <v>#N/A</v>
      </c>
      <c r="AK98" s="13" t="e">
        <f t="shared" si="89"/>
        <v>#N/A</v>
      </c>
      <c r="AL98" s="20" t="e">
        <f t="shared" si="58"/>
        <v>#N/A</v>
      </c>
      <c r="AM98" s="59" t="e">
        <f t="shared" si="59"/>
        <v>#N/A</v>
      </c>
      <c r="AN98" s="59" t="e">
        <f ca="1">AVERAGE(OFFSET($AM$3,0,0,'Données projet'!$E$10+1,1))-AVERAGE(OFFSET($H$3,0,0,'Données projet'!$E$10+1,1))</f>
        <v>#N/A</v>
      </c>
      <c r="AO98" s="59" t="e">
        <f t="shared" si="90"/>
        <v>#N/A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 t="e">
        <f>EXP(-LN(2)/35)*AU97+(1-EXP(-LN(2)/35))/(LN(2)/35)*AQ98*AR98*VLOOKUP('Données projet'!$B$10,Paramètres!$A$1:$I$89,3,0)*0.475*44/12</f>
        <v>#N/A</v>
      </c>
      <c r="AV98" s="21" t="e">
        <f>EXP(-LN(2)/25)*AV97+(1-EXP(-LN(2)/25))/(LN(2)/25)*Calculateur!AQ98*Calculateur!AS98*VLOOKUP('Données projet'!$B$10,Paramètres!$A$1:$I$89,3,0)*0.475*44/12</f>
        <v>#N/A</v>
      </c>
      <c r="AW98" s="21" t="e">
        <f>EXP(-LN(2)/2)*AW97+(1-EXP(-LN(2)/2))/(LN(2)/2)*AQ98*AT98*VLOOKUP('Données projet'!$B$10,Paramètres!$A$1:$I$89,3,0)*0.475*44/12</f>
        <v>#N/A</v>
      </c>
      <c r="AX98" s="21" t="e">
        <f t="shared" si="60"/>
        <v>#N/A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2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57.407999999999937</v>
      </c>
      <c r="D99" s="11">
        <f t="shared" si="86"/>
        <v>16.51125529857994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570.60477774342371</v>
      </c>
      <c r="H99" s="67">
        <f t="shared" si="56"/>
        <v>422.07603631169331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-5.6843418860808015E-14</v>
      </c>
      <c r="O99" s="13">
        <f>N99*VLOOKUP('Données projet'!$B$9,Paramètres!$A$1:$I$89,3,0)*VLOOKUP('Données projet'!$B$9,Paramètres!$A$1:$I$89,5,0)</f>
        <v>-3.3992364478763198E-14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232.5902129145469</v>
      </c>
      <c r="T99" s="59">
        <f t="shared" si="88"/>
        <v>340.94590122751879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70.638350731049513</v>
      </c>
      <c r="AA99" s="21">
        <f>EXP(-LN(2)/25)*AA98+(1-EXP(-LN(2)/25))/(LN(2)/25)*Calculateur!V99*Calculateur!X99*VLOOKUP('Données projet'!$B$9,Paramètres!$A$1:$I$89,3,0)*0.475*44/12</f>
        <v>5.2017530633906803</v>
      </c>
      <c r="AB99" s="21">
        <f>EXP(-LN(2)/2)*AB98+(1-EXP(-LN(2)/2))/(LN(2)/2)*V99*Y99*VLOOKUP('Données projet'!$B$9,Paramètres!$A$1:$I$89,3,0)*0.475*44/12</f>
        <v>2.8885365533268264E-7</v>
      </c>
      <c r="AC99" s="22">
        <f t="shared" si="57"/>
        <v>75.840104083293852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0</v>
      </c>
      <c r="AJ99" s="13" t="e">
        <f>AI99*VLOOKUP('Données projet'!$B$10,Paramètres!$A$1:$I$89,3,0)*VLOOKUP('Données projet'!$B$10,Paramètres!$A$1:$I$89,5,0)</f>
        <v>#N/A</v>
      </c>
      <c r="AK99" s="13" t="e">
        <f t="shared" si="89"/>
        <v>#N/A</v>
      </c>
      <c r="AL99" s="20" t="e">
        <f t="shared" si="58"/>
        <v>#N/A</v>
      </c>
      <c r="AM99" s="59" t="e">
        <f t="shared" si="59"/>
        <v>#N/A</v>
      </c>
      <c r="AN99" s="59" t="e">
        <f ca="1">AVERAGE(OFFSET($AM$3,0,0,'Données projet'!$E$10+1,1))-AVERAGE(OFFSET($H$3,0,0,'Données projet'!$E$10+1,1))</f>
        <v>#N/A</v>
      </c>
      <c r="AO99" s="59" t="e">
        <f t="shared" si="90"/>
        <v>#N/A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 t="e">
        <f>EXP(-LN(2)/35)*AU98+(1-EXP(-LN(2)/35))/(LN(2)/35)*AQ99*AR99*VLOOKUP('Données projet'!$B$10,Paramètres!$A$1:$I$89,3,0)*0.475*44/12</f>
        <v>#N/A</v>
      </c>
      <c r="AV99" s="21" t="e">
        <f>EXP(-LN(2)/25)*AV98+(1-EXP(-LN(2)/25))/(LN(2)/25)*Calculateur!AQ99*Calculateur!AS99*VLOOKUP('Données projet'!$B$10,Paramètres!$A$1:$I$89,3,0)*0.475*44/12</f>
        <v>#N/A</v>
      </c>
      <c r="AW99" s="21" t="e">
        <f>EXP(-LN(2)/2)*AW98+(1-EXP(-LN(2)/2))/(LN(2)/2)*AQ99*AT99*VLOOKUP('Données projet'!$B$10,Paramètres!$A$1:$I$89,3,0)*0.475*44/12</f>
        <v>#N/A</v>
      </c>
      <c r="AX99" s="21" t="e">
        <f t="shared" si="60"/>
        <v>#N/A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2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58.005999999999936</v>
      </c>
      <c r="D100" s="11">
        <f t="shared" si="86"/>
        <v>16.663135866177953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576.3933294933031</v>
      </c>
      <c r="H100" s="67">
        <f t="shared" si="56"/>
        <v>423.38207830025976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-5.6843418860808015E-14</v>
      </c>
      <c r="O100" s="13">
        <f>N100*VLOOKUP('Données projet'!$B$9,Paramètres!$A$1:$I$89,3,0)*VLOOKUP('Données projet'!$B$9,Paramètres!$A$1:$I$89,5,0)</f>
        <v>-3.3992364478763198E-14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232.5902129145469</v>
      </c>
      <c r="T100" s="59">
        <f t="shared" si="88"/>
        <v>340.94590122751879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69.253175758353279</v>
      </c>
      <c r="AA100" s="21">
        <f>EXP(-LN(2)/25)*AA99+(1-EXP(-LN(2)/25))/(LN(2)/25)*Calculateur!V100*Calculateur!X100*VLOOKUP('Données projet'!$B$9,Paramètres!$A$1:$I$89,3,0)*0.475*44/12</f>
        <v>5.0595108523239576</v>
      </c>
      <c r="AB100" s="21">
        <f>EXP(-LN(2)/2)*AB99+(1-EXP(-LN(2)/2))/(LN(2)/2)*V100*Y100*VLOOKUP('Données projet'!$B$9,Paramètres!$A$1:$I$89,3,0)*0.475*44/12</f>
        <v>2.0425037845626164E-7</v>
      </c>
      <c r="AC100" s="22">
        <f t="shared" si="57"/>
        <v>74.312686814927616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0</v>
      </c>
      <c r="AJ100" s="13" t="e">
        <f>AI100*VLOOKUP('Données projet'!$B$10,Paramètres!$A$1:$I$89,3,0)*VLOOKUP('Données projet'!$B$10,Paramètres!$A$1:$I$89,5,0)</f>
        <v>#N/A</v>
      </c>
      <c r="AK100" s="13" t="e">
        <f t="shared" si="89"/>
        <v>#N/A</v>
      </c>
      <c r="AL100" s="20" t="e">
        <f t="shared" si="58"/>
        <v>#N/A</v>
      </c>
      <c r="AM100" s="59" t="e">
        <f t="shared" si="59"/>
        <v>#N/A</v>
      </c>
      <c r="AN100" s="59" t="e">
        <f ca="1">AVERAGE(OFFSET($AM$3,0,0,'Données projet'!$E$10+1,1))-AVERAGE(OFFSET($H$3,0,0,'Données projet'!$E$10+1,1))</f>
        <v>#N/A</v>
      </c>
      <c r="AO100" s="59" t="e">
        <f t="shared" si="90"/>
        <v>#N/A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 t="e">
        <f>EXP(-LN(2)/35)*AU99+(1-EXP(-LN(2)/35))/(LN(2)/35)*AQ100*AR100*VLOOKUP('Données projet'!$B$10,Paramètres!$A$1:$I$89,3,0)*0.475*44/12</f>
        <v>#N/A</v>
      </c>
      <c r="AV100" s="21" t="e">
        <f>EXP(-LN(2)/25)*AV99+(1-EXP(-LN(2)/25))/(LN(2)/25)*Calculateur!AQ100*Calculateur!AS100*VLOOKUP('Données projet'!$B$10,Paramètres!$A$1:$I$89,3,0)*0.475*44/12</f>
        <v>#N/A</v>
      </c>
      <c r="AW100" s="21" t="e">
        <f>EXP(-LN(2)/2)*AW99+(1-EXP(-LN(2)/2))/(LN(2)/2)*AQ100*AT100*VLOOKUP('Données projet'!$B$10,Paramètres!$A$1:$I$89,3,0)*0.475*44/12</f>
        <v>#N/A</v>
      </c>
      <c r="AX100" s="21" t="e">
        <f t="shared" si="60"/>
        <v>#N/A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2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58.603999999999935</v>
      </c>
      <c r="D101" s="11">
        <f t="shared" si="86"/>
        <v>16.81483428299277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582.18047516696117</v>
      </c>
      <c r="H101" s="67">
        <f t="shared" si="56"/>
        <v>424.68780304287895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-5.6843418860808015E-14</v>
      </c>
      <c r="O101" s="13">
        <f>N101*VLOOKUP('Données projet'!$B$9,Paramètres!$A$1:$I$89,3,0)*VLOOKUP('Données projet'!$B$9,Paramètres!$A$1:$I$89,5,0)</f>
        <v>-3.3992364478763198E-14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232.5902129145469</v>
      </c>
      <c r="T101" s="59">
        <f t="shared" si="88"/>
        <v>340.94590122751879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67.895163221998303</v>
      </c>
      <c r="AA101" s="21">
        <f>EXP(-LN(2)/25)*AA100+(1-EXP(-LN(2)/25))/(LN(2)/25)*Calculateur!V101*Calculateur!X101*VLOOKUP('Données projet'!$B$9,Paramètres!$A$1:$I$89,3,0)*0.475*44/12</f>
        <v>4.9211582619990466</v>
      </c>
      <c r="AB101" s="21">
        <f>EXP(-LN(2)/2)*AB100+(1-EXP(-LN(2)/2))/(LN(2)/2)*V101*Y101*VLOOKUP('Données projet'!$B$9,Paramètres!$A$1:$I$89,3,0)*0.475*44/12</f>
        <v>1.4442682766634132E-7</v>
      </c>
      <c r="AC101" s="22">
        <f t="shared" si="57"/>
        <v>72.816321628424163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0</v>
      </c>
      <c r="AJ101" s="13" t="e">
        <f>AI101*VLOOKUP('Données projet'!$B$10,Paramètres!$A$1:$I$89,3,0)*VLOOKUP('Données projet'!$B$10,Paramètres!$A$1:$I$89,5,0)</f>
        <v>#N/A</v>
      </c>
      <c r="AK101" s="13" t="e">
        <f t="shared" si="89"/>
        <v>#N/A</v>
      </c>
      <c r="AL101" s="20" t="e">
        <f t="shared" si="58"/>
        <v>#N/A</v>
      </c>
      <c r="AM101" s="59" t="e">
        <f t="shared" si="59"/>
        <v>#N/A</v>
      </c>
      <c r="AN101" s="59" t="e">
        <f ca="1">AVERAGE(OFFSET($AM$3,0,0,'Données projet'!$E$10+1,1))-AVERAGE(OFFSET($H$3,0,0,'Données projet'!$E$10+1,1))</f>
        <v>#N/A</v>
      </c>
      <c r="AO101" s="59" t="e">
        <f t="shared" si="90"/>
        <v>#N/A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 t="e">
        <f>EXP(-LN(2)/35)*AU100+(1-EXP(-LN(2)/35))/(LN(2)/35)*AQ101*AR101*VLOOKUP('Données projet'!$B$10,Paramètres!$A$1:$I$89,3,0)*0.475*44/12</f>
        <v>#N/A</v>
      </c>
      <c r="AV101" s="21" t="e">
        <f>EXP(-LN(2)/25)*AV100+(1-EXP(-LN(2)/25))/(LN(2)/25)*Calculateur!AQ101*Calculateur!AS101*VLOOKUP('Données projet'!$B$10,Paramètres!$A$1:$I$89,3,0)*0.475*44/12</f>
        <v>#N/A</v>
      </c>
      <c r="AW101" s="21" t="e">
        <f>EXP(-LN(2)/2)*AW100+(1-EXP(-LN(2)/2))/(LN(2)/2)*AQ101*AT101*VLOOKUP('Données projet'!$B$10,Paramètres!$A$1:$I$89,3,0)*0.475*44/12</f>
        <v>#N/A</v>
      </c>
      <c r="AX101" s="21" t="e">
        <f t="shared" si="60"/>
        <v>#N/A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2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59.201999999999934</v>
      </c>
      <c r="D102" s="11">
        <f t="shared" si="86"/>
        <v>16.96635262289686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587.96623077323841</v>
      </c>
      <c r="H102" s="67">
        <f t="shared" si="56"/>
        <v>425.9932141515452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-5.6843418860808015E-14</v>
      </c>
      <c r="O102" s="13">
        <f>N102*VLOOKUP('Données projet'!$B$9,Paramètres!$A$1:$I$89,3,0)*VLOOKUP('Données projet'!$B$9,Paramètres!$A$1:$I$89,5,0)</f>
        <v>-3.3992364478763198E-14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232.5902129145469</v>
      </c>
      <c r="T102" s="59">
        <f t="shared" si="88"/>
        <v>340.94590122751879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66.563780483175393</v>
      </c>
      <c r="AA102" s="21">
        <f>EXP(-LN(2)/25)*AA101+(1-EXP(-LN(2)/25))/(LN(2)/25)*Calculateur!V102*Calculateur!X102*VLOOKUP('Données projet'!$B$9,Paramètres!$A$1:$I$89,3,0)*0.475*44/12</f>
        <v>4.7865889305322176</v>
      </c>
      <c r="AB102" s="21">
        <f>EXP(-LN(2)/2)*AB101+(1-EXP(-LN(2)/2))/(LN(2)/2)*V102*Y102*VLOOKUP('Données projet'!$B$9,Paramètres!$A$1:$I$89,3,0)*0.475*44/12</f>
        <v>1.0212518922813082E-7</v>
      </c>
      <c r="AC102" s="22">
        <f t="shared" si="57"/>
        <v>71.350369515832796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0</v>
      </c>
      <c r="AJ102" s="13" t="e">
        <f>AI102*VLOOKUP('Données projet'!$B$10,Paramètres!$A$1:$I$89,3,0)*VLOOKUP('Données projet'!$B$10,Paramètres!$A$1:$I$89,5,0)</f>
        <v>#N/A</v>
      </c>
      <c r="AK102" s="13" t="e">
        <f t="shared" si="89"/>
        <v>#N/A</v>
      </c>
      <c r="AL102" s="20" t="e">
        <f t="shared" si="58"/>
        <v>#N/A</v>
      </c>
      <c r="AM102" s="59" t="e">
        <f t="shared" si="59"/>
        <v>#N/A</v>
      </c>
      <c r="AN102" s="59" t="e">
        <f ca="1">AVERAGE(OFFSET($AM$3,0,0,'Données projet'!$E$10+1,1))-AVERAGE(OFFSET($H$3,0,0,'Données projet'!$E$10+1,1))</f>
        <v>#N/A</v>
      </c>
      <c r="AO102" s="59" t="e">
        <f t="shared" si="90"/>
        <v>#N/A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 t="e">
        <f>EXP(-LN(2)/35)*AU101+(1-EXP(-LN(2)/35))/(LN(2)/35)*AQ102*AR102*VLOOKUP('Données projet'!$B$10,Paramètres!$A$1:$I$89,3,0)*0.475*44/12</f>
        <v>#N/A</v>
      </c>
      <c r="AV102" s="21" t="e">
        <f>EXP(-LN(2)/25)*AV101+(1-EXP(-LN(2)/25))/(LN(2)/25)*Calculateur!AQ102*Calculateur!AS102*VLOOKUP('Données projet'!$B$10,Paramètres!$A$1:$I$89,3,0)*0.475*44/12</f>
        <v>#N/A</v>
      </c>
      <c r="AW102" s="21" t="e">
        <f>EXP(-LN(2)/2)*AW101+(1-EXP(-LN(2)/2))/(LN(2)/2)*AQ102*AT102*VLOOKUP('Données projet'!$B$10,Paramètres!$A$1:$I$89,3,0)*0.475*44/12</f>
        <v>#N/A</v>
      </c>
      <c r="AX102" s="21" t="e">
        <f t="shared" si="60"/>
        <v>#N/A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2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59.799999999999933</v>
      </c>
      <c r="D103" s="11">
        <f t="shared" si="86"/>
        <v>17.117692915451709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593.75061197892501</v>
      </c>
      <c r="H103" s="67">
        <f t="shared" si="56"/>
        <v>427.29831516107822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-5.6843418860808015E-14</v>
      </c>
      <c r="O103" s="13">
        <f>N103*VLOOKUP('Données projet'!$B$9,Paramètres!$A$1:$I$89,3,0)*VLOOKUP('Données projet'!$B$9,Paramètres!$A$1:$I$89,5,0)</f>
        <v>-3.3992364478763198E-14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232.5902129145469</v>
      </c>
      <c r="T103" s="59">
        <f t="shared" si="88"/>
        <v>340.94590122751879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65.258505347797509</v>
      </c>
      <c r="AA103" s="21">
        <f>EXP(-LN(2)/25)*AA102+(1-EXP(-LN(2)/25))/(LN(2)/25)*Calculateur!V103*Calculateur!X103*VLOOKUP('Données projet'!$B$9,Paramètres!$A$1:$I$89,3,0)*0.475*44/12</f>
        <v>4.6556994045110418</v>
      </c>
      <c r="AB103" s="21">
        <f>EXP(-LN(2)/2)*AB102+(1-EXP(-LN(2)/2))/(LN(2)/2)*V103*Y103*VLOOKUP('Données projet'!$B$9,Paramètres!$A$1:$I$89,3,0)*0.475*44/12</f>
        <v>7.221341383317066E-8</v>
      </c>
      <c r="AC103" s="22">
        <f t="shared" si="57"/>
        <v>69.91420482452196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0</v>
      </c>
      <c r="AJ103" s="13" t="e">
        <f>AI103*VLOOKUP('Données projet'!$B$10,Paramètres!$A$1:$I$89,3,0)*VLOOKUP('Données projet'!$B$10,Paramètres!$A$1:$I$89,5,0)</f>
        <v>#N/A</v>
      </c>
      <c r="AK103" s="13" t="e">
        <f t="shared" si="89"/>
        <v>#N/A</v>
      </c>
      <c r="AL103" s="20" t="e">
        <f t="shared" si="58"/>
        <v>#N/A</v>
      </c>
      <c r="AM103" s="59" t="e">
        <f t="shared" si="59"/>
        <v>#N/A</v>
      </c>
      <c r="AN103" s="59" t="e">
        <f ca="1">AVERAGE(OFFSET($AM$3,0,0,'Données projet'!$E$10+1,1))-AVERAGE(OFFSET($H$3,0,0,'Données projet'!$E$10+1,1))</f>
        <v>#N/A</v>
      </c>
      <c r="AO103" s="59" t="e">
        <f t="shared" si="90"/>
        <v>#N/A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 t="e">
        <f>EXP(-LN(2)/35)*AU102+(1-EXP(-LN(2)/35))/(LN(2)/35)*AQ103*AR103*VLOOKUP('Données projet'!$B$10,Paramètres!$A$1:$I$89,3,0)*0.475*44/12</f>
        <v>#N/A</v>
      </c>
      <c r="AV103" s="21" t="e">
        <f>EXP(-LN(2)/25)*AV102+(1-EXP(-LN(2)/25))/(LN(2)/25)*Calculateur!AQ103*Calculateur!AS103*VLOOKUP('Données projet'!$B$10,Paramètres!$A$1:$I$89,3,0)*0.475*44/12</f>
        <v>#N/A</v>
      </c>
      <c r="AW103" s="21" t="e">
        <f>EXP(-LN(2)/2)*AW102+(1-EXP(-LN(2)/2))/(LN(2)/2)*AQ103*AT103*VLOOKUP('Données projet'!$B$10,Paramètres!$A$1:$I$89,3,0)*0.475*44/12</f>
        <v>#N/A</v>
      </c>
      <c r="AX103" s="21" t="e">
        <f t="shared" si="60"/>
        <v>#N/A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2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60.397999999999932</v>
      </c>
      <c r="D104" s="11">
        <f t="shared" si="86"/>
        <v>17.268857147288056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599.53363411941609</v>
      </c>
      <c r="H104" s="67">
        <f t="shared" si="56"/>
        <v>428.60310953152657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-5.6843418860808015E-14</v>
      </c>
      <c r="O104" s="13">
        <f>N104*VLOOKUP('Données projet'!$B$9,Paramètres!$A$1:$I$89,3,0)*VLOOKUP('Données projet'!$B$9,Paramètres!$A$1:$I$89,5,0)</f>
        <v>-3.3992364478763198E-14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232.5902129145469</v>
      </c>
      <c r="T104" s="59">
        <f t="shared" si="88"/>
        <v>340.94590122751879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63.978825861685166</v>
      </c>
      <c r="AA104" s="21">
        <f>EXP(-LN(2)/25)*AA103+(1-EXP(-LN(2)/25))/(LN(2)/25)*Calculateur!V104*Calculateur!X104*VLOOKUP('Données projet'!$B$9,Paramètres!$A$1:$I$89,3,0)*0.475*44/12</f>
        <v>4.5283890594620964</v>
      </c>
      <c r="AB104" s="21">
        <f>EXP(-LN(2)/2)*AB103+(1-EXP(-LN(2)/2))/(LN(2)/2)*V104*Y104*VLOOKUP('Données projet'!$B$9,Paramètres!$A$1:$I$89,3,0)*0.475*44/12</f>
        <v>5.1062594614065411E-8</v>
      </c>
      <c r="AC104" s="22">
        <f t="shared" si="57"/>
        <v>68.507214972209866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0</v>
      </c>
      <c r="AJ104" s="13" t="e">
        <f>AI104*VLOOKUP('Données projet'!$B$10,Paramètres!$A$1:$I$89,3,0)*VLOOKUP('Données projet'!$B$10,Paramètres!$A$1:$I$89,5,0)</f>
        <v>#N/A</v>
      </c>
      <c r="AK104" s="13" t="e">
        <f t="shared" si="89"/>
        <v>#N/A</v>
      </c>
      <c r="AL104" s="20" t="e">
        <f t="shared" si="58"/>
        <v>#N/A</v>
      </c>
      <c r="AM104" s="59" t="e">
        <f t="shared" si="59"/>
        <v>#N/A</v>
      </c>
      <c r="AN104" s="59" t="e">
        <f ca="1">AVERAGE(OFFSET($AM$3,0,0,'Données projet'!$E$10+1,1))-AVERAGE(OFFSET($H$3,0,0,'Données projet'!$E$10+1,1))</f>
        <v>#N/A</v>
      </c>
      <c r="AO104" s="59" t="e">
        <f t="shared" si="90"/>
        <v>#N/A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 t="e">
        <f>EXP(-LN(2)/35)*AU103+(1-EXP(-LN(2)/35))/(LN(2)/35)*AQ104*AR104*VLOOKUP('Données projet'!$B$10,Paramètres!$A$1:$I$89,3,0)*0.475*44/12</f>
        <v>#N/A</v>
      </c>
      <c r="AV104" s="21" t="e">
        <f>EXP(-LN(2)/25)*AV103+(1-EXP(-LN(2)/25))/(LN(2)/25)*Calculateur!AQ104*Calculateur!AS104*VLOOKUP('Données projet'!$B$10,Paramètres!$A$1:$I$89,3,0)*0.475*44/12</f>
        <v>#N/A</v>
      </c>
      <c r="AW104" s="21" t="e">
        <f>EXP(-LN(2)/2)*AW103+(1-EXP(-LN(2)/2))/(LN(2)/2)*AQ104*AT104*VLOOKUP('Données projet'!$B$10,Paramètres!$A$1:$I$89,3,0)*0.475*44/12</f>
        <v>#N/A</v>
      </c>
      <c r="AX104" s="21" t="e">
        <f t="shared" si="60"/>
        <v>#N/A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2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60.995999999999931</v>
      </c>
      <c r="D105" s="11">
        <f t="shared" si="86"/>
        <v>17.419847263429784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605.31531220893112</v>
      </c>
      <c r="H105" s="67">
        <f t="shared" si="56"/>
        <v>429.9076006504734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-5.6843418860808015E-14</v>
      </c>
      <c r="O105" s="13">
        <f>N105*VLOOKUP('Données projet'!$B$9,Paramètres!$A$1:$I$89,3,0)*VLOOKUP('Données projet'!$B$9,Paramètres!$A$1:$I$89,5,0)</f>
        <v>-3.3992364478763198E-14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232.5902129145469</v>
      </c>
      <c r="T105" s="59">
        <f t="shared" si="88"/>
        <v>340.94590122751879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62.724240109768068</v>
      </c>
      <c r="AA105" s="21">
        <f>EXP(-LN(2)/25)*AA104+(1-EXP(-LN(2)/25))/(LN(2)/25)*Calculateur!V105*Calculateur!X105*VLOOKUP('Données projet'!$B$9,Paramètres!$A$1:$I$89,3,0)*0.475*44/12</f>
        <v>4.4045600224934747</v>
      </c>
      <c r="AB105" s="21">
        <f>EXP(-LN(2)/2)*AB104+(1-EXP(-LN(2)/2))/(LN(2)/2)*V105*Y105*VLOOKUP('Données projet'!$B$9,Paramètres!$A$1:$I$89,3,0)*0.475*44/12</f>
        <v>3.610670691658533E-8</v>
      </c>
      <c r="AC105" s="22">
        <f t="shared" si="57"/>
        <v>67.128800168368258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0</v>
      </c>
      <c r="AJ105" s="13" t="e">
        <f>AI105*VLOOKUP('Données projet'!$B$10,Paramètres!$A$1:$I$89,3,0)*VLOOKUP('Données projet'!$B$10,Paramètres!$A$1:$I$89,5,0)</f>
        <v>#N/A</v>
      </c>
      <c r="AK105" s="13" t="e">
        <f t="shared" si="89"/>
        <v>#N/A</v>
      </c>
      <c r="AL105" s="20" t="e">
        <f t="shared" si="58"/>
        <v>#N/A</v>
      </c>
      <c r="AM105" s="59" t="e">
        <f t="shared" si="59"/>
        <v>#N/A</v>
      </c>
      <c r="AN105" s="59" t="e">
        <f ca="1">AVERAGE(OFFSET($AM$3,0,0,'Données projet'!$E$10+1,1))-AVERAGE(OFFSET($H$3,0,0,'Données projet'!$E$10+1,1))</f>
        <v>#N/A</v>
      </c>
      <c r="AO105" s="59" t="e">
        <f t="shared" si="90"/>
        <v>#N/A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 t="e">
        <f>EXP(-LN(2)/35)*AU104+(1-EXP(-LN(2)/35))/(LN(2)/35)*AQ105*AR105*VLOOKUP('Données projet'!$B$10,Paramètres!$A$1:$I$89,3,0)*0.475*44/12</f>
        <v>#N/A</v>
      </c>
      <c r="AV105" s="21" t="e">
        <f>EXP(-LN(2)/25)*AV104+(1-EXP(-LN(2)/25))/(LN(2)/25)*Calculateur!AQ105*Calculateur!AS105*VLOOKUP('Données projet'!$B$10,Paramètres!$A$1:$I$89,3,0)*0.475*44/12</f>
        <v>#N/A</v>
      </c>
      <c r="AW105" s="21" t="e">
        <f>EXP(-LN(2)/2)*AW104+(1-EXP(-LN(2)/2))/(LN(2)/2)*AQ105*AT105*VLOOKUP('Données projet'!$B$10,Paramètres!$A$1:$I$89,3,0)*0.475*44/12</f>
        <v>#N/A</v>
      </c>
      <c r="AX105" s="21" t="e">
        <f t="shared" si="60"/>
        <v>#N/A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2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61.59399999999993</v>
      </c>
      <c r="D106" s="11">
        <f t="shared" si="86"/>
        <v>17.570665168564602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611.09566095032289</v>
      </c>
      <c r="H106" s="67">
        <f t="shared" si="56"/>
        <v>431.21179183524987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-5.6843418860808015E-14</v>
      </c>
      <c r="O106" s="13">
        <f>N106*VLOOKUP('Données projet'!$B$9,Paramètres!$A$1:$I$89,3,0)*VLOOKUP('Données projet'!$B$9,Paramètres!$A$1:$I$89,5,0)</f>
        <v>-3.3992364478763198E-14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232.5902129145469</v>
      </c>
      <c r="T106" s="59">
        <f t="shared" si="88"/>
        <v>340.94590122751879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61.494256019224316</v>
      </c>
      <c r="AA106" s="21">
        <f>EXP(-LN(2)/25)*AA105+(1-EXP(-LN(2)/25))/(LN(2)/25)*Calculateur!V106*Calculateur!X106*VLOOKUP('Données projet'!$B$9,Paramètres!$A$1:$I$89,3,0)*0.475*44/12</f>
        <v>4.2841170970526461</v>
      </c>
      <c r="AB106" s="21">
        <f>EXP(-LN(2)/2)*AB105+(1-EXP(-LN(2)/2))/(LN(2)/2)*V106*Y106*VLOOKUP('Données projet'!$B$9,Paramètres!$A$1:$I$89,3,0)*0.475*44/12</f>
        <v>2.5531297307032705E-8</v>
      </c>
      <c r="AC106" s="22">
        <f t="shared" si="57"/>
        <v>65.77837314180826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0</v>
      </c>
      <c r="AJ106" s="13" t="e">
        <f>AI106*VLOOKUP('Données projet'!$B$10,Paramètres!$A$1:$I$89,3,0)*VLOOKUP('Données projet'!$B$10,Paramètres!$A$1:$I$89,5,0)</f>
        <v>#N/A</v>
      </c>
      <c r="AK106" s="13" t="e">
        <f t="shared" si="89"/>
        <v>#N/A</v>
      </c>
      <c r="AL106" s="20" t="e">
        <f t="shared" si="58"/>
        <v>#N/A</v>
      </c>
      <c r="AM106" s="59" t="e">
        <f t="shared" si="59"/>
        <v>#N/A</v>
      </c>
      <c r="AN106" s="59" t="e">
        <f ca="1">AVERAGE(OFFSET($AM$3,0,0,'Données projet'!$E$10+1,1))-AVERAGE(OFFSET($H$3,0,0,'Données projet'!$E$10+1,1))</f>
        <v>#N/A</v>
      </c>
      <c r="AO106" s="59" t="e">
        <f t="shared" si="90"/>
        <v>#N/A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 t="e">
        <f>EXP(-LN(2)/35)*AU105+(1-EXP(-LN(2)/35))/(LN(2)/35)*AQ106*AR106*VLOOKUP('Données projet'!$B$10,Paramètres!$A$1:$I$89,3,0)*0.475*44/12</f>
        <v>#N/A</v>
      </c>
      <c r="AV106" s="21" t="e">
        <f>EXP(-LN(2)/25)*AV105+(1-EXP(-LN(2)/25))/(LN(2)/25)*Calculateur!AQ106*Calculateur!AS106*VLOOKUP('Données projet'!$B$10,Paramètres!$A$1:$I$89,3,0)*0.475*44/12</f>
        <v>#N/A</v>
      </c>
      <c r="AW106" s="21" t="e">
        <f>EXP(-LN(2)/2)*AW105+(1-EXP(-LN(2)/2))/(LN(2)/2)*AQ106*AT106*VLOOKUP('Données projet'!$B$10,Paramètres!$A$1:$I$89,3,0)*0.475*44/12</f>
        <v>#N/A</v>
      </c>
      <c r="AX106" s="21" t="e">
        <f t="shared" si="60"/>
        <v>#N/A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2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62.191999999999929</v>
      </c>
      <c r="D107" s="11">
        <f t="shared" si="86"/>
        <v>17.721312728263729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616.87469474449142</v>
      </c>
      <c r="H107" s="67">
        <f t="shared" si="56"/>
        <v>432.51568633505917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-5.6843418860808015E-14</v>
      </c>
      <c r="O107" s="13">
        <f>N107*VLOOKUP('Données projet'!$B$9,Paramètres!$A$1:$I$89,3,0)*VLOOKUP('Données projet'!$B$9,Paramètres!$A$1:$I$89,5,0)</f>
        <v>-3.3992364478763198E-14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232.5902129145469</v>
      </c>
      <c r="T107" s="59">
        <f t="shared" si="88"/>
        <v>340.94590122751879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60.288391166479911</v>
      </c>
      <c r="AA107" s="21">
        <f>EXP(-LN(2)/25)*AA106+(1-EXP(-LN(2)/25))/(LN(2)/25)*Calculateur!V107*Calculateur!X107*VLOOKUP('Données projet'!$B$9,Paramètres!$A$1:$I$89,3,0)*0.475*44/12</f>
        <v>4.1669676897418144</v>
      </c>
      <c r="AB107" s="21">
        <f>EXP(-LN(2)/2)*AB106+(1-EXP(-LN(2)/2))/(LN(2)/2)*V107*Y107*VLOOKUP('Données projet'!$B$9,Paramètres!$A$1:$I$89,3,0)*0.475*44/12</f>
        <v>1.8053353458292665E-8</v>
      </c>
      <c r="AC107" s="22">
        <f t="shared" si="57"/>
        <v>64.455358874275078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0</v>
      </c>
      <c r="AJ107" s="13" t="e">
        <f>AI107*VLOOKUP('Données projet'!$B$10,Paramètres!$A$1:$I$89,3,0)*VLOOKUP('Données projet'!$B$10,Paramètres!$A$1:$I$89,5,0)</f>
        <v>#N/A</v>
      </c>
      <c r="AK107" s="13" t="e">
        <f t="shared" si="89"/>
        <v>#N/A</v>
      </c>
      <c r="AL107" s="20" t="e">
        <f t="shared" si="58"/>
        <v>#N/A</v>
      </c>
      <c r="AM107" s="59" t="e">
        <f t="shared" si="59"/>
        <v>#N/A</v>
      </c>
      <c r="AN107" s="59" t="e">
        <f ca="1">AVERAGE(OFFSET($AM$3,0,0,'Données projet'!$E$10+1,1))-AVERAGE(OFFSET($H$3,0,0,'Données projet'!$E$10+1,1))</f>
        <v>#N/A</v>
      </c>
      <c r="AO107" s="59" t="e">
        <f t="shared" si="90"/>
        <v>#N/A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 t="e">
        <f>EXP(-LN(2)/35)*AU106+(1-EXP(-LN(2)/35))/(LN(2)/35)*AQ107*AR107*VLOOKUP('Données projet'!$B$10,Paramètres!$A$1:$I$89,3,0)*0.475*44/12</f>
        <v>#N/A</v>
      </c>
      <c r="AV107" s="21" t="e">
        <f>EXP(-LN(2)/25)*AV106+(1-EXP(-LN(2)/25))/(LN(2)/25)*Calculateur!AQ107*Calculateur!AS107*VLOOKUP('Données projet'!$B$10,Paramètres!$A$1:$I$89,3,0)*0.475*44/12</f>
        <v>#N/A</v>
      </c>
      <c r="AW107" s="21" t="e">
        <f>EXP(-LN(2)/2)*AW106+(1-EXP(-LN(2)/2))/(LN(2)/2)*AQ107*AT107*VLOOKUP('Données projet'!$B$10,Paramètres!$A$1:$I$89,3,0)*0.475*44/12</f>
        <v>#N/A</v>
      </c>
      <c r="AX107" s="21" t="e">
        <f t="shared" si="60"/>
        <v>#N/A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2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62.789999999999928</v>
      </c>
      <c r="D108" s="11">
        <f t="shared" si="86"/>
        <v>17.871791770153557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622.6524276994304</v>
      </c>
      <c r="H108" s="67">
        <f t="shared" si="56"/>
        <v>433.81928733301731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-5.6843418860808015E-14</v>
      </c>
      <c r="O108" s="13">
        <f>N108*VLOOKUP('Données projet'!$B$9,Paramètres!$A$1:$I$89,3,0)*VLOOKUP('Données projet'!$B$9,Paramètres!$A$1:$I$89,5,0)</f>
        <v>-3.3992364478763198E-14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232.5902129145469</v>
      </c>
      <c r="T108" s="59">
        <f t="shared" si="88"/>
        <v>340.94590122751879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59.106172587992887</v>
      </c>
      <c r="AA108" s="21">
        <f>EXP(-LN(2)/25)*AA107+(1-EXP(-LN(2)/25))/(LN(2)/25)*Calculateur!V108*Calculateur!X108*VLOOKUP('Données projet'!$B$9,Paramètres!$A$1:$I$89,3,0)*0.475*44/12</f>
        <v>4.0530217391345174</v>
      </c>
      <c r="AB108" s="21">
        <f>EXP(-LN(2)/2)*AB107+(1-EXP(-LN(2)/2))/(LN(2)/2)*V108*Y108*VLOOKUP('Données projet'!$B$9,Paramètres!$A$1:$I$89,3,0)*0.475*44/12</f>
        <v>1.2765648653516353E-8</v>
      </c>
      <c r="AC108" s="22">
        <f t="shared" si="57"/>
        <v>63.159194339893048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0</v>
      </c>
      <c r="AJ108" s="13" t="e">
        <f>AI108*VLOOKUP('Données projet'!$B$10,Paramètres!$A$1:$I$89,3,0)*VLOOKUP('Données projet'!$B$10,Paramètres!$A$1:$I$89,5,0)</f>
        <v>#N/A</v>
      </c>
      <c r="AK108" s="13" t="e">
        <f t="shared" si="89"/>
        <v>#N/A</v>
      </c>
      <c r="AL108" s="20" t="e">
        <f t="shared" si="58"/>
        <v>#N/A</v>
      </c>
      <c r="AM108" s="59" t="e">
        <f t="shared" si="59"/>
        <v>#N/A</v>
      </c>
      <c r="AN108" s="59" t="e">
        <f ca="1">AVERAGE(OFFSET($AM$3,0,0,'Données projet'!$E$10+1,1))-AVERAGE(OFFSET($H$3,0,0,'Données projet'!$E$10+1,1))</f>
        <v>#N/A</v>
      </c>
      <c r="AO108" s="59" t="e">
        <f t="shared" si="90"/>
        <v>#N/A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 t="e">
        <f>EXP(-LN(2)/35)*AU107+(1-EXP(-LN(2)/35))/(LN(2)/35)*AQ108*AR108*VLOOKUP('Données projet'!$B$10,Paramètres!$A$1:$I$89,3,0)*0.475*44/12</f>
        <v>#N/A</v>
      </c>
      <c r="AV108" s="21" t="e">
        <f>EXP(-LN(2)/25)*AV107+(1-EXP(-LN(2)/25))/(LN(2)/25)*Calculateur!AQ108*Calculateur!AS108*VLOOKUP('Données projet'!$B$10,Paramètres!$A$1:$I$89,3,0)*0.475*44/12</f>
        <v>#N/A</v>
      </c>
      <c r="AW108" s="21" t="e">
        <f>EXP(-LN(2)/2)*AW107+(1-EXP(-LN(2)/2))/(LN(2)/2)*AQ108*AT108*VLOOKUP('Données projet'!$B$10,Paramètres!$A$1:$I$89,3,0)*0.475*44/12</f>
        <v>#N/A</v>
      </c>
      <c r="AX108" s="21" t="e">
        <f t="shared" si="60"/>
        <v>#N/A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2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63.387999999999927</v>
      </c>
      <c r="D109" s="11">
        <f t="shared" si="86"/>
        <v>18.022104085041239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628.4288736389143</v>
      </c>
      <c r="H109" s="67">
        <f t="shared" si="56"/>
        <v>435.12259794811337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-5.6843418860808015E-14</v>
      </c>
      <c r="O109" s="13">
        <f>N109*VLOOKUP('Données projet'!$B$9,Paramètres!$A$1:$I$89,3,0)*VLOOKUP('Données projet'!$B$9,Paramètres!$A$1:$I$89,5,0)</f>
        <v>-3.3992364478763198E-14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232.5902129145469</v>
      </c>
      <c r="T109" s="59">
        <f t="shared" si="88"/>
        <v>340.94590122751879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57.947136594747867</v>
      </c>
      <c r="AA109" s="21">
        <f>EXP(-LN(2)/25)*AA108+(1-EXP(-LN(2)/25))/(LN(2)/25)*Calculateur!V109*Calculateur!X109*VLOOKUP('Données projet'!$B$9,Paramètres!$A$1:$I$89,3,0)*0.475*44/12</f>
        <v>3.9421916465387339</v>
      </c>
      <c r="AB109" s="21">
        <f>EXP(-LN(2)/2)*AB108+(1-EXP(-LN(2)/2))/(LN(2)/2)*V109*Y109*VLOOKUP('Données projet'!$B$9,Paramètres!$A$1:$I$89,3,0)*0.475*44/12</f>
        <v>9.0266767291463325E-9</v>
      </c>
      <c r="AC109" s="22">
        <f t="shared" si="57"/>
        <v>61.889328250313277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0</v>
      </c>
      <c r="AJ109" s="13" t="e">
        <f>AI109*VLOOKUP('Données projet'!$B$10,Paramètres!$A$1:$I$89,3,0)*VLOOKUP('Données projet'!$B$10,Paramètres!$A$1:$I$89,5,0)</f>
        <v>#N/A</v>
      </c>
      <c r="AK109" s="13" t="e">
        <f t="shared" si="89"/>
        <v>#N/A</v>
      </c>
      <c r="AL109" s="20" t="e">
        <f t="shared" si="58"/>
        <v>#N/A</v>
      </c>
      <c r="AM109" s="59" t="e">
        <f t="shared" si="59"/>
        <v>#N/A</v>
      </c>
      <c r="AN109" s="59" t="e">
        <f ca="1">AVERAGE(OFFSET($AM$3,0,0,'Données projet'!$E$10+1,1))-AVERAGE(OFFSET($H$3,0,0,'Données projet'!$E$10+1,1))</f>
        <v>#N/A</v>
      </c>
      <c r="AO109" s="59" t="e">
        <f t="shared" si="90"/>
        <v>#N/A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 t="e">
        <f>EXP(-LN(2)/35)*AU108+(1-EXP(-LN(2)/35))/(LN(2)/35)*AQ109*AR109*VLOOKUP('Données projet'!$B$10,Paramètres!$A$1:$I$89,3,0)*0.475*44/12</f>
        <v>#N/A</v>
      </c>
      <c r="AV109" s="21" t="e">
        <f>EXP(-LN(2)/25)*AV108+(1-EXP(-LN(2)/25))/(LN(2)/25)*Calculateur!AQ109*Calculateur!AS109*VLOOKUP('Données projet'!$B$10,Paramètres!$A$1:$I$89,3,0)*0.475*44/12</f>
        <v>#N/A</v>
      </c>
      <c r="AW109" s="21" t="e">
        <f>EXP(-LN(2)/2)*AW108+(1-EXP(-LN(2)/2))/(LN(2)/2)*AQ109*AT109*VLOOKUP('Données projet'!$B$10,Paramètres!$A$1:$I$89,3,0)*0.475*44/12</f>
        <v>#N/A</v>
      </c>
      <c r="AX109" s="21" t="e">
        <f t="shared" si="60"/>
        <v>#N/A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2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63.985999999999926</v>
      </c>
      <c r="D110" s="11">
        <f t="shared" si="86"/>
        <v>18.172251427996631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634.20404611085064</v>
      </c>
      <c r="H110" s="67">
        <f t="shared" si="56"/>
        <v>436.42562123709399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-5.6843418860808015E-14</v>
      </c>
      <c r="O110" s="13">
        <f>N110*VLOOKUP('Données projet'!$B$9,Paramètres!$A$1:$I$89,3,0)*VLOOKUP('Données projet'!$B$9,Paramètres!$A$1:$I$89,5,0)</f>
        <v>-3.3992364478763198E-14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232.5902129145469</v>
      </c>
      <c r="T110" s="59">
        <f t="shared" si="88"/>
        <v>340.94590122751879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56.810828590388226</v>
      </c>
      <c r="AA110" s="21">
        <f>EXP(-LN(2)/25)*AA109+(1-EXP(-LN(2)/25))/(LN(2)/25)*Calculateur!V110*Calculateur!X110*VLOOKUP('Données projet'!$B$9,Paramètres!$A$1:$I$89,3,0)*0.475*44/12</f>
        <v>3.8343922086532833</v>
      </c>
      <c r="AB110" s="21">
        <f>EXP(-LN(2)/2)*AB109+(1-EXP(-LN(2)/2))/(LN(2)/2)*V110*Y110*VLOOKUP('Données projet'!$B$9,Paramètres!$A$1:$I$89,3,0)*0.475*44/12</f>
        <v>6.3828243267581763E-9</v>
      </c>
      <c r="AC110" s="22">
        <f t="shared" si="57"/>
        <v>60.645220805424337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0</v>
      </c>
      <c r="AJ110" s="13" t="e">
        <f>AI110*VLOOKUP('Données projet'!$B$10,Paramètres!$A$1:$I$89,3,0)*VLOOKUP('Données projet'!$B$10,Paramètres!$A$1:$I$89,5,0)</f>
        <v>#N/A</v>
      </c>
      <c r="AK110" s="13" t="e">
        <f t="shared" si="89"/>
        <v>#N/A</v>
      </c>
      <c r="AL110" s="20" t="e">
        <f t="shared" si="58"/>
        <v>#N/A</v>
      </c>
      <c r="AM110" s="59" t="e">
        <f t="shared" si="59"/>
        <v>#N/A</v>
      </c>
      <c r="AN110" s="59" t="e">
        <f ca="1">AVERAGE(OFFSET($AM$3,0,0,'Données projet'!$E$10+1,1))-AVERAGE(OFFSET($H$3,0,0,'Données projet'!$E$10+1,1))</f>
        <v>#N/A</v>
      </c>
      <c r="AO110" s="59" t="e">
        <f t="shared" si="90"/>
        <v>#N/A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 t="e">
        <f>EXP(-LN(2)/35)*AU109+(1-EXP(-LN(2)/35))/(LN(2)/35)*AQ110*AR110*VLOOKUP('Données projet'!$B$10,Paramètres!$A$1:$I$89,3,0)*0.475*44/12</f>
        <v>#N/A</v>
      </c>
      <c r="AV110" s="21" t="e">
        <f>EXP(-LN(2)/25)*AV109+(1-EXP(-LN(2)/25))/(LN(2)/25)*Calculateur!AQ110*Calculateur!AS110*VLOOKUP('Données projet'!$B$10,Paramètres!$A$1:$I$89,3,0)*0.475*44/12</f>
        <v>#N/A</v>
      </c>
      <c r="AW110" s="21" t="e">
        <f>EXP(-LN(2)/2)*AW109+(1-EXP(-LN(2)/2))/(LN(2)/2)*AQ110*AT110*VLOOKUP('Données projet'!$B$10,Paramètres!$A$1:$I$89,3,0)*0.475*44/12</f>
        <v>#N/A</v>
      </c>
      <c r="AX110" s="21" t="e">
        <f t="shared" si="60"/>
        <v>#N/A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2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64.583999999999932</v>
      </c>
      <c r="D111" s="11">
        <f t="shared" si="86"/>
        <v>18.322235519392716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639.9779583953117</v>
      </c>
      <c r="H111" s="67">
        <f t="shared" si="56"/>
        <v>437.7283601962755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-5.6843418860808015E-14</v>
      </c>
      <c r="O111" s="13">
        <f>N111*VLOOKUP('Données projet'!$B$9,Paramètres!$A$1:$I$89,3,0)*VLOOKUP('Données projet'!$B$9,Paramètres!$A$1:$I$89,5,0)</f>
        <v>-3.3992364478763198E-14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232.5902129145469</v>
      </c>
      <c r="T111" s="59">
        <f t="shared" si="88"/>
        <v>340.94590122751879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55.696802892914633</v>
      </c>
      <c r="AA111" s="21">
        <f>EXP(-LN(2)/25)*AA110+(1-EXP(-LN(2)/25))/(LN(2)/25)*Calculateur!V111*Calculateur!X111*VLOOKUP('Données projet'!$B$9,Paramètres!$A$1:$I$89,3,0)*0.475*44/12</f>
        <v>3.7295405520657368</v>
      </c>
      <c r="AB111" s="21">
        <f>EXP(-LN(2)/2)*AB110+(1-EXP(-LN(2)/2))/(LN(2)/2)*V111*Y111*VLOOKUP('Données projet'!$B$9,Paramètres!$A$1:$I$89,3,0)*0.475*44/12</f>
        <v>4.5133383645731662E-9</v>
      </c>
      <c r="AC111" s="22">
        <f t="shared" si="57"/>
        <v>59.426343449493707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0</v>
      </c>
      <c r="AJ111" s="13" t="e">
        <f>AI111*VLOOKUP('Données projet'!$B$10,Paramètres!$A$1:$I$89,3,0)*VLOOKUP('Données projet'!$B$10,Paramètres!$A$1:$I$89,5,0)</f>
        <v>#N/A</v>
      </c>
      <c r="AK111" s="13" t="e">
        <f t="shared" si="89"/>
        <v>#N/A</v>
      </c>
      <c r="AL111" s="20" t="e">
        <f t="shared" si="58"/>
        <v>#N/A</v>
      </c>
      <c r="AM111" s="59" t="e">
        <f t="shared" si="59"/>
        <v>#N/A</v>
      </c>
      <c r="AN111" s="59" t="e">
        <f ca="1">AVERAGE(OFFSET($AM$3,0,0,'Données projet'!$E$10+1,1))-AVERAGE(OFFSET($H$3,0,0,'Données projet'!$E$10+1,1))</f>
        <v>#N/A</v>
      </c>
      <c r="AO111" s="59" t="e">
        <f t="shared" si="90"/>
        <v>#N/A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 t="e">
        <f>EXP(-LN(2)/35)*AU110+(1-EXP(-LN(2)/35))/(LN(2)/35)*AQ111*AR111*VLOOKUP('Données projet'!$B$10,Paramètres!$A$1:$I$89,3,0)*0.475*44/12</f>
        <v>#N/A</v>
      </c>
      <c r="AV111" s="21" t="e">
        <f>EXP(-LN(2)/25)*AV110+(1-EXP(-LN(2)/25))/(LN(2)/25)*Calculateur!AQ111*Calculateur!AS111*VLOOKUP('Données projet'!$B$10,Paramètres!$A$1:$I$89,3,0)*0.475*44/12</f>
        <v>#N/A</v>
      </c>
      <c r="AW111" s="21" t="e">
        <f>EXP(-LN(2)/2)*AW110+(1-EXP(-LN(2)/2))/(LN(2)/2)*AQ111*AT111*VLOOKUP('Données projet'!$B$10,Paramètres!$A$1:$I$89,3,0)*0.475*44/12</f>
        <v>#N/A</v>
      </c>
      <c r="AX111" s="21" t="e">
        <f t="shared" si="60"/>
        <v>#N/A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2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65.181999999999931</v>
      </c>
      <c r="D112" s="11">
        <f t="shared" si="86"/>
        <v>18.472058045906209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645.75062351225802</v>
      </c>
      <c r="H112" s="67">
        <f t="shared" si="56"/>
        <v>439.03081776328651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-5.6843418860808015E-14</v>
      </c>
      <c r="O112" s="13">
        <f>N112*VLOOKUP('Données projet'!$B$9,Paramètres!$A$1:$I$89,3,0)*VLOOKUP('Données projet'!$B$9,Paramètres!$A$1:$I$89,5,0)</f>
        <v>-3.3992364478763198E-14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232.5902129145469</v>
      </c>
      <c r="T112" s="59">
        <f t="shared" si="88"/>
        <v>340.94590122751879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54.604622559879914</v>
      </c>
      <c r="AA112" s="21">
        <f>EXP(-LN(2)/25)*AA111+(1-EXP(-LN(2)/25))/(LN(2)/25)*Calculateur!V112*Calculateur!X112*VLOOKUP('Données projet'!$B$9,Paramètres!$A$1:$I$89,3,0)*0.475*44/12</f>
        <v>3.6275560695414857</v>
      </c>
      <c r="AB112" s="21">
        <f>EXP(-LN(2)/2)*AB111+(1-EXP(-LN(2)/2))/(LN(2)/2)*V112*Y112*VLOOKUP('Données projet'!$B$9,Paramètres!$A$1:$I$89,3,0)*0.475*44/12</f>
        <v>3.1914121633790882E-9</v>
      </c>
      <c r="AC112" s="22">
        <f t="shared" si="57"/>
        <v>58.232178632612808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0</v>
      </c>
      <c r="AJ112" s="13" t="e">
        <f>AI112*VLOOKUP('Données projet'!$B$10,Paramètres!$A$1:$I$89,3,0)*VLOOKUP('Données projet'!$B$10,Paramètres!$A$1:$I$89,5,0)</f>
        <v>#N/A</v>
      </c>
      <c r="AK112" s="13" t="e">
        <f t="shared" si="89"/>
        <v>#N/A</v>
      </c>
      <c r="AL112" s="20" t="e">
        <f t="shared" si="58"/>
        <v>#N/A</v>
      </c>
      <c r="AM112" s="59" t="e">
        <f t="shared" si="59"/>
        <v>#N/A</v>
      </c>
      <c r="AN112" s="59" t="e">
        <f ca="1">AVERAGE(OFFSET($AM$3,0,0,'Données projet'!$E$10+1,1))-AVERAGE(OFFSET($H$3,0,0,'Données projet'!$E$10+1,1))</f>
        <v>#N/A</v>
      </c>
      <c r="AO112" s="59" t="e">
        <f t="shared" si="90"/>
        <v>#N/A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 t="e">
        <f>EXP(-LN(2)/35)*AU111+(1-EXP(-LN(2)/35))/(LN(2)/35)*AQ112*AR112*VLOOKUP('Données projet'!$B$10,Paramètres!$A$1:$I$89,3,0)*0.475*44/12</f>
        <v>#N/A</v>
      </c>
      <c r="AV112" s="21" t="e">
        <f>EXP(-LN(2)/25)*AV111+(1-EXP(-LN(2)/25))/(LN(2)/25)*Calculateur!AQ112*Calculateur!AS112*VLOOKUP('Données projet'!$B$10,Paramètres!$A$1:$I$89,3,0)*0.475*44/12</f>
        <v>#N/A</v>
      </c>
      <c r="AW112" s="21" t="e">
        <f>EXP(-LN(2)/2)*AW111+(1-EXP(-LN(2)/2))/(LN(2)/2)*AQ112*AT112*VLOOKUP('Données projet'!$B$10,Paramètres!$A$1:$I$89,3,0)*0.475*44/12</f>
        <v>#N/A</v>
      </c>
      <c r="AX112" s="21" t="e">
        <f t="shared" si="60"/>
        <v>#N/A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2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65.77999999999993</v>
      </c>
      <c r="D113" s="11">
        <f t="shared" si="86"/>
        <v>18.621720661480627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651.52205422897271</v>
      </c>
      <c r="H113" s="67">
        <f t="shared" si="56"/>
        <v>440.3329968187453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-5.6843418860808015E-14</v>
      </c>
      <c r="O113" s="13">
        <f>N113*VLOOKUP('Données projet'!$B$9,Paramètres!$A$1:$I$89,3,0)*VLOOKUP('Données projet'!$B$9,Paramètres!$A$1:$I$89,5,0)</f>
        <v>-3.3992364478763198E-14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232.5902129145469</v>
      </c>
      <c r="T113" s="59">
        <f t="shared" si="88"/>
        <v>340.94590122751879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53.533859217011781</v>
      </c>
      <c r="AA113" s="21">
        <f>EXP(-LN(2)/25)*AA112+(1-EXP(-LN(2)/25))/(LN(2)/25)*Calculateur!V113*Calculateur!X113*VLOOKUP('Données projet'!$B$9,Paramètres!$A$1:$I$89,3,0)*0.475*44/12</f>
        <v>3.5283603580549912</v>
      </c>
      <c r="AB113" s="21">
        <f>EXP(-LN(2)/2)*AB112+(1-EXP(-LN(2)/2))/(LN(2)/2)*V113*Y113*VLOOKUP('Données projet'!$B$9,Paramètres!$A$1:$I$89,3,0)*0.475*44/12</f>
        <v>2.2566691822865831E-9</v>
      </c>
      <c r="AC113" s="22">
        <f t="shared" si="57"/>
        <v>57.06221957732344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0</v>
      </c>
      <c r="AJ113" s="13" t="e">
        <f>AI113*VLOOKUP('Données projet'!$B$10,Paramètres!$A$1:$I$89,3,0)*VLOOKUP('Données projet'!$B$10,Paramètres!$A$1:$I$89,5,0)</f>
        <v>#N/A</v>
      </c>
      <c r="AK113" s="13" t="e">
        <f t="shared" si="89"/>
        <v>#N/A</v>
      </c>
      <c r="AL113" s="20" t="e">
        <f t="shared" si="58"/>
        <v>#N/A</v>
      </c>
      <c r="AM113" s="59" t="e">
        <f t="shared" si="59"/>
        <v>#N/A</v>
      </c>
      <c r="AN113" s="59" t="e">
        <f ca="1">AVERAGE(OFFSET($AM$3,0,0,'Données projet'!$E$10+1,1))-AVERAGE(OFFSET($H$3,0,0,'Données projet'!$E$10+1,1))</f>
        <v>#N/A</v>
      </c>
      <c r="AO113" s="59" t="e">
        <f t="shared" si="90"/>
        <v>#N/A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 t="e">
        <f>EXP(-LN(2)/35)*AU112+(1-EXP(-LN(2)/35))/(LN(2)/35)*AQ113*AR113*VLOOKUP('Données projet'!$B$10,Paramètres!$A$1:$I$89,3,0)*0.475*44/12</f>
        <v>#N/A</v>
      </c>
      <c r="AV113" s="21" t="e">
        <f>EXP(-LN(2)/25)*AV112+(1-EXP(-LN(2)/25))/(LN(2)/25)*Calculateur!AQ113*Calculateur!AS113*VLOOKUP('Données projet'!$B$10,Paramètres!$A$1:$I$89,3,0)*0.475*44/12</f>
        <v>#N/A</v>
      </c>
      <c r="AW113" s="21" t="e">
        <f>EXP(-LN(2)/2)*AW112+(1-EXP(-LN(2)/2))/(LN(2)/2)*AQ113*AT113*VLOOKUP('Données projet'!$B$10,Paramètres!$A$1:$I$89,3,0)*0.475*44/12</f>
        <v>#N/A</v>
      </c>
      <c r="AX113" s="21" t="e">
        <f t="shared" si="60"/>
        <v>#N/A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2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66.377999999999929</v>
      </c>
      <c r="D114" s="11">
        <f t="shared" si="86"/>
        <v>18.771224988253078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657.29226306721625</v>
      </c>
      <c r="H114" s="67">
        <f t="shared" si="56"/>
        <v>441.634900187874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-5.6843418860808015E-14</v>
      </c>
      <c r="O114" s="13">
        <f>N114*VLOOKUP('Données projet'!$B$9,Paramètres!$A$1:$I$89,3,0)*VLOOKUP('Données projet'!$B$9,Paramètres!$A$1:$I$89,5,0)</f>
        <v>-3.3992364478763198E-14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232.5902129145469</v>
      </c>
      <c r="T114" s="59">
        <f t="shared" si="88"/>
        <v>340.94590122751879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52.484092890196145</v>
      </c>
      <c r="AA114" s="21">
        <f>EXP(-LN(2)/25)*AA113+(1-EXP(-LN(2)/25))/(LN(2)/25)*Calculateur!V114*Calculateur!X114*VLOOKUP('Données projet'!$B$9,Paramètres!$A$1:$I$89,3,0)*0.475*44/12</f>
        <v>3.4318771585155705</v>
      </c>
      <c r="AB114" s="21">
        <f>EXP(-LN(2)/2)*AB113+(1-EXP(-LN(2)/2))/(LN(2)/2)*V114*Y114*VLOOKUP('Données projet'!$B$9,Paramètres!$A$1:$I$89,3,0)*0.475*44/12</f>
        <v>1.5957060816895441E-9</v>
      </c>
      <c r="AC114" s="22">
        <f t="shared" si="57"/>
        <v>55.915970050307422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0</v>
      </c>
      <c r="AJ114" s="13" t="e">
        <f>AI114*VLOOKUP('Données projet'!$B$10,Paramètres!$A$1:$I$89,3,0)*VLOOKUP('Données projet'!$B$10,Paramètres!$A$1:$I$89,5,0)</f>
        <v>#N/A</v>
      </c>
      <c r="AK114" s="13" t="e">
        <f t="shared" si="89"/>
        <v>#N/A</v>
      </c>
      <c r="AL114" s="20" t="e">
        <f t="shared" si="58"/>
        <v>#N/A</v>
      </c>
      <c r="AM114" s="59" t="e">
        <f t="shared" si="59"/>
        <v>#N/A</v>
      </c>
      <c r="AN114" s="59" t="e">
        <f ca="1">AVERAGE(OFFSET($AM$3,0,0,'Données projet'!$E$10+1,1))-AVERAGE(OFFSET($H$3,0,0,'Données projet'!$E$10+1,1))</f>
        <v>#N/A</v>
      </c>
      <c r="AO114" s="59" t="e">
        <f t="shared" si="90"/>
        <v>#N/A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 t="e">
        <f>EXP(-LN(2)/35)*AU113+(1-EXP(-LN(2)/35))/(LN(2)/35)*AQ114*AR114*VLOOKUP('Données projet'!$B$10,Paramètres!$A$1:$I$89,3,0)*0.475*44/12</f>
        <v>#N/A</v>
      </c>
      <c r="AV114" s="21" t="e">
        <f>EXP(-LN(2)/25)*AV113+(1-EXP(-LN(2)/25))/(LN(2)/25)*Calculateur!AQ114*Calculateur!AS114*VLOOKUP('Données projet'!$B$10,Paramètres!$A$1:$I$89,3,0)*0.475*44/12</f>
        <v>#N/A</v>
      </c>
      <c r="AW114" s="21" t="e">
        <f>EXP(-LN(2)/2)*AW113+(1-EXP(-LN(2)/2))/(LN(2)/2)*AQ114*AT114*VLOOKUP('Données projet'!$B$10,Paramètres!$A$1:$I$89,3,0)*0.475*44/12</f>
        <v>#N/A</v>
      </c>
      <c r="AX114" s="21" t="e">
        <f t="shared" si="60"/>
        <v>#N/A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2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66.975999999999928</v>
      </c>
      <c r="D115" s="11">
        <f t="shared" si="86"/>
        <v>18.92057261744694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663.06126231011615</v>
      </c>
      <c r="H115" s="67">
        <f t="shared" si="56"/>
        <v>442.9365306420533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-5.6843418860808015E-14</v>
      </c>
      <c r="O115" s="13">
        <f>N115*VLOOKUP('Données projet'!$B$9,Paramètres!$A$1:$I$89,3,0)*VLOOKUP('Données projet'!$B$9,Paramètres!$A$1:$I$89,5,0)</f>
        <v>-3.3992364478763198E-14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232.5902129145469</v>
      </c>
      <c r="T115" s="59">
        <f t="shared" si="88"/>
        <v>340.94590122751879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51.454911840755123</v>
      </c>
      <c r="AA115" s="21">
        <f>EXP(-LN(2)/25)*AA114+(1-EXP(-LN(2)/25))/(LN(2)/25)*Calculateur!V115*Calculateur!X115*VLOOKUP('Données projet'!$B$9,Paramètres!$A$1:$I$89,3,0)*0.475*44/12</f>
        <v>3.3380322971413863</v>
      </c>
      <c r="AB115" s="21">
        <f>EXP(-LN(2)/2)*AB114+(1-EXP(-LN(2)/2))/(LN(2)/2)*V115*Y115*VLOOKUP('Données projet'!$B$9,Paramètres!$A$1:$I$89,3,0)*0.475*44/12</f>
        <v>1.1283345911432916E-9</v>
      </c>
      <c r="AC115" s="22">
        <f t="shared" si="57"/>
        <v>54.792944139024847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0</v>
      </c>
      <c r="AJ115" s="13" t="e">
        <f>AI115*VLOOKUP('Données projet'!$B$10,Paramètres!$A$1:$I$89,3,0)*VLOOKUP('Données projet'!$B$10,Paramètres!$A$1:$I$89,5,0)</f>
        <v>#N/A</v>
      </c>
      <c r="AK115" s="13" t="e">
        <f t="shared" si="89"/>
        <v>#N/A</v>
      </c>
      <c r="AL115" s="20" t="e">
        <f t="shared" si="58"/>
        <v>#N/A</v>
      </c>
      <c r="AM115" s="59" t="e">
        <f t="shared" si="59"/>
        <v>#N/A</v>
      </c>
      <c r="AN115" s="59" t="e">
        <f ca="1">AVERAGE(OFFSET($AM$3,0,0,'Données projet'!$E$10+1,1))-AVERAGE(OFFSET($H$3,0,0,'Données projet'!$E$10+1,1))</f>
        <v>#N/A</v>
      </c>
      <c r="AO115" s="59" t="e">
        <f t="shared" si="90"/>
        <v>#N/A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 t="e">
        <f>EXP(-LN(2)/35)*AU114+(1-EXP(-LN(2)/35))/(LN(2)/35)*AQ115*AR115*VLOOKUP('Données projet'!$B$10,Paramètres!$A$1:$I$89,3,0)*0.475*44/12</f>
        <v>#N/A</v>
      </c>
      <c r="AV115" s="21" t="e">
        <f>EXP(-LN(2)/25)*AV114+(1-EXP(-LN(2)/25))/(LN(2)/25)*Calculateur!AQ115*Calculateur!AS115*VLOOKUP('Données projet'!$B$10,Paramètres!$A$1:$I$89,3,0)*0.475*44/12</f>
        <v>#N/A</v>
      </c>
      <c r="AW115" s="21" t="e">
        <f>EXP(-LN(2)/2)*AW114+(1-EXP(-LN(2)/2))/(LN(2)/2)*AQ115*AT115*VLOOKUP('Données projet'!$B$10,Paramètres!$A$1:$I$89,3,0)*0.475*44/12</f>
        <v>#N/A</v>
      </c>
      <c r="AX115" s="21" t="e">
        <f t="shared" si="60"/>
        <v>#N/A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2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67.573999999999927</v>
      </c>
      <c r="D116" s="11">
        <f t="shared" si="86"/>
        <v>19.069765110231589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668.82906400880472</v>
      </c>
      <c r="H116" s="67">
        <f t="shared" si="56"/>
        <v>444.23789090031983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-5.6843418860808015E-14</v>
      </c>
      <c r="O116" s="13">
        <f>N116*VLOOKUP('Données projet'!$B$9,Paramètres!$A$1:$I$89,3,0)*VLOOKUP('Données projet'!$B$9,Paramètres!$A$1:$I$89,5,0)</f>
        <v>-3.3992364478763198E-14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232.5902129145469</v>
      </c>
      <c r="T116" s="59">
        <f t="shared" si="88"/>
        <v>340.94590122751879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50.445912403955184</v>
      </c>
      <c r="AA116" s="21">
        <f>EXP(-LN(2)/25)*AA115+(1-EXP(-LN(2)/25))/(LN(2)/25)*Calculateur!V116*Calculateur!X116*VLOOKUP('Données projet'!$B$9,Paramètres!$A$1:$I$89,3,0)*0.475*44/12</f>
        <v>3.2467536284365659</v>
      </c>
      <c r="AB116" s="21">
        <f>EXP(-LN(2)/2)*AB115+(1-EXP(-LN(2)/2))/(LN(2)/2)*V116*Y116*VLOOKUP('Données projet'!$B$9,Paramètres!$A$1:$I$89,3,0)*0.475*44/12</f>
        <v>7.9785304084477204E-10</v>
      </c>
      <c r="AC116" s="22">
        <f t="shared" si="57"/>
        <v>53.692666033189603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0</v>
      </c>
      <c r="AJ116" s="13" t="e">
        <f>AI116*VLOOKUP('Données projet'!$B$10,Paramètres!$A$1:$I$89,3,0)*VLOOKUP('Données projet'!$B$10,Paramètres!$A$1:$I$89,5,0)</f>
        <v>#N/A</v>
      </c>
      <c r="AK116" s="13" t="e">
        <f t="shared" si="89"/>
        <v>#N/A</v>
      </c>
      <c r="AL116" s="20" t="e">
        <f t="shared" si="58"/>
        <v>#N/A</v>
      </c>
      <c r="AM116" s="59" t="e">
        <f t="shared" si="59"/>
        <v>#N/A</v>
      </c>
      <c r="AN116" s="59" t="e">
        <f ca="1">AVERAGE(OFFSET($AM$3,0,0,'Données projet'!$E$10+1,1))-AVERAGE(OFFSET($H$3,0,0,'Données projet'!$E$10+1,1))</f>
        <v>#N/A</v>
      </c>
      <c r="AO116" s="59" t="e">
        <f t="shared" si="90"/>
        <v>#N/A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 t="e">
        <f>EXP(-LN(2)/35)*AU115+(1-EXP(-LN(2)/35))/(LN(2)/35)*AQ116*AR116*VLOOKUP('Données projet'!$B$10,Paramètres!$A$1:$I$89,3,0)*0.475*44/12</f>
        <v>#N/A</v>
      </c>
      <c r="AV116" s="21" t="e">
        <f>EXP(-LN(2)/25)*AV115+(1-EXP(-LN(2)/25))/(LN(2)/25)*Calculateur!AQ116*Calculateur!AS116*VLOOKUP('Données projet'!$B$10,Paramètres!$A$1:$I$89,3,0)*0.475*44/12</f>
        <v>#N/A</v>
      </c>
      <c r="AW116" s="21" t="e">
        <f>EXP(-LN(2)/2)*AW115+(1-EXP(-LN(2)/2))/(LN(2)/2)*AQ116*AT116*VLOOKUP('Données projet'!$B$10,Paramètres!$A$1:$I$89,3,0)*0.475*44/12</f>
        <v>#N/A</v>
      </c>
      <c r="AX116" s="21" t="e">
        <f t="shared" si="60"/>
        <v>#N/A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2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68.171999999999926</v>
      </c>
      <c r="D117" s="11">
        <f t="shared" si="86"/>
        <v>19.218803998550822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674.59567998881278</v>
      </c>
      <c r="H117" s="67">
        <f t="shared" si="56"/>
        <v>445.53898363080918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-5.6843418860808015E-14</v>
      </c>
      <c r="O117" s="13">
        <f>N117*VLOOKUP('Données projet'!$B$9,Paramètres!$A$1:$I$89,3,0)*VLOOKUP('Données projet'!$B$9,Paramètres!$A$1:$I$89,5,0)</f>
        <v>-3.3992364478763198E-14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232.5902129145469</v>
      </c>
      <c r="T117" s="59">
        <f t="shared" si="88"/>
        <v>340.94590122751879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49.456698830682008</v>
      </c>
      <c r="AA117" s="21">
        <f>EXP(-LN(2)/25)*AA116+(1-EXP(-LN(2)/25))/(LN(2)/25)*Calculateur!V117*Calculateur!X117*VLOOKUP('Données projet'!$B$9,Paramètres!$A$1:$I$89,3,0)*0.475*44/12</f>
        <v>3.1579709797276152</v>
      </c>
      <c r="AB117" s="21">
        <f>EXP(-LN(2)/2)*AB116+(1-EXP(-LN(2)/2))/(LN(2)/2)*V117*Y117*VLOOKUP('Données projet'!$B$9,Paramètres!$A$1:$I$89,3,0)*0.475*44/12</f>
        <v>5.6416729557164578E-10</v>
      </c>
      <c r="AC117" s="22">
        <f t="shared" si="57"/>
        <v>52.614669810973787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0</v>
      </c>
      <c r="AJ117" s="13" t="e">
        <f>AI117*VLOOKUP('Données projet'!$B$10,Paramètres!$A$1:$I$89,3,0)*VLOOKUP('Données projet'!$B$10,Paramètres!$A$1:$I$89,5,0)</f>
        <v>#N/A</v>
      </c>
      <c r="AK117" s="13" t="e">
        <f t="shared" si="89"/>
        <v>#N/A</v>
      </c>
      <c r="AL117" s="20" t="e">
        <f t="shared" si="58"/>
        <v>#N/A</v>
      </c>
      <c r="AM117" s="59" t="e">
        <f t="shared" si="59"/>
        <v>#N/A</v>
      </c>
      <c r="AN117" s="59" t="e">
        <f ca="1">AVERAGE(OFFSET($AM$3,0,0,'Données projet'!$E$10+1,1))-AVERAGE(OFFSET($H$3,0,0,'Données projet'!$E$10+1,1))</f>
        <v>#N/A</v>
      </c>
      <c r="AO117" s="59" t="e">
        <f t="shared" si="90"/>
        <v>#N/A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 t="e">
        <f>EXP(-LN(2)/35)*AU116+(1-EXP(-LN(2)/35))/(LN(2)/35)*AQ117*AR117*VLOOKUP('Données projet'!$B$10,Paramètres!$A$1:$I$89,3,0)*0.475*44/12</f>
        <v>#N/A</v>
      </c>
      <c r="AV117" s="21" t="e">
        <f>EXP(-LN(2)/25)*AV116+(1-EXP(-LN(2)/25))/(LN(2)/25)*Calculateur!AQ117*Calculateur!AS117*VLOOKUP('Données projet'!$B$10,Paramètres!$A$1:$I$89,3,0)*0.475*44/12</f>
        <v>#N/A</v>
      </c>
      <c r="AW117" s="21" t="e">
        <f>EXP(-LN(2)/2)*AW116+(1-EXP(-LN(2)/2))/(LN(2)/2)*AQ117*AT117*VLOOKUP('Données projet'!$B$10,Paramètres!$A$1:$I$89,3,0)*0.475*44/12</f>
        <v>#N/A</v>
      </c>
      <c r="AX117" s="21" t="e">
        <f t="shared" si="60"/>
        <v>#N/A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2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68.769999999999925</v>
      </c>
      <c r="D118" s="11">
        <f t="shared" si="86"/>
        <v>19.367690785921507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680.36112185623563</v>
      </c>
      <c r="H118" s="67">
        <f t="shared" si="56"/>
        <v>446.83981145214648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-5.6843418860808015E-14</v>
      </c>
      <c r="O118" s="13">
        <f>N118*VLOOKUP('Données projet'!$B$9,Paramètres!$A$1:$I$89,3,0)*VLOOKUP('Données projet'!$B$9,Paramètres!$A$1:$I$89,5,0)</f>
        <v>-3.3992364478763198E-14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232.5902129145469</v>
      </c>
      <c r="T118" s="59">
        <f t="shared" si="88"/>
        <v>340.94590122751879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48.486883132220015</v>
      </c>
      <c r="AA118" s="21">
        <f>EXP(-LN(2)/25)*AA117+(1-EXP(-LN(2)/25))/(LN(2)/25)*Calculateur!V118*Calculateur!X118*VLOOKUP('Données projet'!$B$9,Paramètres!$A$1:$I$89,3,0)*0.475*44/12</f>
        <v>3.0716160972164874</v>
      </c>
      <c r="AB118" s="21">
        <f>EXP(-LN(2)/2)*AB117+(1-EXP(-LN(2)/2))/(LN(2)/2)*V118*Y118*VLOOKUP('Données projet'!$B$9,Paramètres!$A$1:$I$89,3,0)*0.475*44/12</f>
        <v>3.9892652042238602E-10</v>
      </c>
      <c r="AC118" s="22">
        <f t="shared" si="57"/>
        <v>51.558499229835427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0</v>
      </c>
      <c r="AJ118" s="13" t="e">
        <f>AI118*VLOOKUP('Données projet'!$B$10,Paramètres!$A$1:$I$89,3,0)*VLOOKUP('Données projet'!$B$10,Paramètres!$A$1:$I$89,5,0)</f>
        <v>#N/A</v>
      </c>
      <c r="AK118" s="13" t="e">
        <f t="shared" si="89"/>
        <v>#N/A</v>
      </c>
      <c r="AL118" s="20" t="e">
        <f t="shared" si="58"/>
        <v>#N/A</v>
      </c>
      <c r="AM118" s="59" t="e">
        <f t="shared" si="59"/>
        <v>#N/A</v>
      </c>
      <c r="AN118" s="59" t="e">
        <f ca="1">AVERAGE(OFFSET($AM$3,0,0,'Données projet'!$E$10+1,1))-AVERAGE(OFFSET($H$3,0,0,'Données projet'!$E$10+1,1))</f>
        <v>#N/A</v>
      </c>
      <c r="AO118" s="59" t="e">
        <f t="shared" si="90"/>
        <v>#N/A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 t="e">
        <f>EXP(-LN(2)/35)*AU117+(1-EXP(-LN(2)/35))/(LN(2)/35)*AQ118*AR118*VLOOKUP('Données projet'!$B$10,Paramètres!$A$1:$I$89,3,0)*0.475*44/12</f>
        <v>#N/A</v>
      </c>
      <c r="AV118" s="21" t="e">
        <f>EXP(-LN(2)/25)*AV117+(1-EXP(-LN(2)/25))/(LN(2)/25)*Calculateur!AQ118*Calculateur!AS118*VLOOKUP('Données projet'!$B$10,Paramètres!$A$1:$I$89,3,0)*0.475*44/12</f>
        <v>#N/A</v>
      </c>
      <c r="AW118" s="21" t="e">
        <f>EXP(-LN(2)/2)*AW117+(1-EXP(-LN(2)/2))/(LN(2)/2)*AQ118*AT118*VLOOKUP('Données projet'!$B$10,Paramètres!$A$1:$I$89,3,0)*0.475*44/12</f>
        <v>#N/A</v>
      </c>
      <c r="AX118" s="21" t="e">
        <f t="shared" si="60"/>
        <v>#N/A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2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69.367999999999924</v>
      </c>
      <c r="D119" s="11">
        <f t="shared" si="86"/>
        <v>19.516426948203513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686.12540100367562</v>
      </c>
      <c r="H119" s="67">
        <f t="shared" si="56"/>
        <v>448.14037693478764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-5.6843418860808015E-14</v>
      </c>
      <c r="O119" s="13">
        <f>N119*VLOOKUP('Données projet'!$B$9,Paramètres!$A$1:$I$89,3,0)*VLOOKUP('Données projet'!$B$9,Paramètres!$A$1:$I$89,5,0)</f>
        <v>-3.3992364478763198E-14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232.5902129145469</v>
      </c>
      <c r="T119" s="59">
        <f t="shared" si="88"/>
        <v>340.94590122751879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47.536084928075695</v>
      </c>
      <c r="AA119" s="21">
        <f>EXP(-LN(2)/25)*AA118+(1-EXP(-LN(2)/25))/(LN(2)/25)*Calculateur!V119*Calculateur!X119*VLOOKUP('Données projet'!$B$9,Paramètres!$A$1:$I$89,3,0)*0.475*44/12</f>
        <v>2.9876225935088323</v>
      </c>
      <c r="AB119" s="21">
        <f>EXP(-LN(2)/2)*AB118+(1-EXP(-LN(2)/2))/(LN(2)/2)*V119*Y119*VLOOKUP('Données projet'!$B$9,Paramètres!$A$1:$I$89,3,0)*0.475*44/12</f>
        <v>2.8208364778582289E-10</v>
      </c>
      <c r="AC119" s="22">
        <f t="shared" si="57"/>
        <v>50.523707521866612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0</v>
      </c>
      <c r="AJ119" s="13" t="e">
        <f>AI119*VLOOKUP('Données projet'!$B$10,Paramètres!$A$1:$I$89,3,0)*VLOOKUP('Données projet'!$B$10,Paramètres!$A$1:$I$89,5,0)</f>
        <v>#N/A</v>
      </c>
      <c r="AK119" s="13" t="e">
        <f t="shared" si="89"/>
        <v>#N/A</v>
      </c>
      <c r="AL119" s="20" t="e">
        <f t="shared" si="58"/>
        <v>#N/A</v>
      </c>
      <c r="AM119" s="59" t="e">
        <f t="shared" si="59"/>
        <v>#N/A</v>
      </c>
      <c r="AN119" s="59" t="e">
        <f ca="1">AVERAGE(OFFSET($AM$3,0,0,'Données projet'!$E$10+1,1))-AVERAGE(OFFSET($H$3,0,0,'Données projet'!$E$10+1,1))</f>
        <v>#N/A</v>
      </c>
      <c r="AO119" s="59" t="e">
        <f t="shared" si="90"/>
        <v>#N/A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 t="e">
        <f>EXP(-LN(2)/35)*AU118+(1-EXP(-LN(2)/35))/(LN(2)/35)*AQ119*AR119*VLOOKUP('Données projet'!$B$10,Paramètres!$A$1:$I$89,3,0)*0.475*44/12</f>
        <v>#N/A</v>
      </c>
      <c r="AV119" s="21" t="e">
        <f>EXP(-LN(2)/25)*AV118+(1-EXP(-LN(2)/25))/(LN(2)/25)*Calculateur!AQ119*Calculateur!AS119*VLOOKUP('Données projet'!$B$10,Paramètres!$A$1:$I$89,3,0)*0.475*44/12</f>
        <v>#N/A</v>
      </c>
      <c r="AW119" s="21" t="e">
        <f>EXP(-LN(2)/2)*AW118+(1-EXP(-LN(2)/2))/(LN(2)/2)*AQ119*AT119*VLOOKUP('Données projet'!$B$10,Paramètres!$A$1:$I$89,3,0)*0.475*44/12</f>
        <v>#N/A</v>
      </c>
      <c r="AX119" s="21" t="e">
        <f t="shared" si="60"/>
        <v>#N/A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2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69.965999999999923</v>
      </c>
      <c r="D120" s="11">
        <f t="shared" si="86"/>
        <v>19.665013934342443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691.88852861597616</v>
      </c>
      <c r="H120" s="67">
        <f t="shared" si="56"/>
        <v>449.4406826023129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-5.6843418860808015E-14</v>
      </c>
      <c r="O120" s="13">
        <f>N120*VLOOKUP('Données projet'!$B$9,Paramètres!$A$1:$I$89,3,0)*VLOOKUP('Données projet'!$B$9,Paramètres!$A$1:$I$89,5,0)</f>
        <v>-3.3992364478763198E-14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232.5902129145469</v>
      </c>
      <c r="T120" s="59">
        <f t="shared" si="88"/>
        <v>340.94590122751879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46.603931296784999</v>
      </c>
      <c r="AA120" s="21">
        <f>EXP(-LN(2)/25)*AA119+(1-EXP(-LN(2)/25))/(LN(2)/25)*Calculateur!V120*Calculateur!X120*VLOOKUP('Données projet'!$B$9,Paramètres!$A$1:$I$89,3,0)*0.475*44/12</f>
        <v>2.9059258965770893</v>
      </c>
      <c r="AB120" s="21">
        <f>EXP(-LN(2)/2)*AB119+(1-EXP(-LN(2)/2))/(LN(2)/2)*V120*Y120*VLOOKUP('Données projet'!$B$9,Paramètres!$A$1:$I$89,3,0)*0.475*44/12</f>
        <v>1.9946326021119301E-10</v>
      </c>
      <c r="AC120" s="22">
        <f t="shared" si="57"/>
        <v>49.509857193561551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0</v>
      </c>
      <c r="AJ120" s="13" t="e">
        <f>AI120*VLOOKUP('Données projet'!$B$10,Paramètres!$A$1:$I$89,3,0)*VLOOKUP('Données projet'!$B$10,Paramètres!$A$1:$I$89,5,0)</f>
        <v>#N/A</v>
      </c>
      <c r="AK120" s="13" t="e">
        <f t="shared" si="89"/>
        <v>#N/A</v>
      </c>
      <c r="AL120" s="20" t="e">
        <f t="shared" si="58"/>
        <v>#N/A</v>
      </c>
      <c r="AM120" s="59" t="e">
        <f t="shared" si="59"/>
        <v>#N/A</v>
      </c>
      <c r="AN120" s="59" t="e">
        <f ca="1">AVERAGE(OFFSET($AM$3,0,0,'Données projet'!$E$10+1,1))-AVERAGE(OFFSET($H$3,0,0,'Données projet'!$E$10+1,1))</f>
        <v>#N/A</v>
      </c>
      <c r="AO120" s="59" t="e">
        <f t="shared" si="90"/>
        <v>#N/A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 t="e">
        <f>EXP(-LN(2)/35)*AU119+(1-EXP(-LN(2)/35))/(LN(2)/35)*AQ120*AR120*VLOOKUP('Données projet'!$B$10,Paramètres!$A$1:$I$89,3,0)*0.475*44/12</f>
        <v>#N/A</v>
      </c>
      <c r="AV120" s="21" t="e">
        <f>EXP(-LN(2)/25)*AV119+(1-EXP(-LN(2)/25))/(LN(2)/25)*Calculateur!AQ120*Calculateur!AS120*VLOOKUP('Données projet'!$B$10,Paramètres!$A$1:$I$89,3,0)*0.475*44/12</f>
        <v>#N/A</v>
      </c>
      <c r="AW120" s="21" t="e">
        <f>EXP(-LN(2)/2)*AW119+(1-EXP(-LN(2)/2))/(LN(2)/2)*AQ120*AT120*VLOOKUP('Données projet'!$B$10,Paramètres!$A$1:$I$89,3,0)*0.475*44/12</f>
        <v>#N/A</v>
      </c>
      <c r="AX120" s="21" t="e">
        <f t="shared" si="60"/>
        <v>#N/A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2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70.563999999999922</v>
      </c>
      <c r="D121" s="11">
        <f t="shared" si="86"/>
        <v>19.813453167086145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697.6505156757521</v>
      </c>
      <c r="H121" s="67">
        <f t="shared" si="56"/>
        <v>450.74073093267486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-5.6843418860808015E-14</v>
      </c>
      <c r="O121" s="13">
        <f>N121*VLOOKUP('Données projet'!$B$9,Paramètres!$A$1:$I$89,3,0)*VLOOKUP('Données projet'!$B$9,Paramètres!$A$1:$I$89,5,0)</f>
        <v>-3.3992364478763198E-14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232.5902129145469</v>
      </c>
      <c r="T121" s="59">
        <f t="shared" si="88"/>
        <v>340.94590122751879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45.690056629646342</v>
      </c>
      <c r="AA121" s="21">
        <f>EXP(-LN(2)/25)*AA120+(1-EXP(-LN(2)/25))/(LN(2)/25)*Calculateur!V121*Calculateur!X121*VLOOKUP('Données projet'!$B$9,Paramètres!$A$1:$I$89,3,0)*0.475*44/12</f>
        <v>2.8264632001191874</v>
      </c>
      <c r="AB121" s="21">
        <f>EXP(-LN(2)/2)*AB120+(1-EXP(-LN(2)/2))/(LN(2)/2)*V121*Y121*VLOOKUP('Données projet'!$B$9,Paramètres!$A$1:$I$89,3,0)*0.475*44/12</f>
        <v>1.4104182389291144E-10</v>
      </c>
      <c r="AC121" s="22">
        <f t="shared" si="57"/>
        <v>48.516519829906571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0</v>
      </c>
      <c r="AJ121" s="13" t="e">
        <f>AI121*VLOOKUP('Données projet'!$B$10,Paramètres!$A$1:$I$89,3,0)*VLOOKUP('Données projet'!$B$10,Paramètres!$A$1:$I$89,5,0)</f>
        <v>#N/A</v>
      </c>
      <c r="AK121" s="13" t="e">
        <f t="shared" si="89"/>
        <v>#N/A</v>
      </c>
      <c r="AL121" s="20" t="e">
        <f t="shared" si="58"/>
        <v>#N/A</v>
      </c>
      <c r="AM121" s="59" t="e">
        <f t="shared" si="59"/>
        <v>#N/A</v>
      </c>
      <c r="AN121" s="59" t="e">
        <f ca="1">AVERAGE(OFFSET($AM$3,0,0,'Données projet'!$E$10+1,1))-AVERAGE(OFFSET($H$3,0,0,'Données projet'!$E$10+1,1))</f>
        <v>#N/A</v>
      </c>
      <c r="AO121" s="59" t="e">
        <f t="shared" si="90"/>
        <v>#N/A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 t="e">
        <f>EXP(-LN(2)/35)*AU120+(1-EXP(-LN(2)/35))/(LN(2)/35)*AQ121*AR121*VLOOKUP('Données projet'!$B$10,Paramètres!$A$1:$I$89,3,0)*0.475*44/12</f>
        <v>#N/A</v>
      </c>
      <c r="AV121" s="21" t="e">
        <f>EXP(-LN(2)/25)*AV120+(1-EXP(-LN(2)/25))/(LN(2)/25)*Calculateur!AQ121*Calculateur!AS121*VLOOKUP('Données projet'!$B$10,Paramètres!$A$1:$I$89,3,0)*0.475*44/12</f>
        <v>#N/A</v>
      </c>
      <c r="AW121" s="21" t="e">
        <f>EXP(-LN(2)/2)*AW120+(1-EXP(-LN(2)/2))/(LN(2)/2)*AQ121*AT121*VLOOKUP('Données projet'!$B$10,Paramètres!$A$1:$I$89,3,0)*0.475*44/12</f>
        <v>#N/A</v>
      </c>
      <c r="AX121" s="21" t="e">
        <f t="shared" si="60"/>
        <v>#N/A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2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71.161999999999921</v>
      </c>
      <c r="D122" s="11">
        <f t="shared" si="86"/>
        <v>19.961746043676328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703.4113729687291</v>
      </c>
      <c r="H122" s="67">
        <f t="shared" si="56"/>
        <v>452.04052435940275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-5.6843418860808015E-14</v>
      </c>
      <c r="O122" s="13">
        <f>N122*VLOOKUP('Données projet'!$B$9,Paramètres!$A$1:$I$89,3,0)*VLOOKUP('Données projet'!$B$9,Paramètres!$A$1:$I$89,5,0)</f>
        <v>-3.3992364478763198E-14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232.5902129145469</v>
      </c>
      <c r="T122" s="59">
        <f t="shared" si="88"/>
        <v>340.94590122751879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44.794102487321766</v>
      </c>
      <c r="AA122" s="21">
        <f>EXP(-LN(2)/25)*AA121+(1-EXP(-LN(2)/25))/(LN(2)/25)*Calculateur!V122*Calculateur!X122*VLOOKUP('Données projet'!$B$9,Paramètres!$A$1:$I$89,3,0)*0.475*44/12</f>
        <v>2.7491734152746883</v>
      </c>
      <c r="AB122" s="21">
        <f>EXP(-LN(2)/2)*AB121+(1-EXP(-LN(2)/2))/(LN(2)/2)*V122*Y122*VLOOKUP('Données projet'!$B$9,Paramètres!$A$1:$I$89,3,0)*0.475*44/12</f>
        <v>9.9731630105596505E-11</v>
      </c>
      <c r="AC122" s="22">
        <f t="shared" si="57"/>
        <v>47.543275902696188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0</v>
      </c>
      <c r="AJ122" s="13" t="e">
        <f>AI122*VLOOKUP('Données projet'!$B$10,Paramètres!$A$1:$I$89,3,0)*VLOOKUP('Données projet'!$B$10,Paramètres!$A$1:$I$89,5,0)</f>
        <v>#N/A</v>
      </c>
      <c r="AK122" s="13" t="e">
        <f t="shared" si="89"/>
        <v>#N/A</v>
      </c>
      <c r="AL122" s="20" t="e">
        <f t="shared" si="58"/>
        <v>#N/A</v>
      </c>
      <c r="AM122" s="59" t="e">
        <f t="shared" si="59"/>
        <v>#N/A</v>
      </c>
      <c r="AN122" s="59" t="e">
        <f ca="1">AVERAGE(OFFSET($AM$3,0,0,'Données projet'!$E$10+1,1))-AVERAGE(OFFSET($H$3,0,0,'Données projet'!$E$10+1,1))</f>
        <v>#N/A</v>
      </c>
      <c r="AO122" s="59" t="e">
        <f t="shared" si="90"/>
        <v>#N/A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 t="e">
        <f>EXP(-LN(2)/35)*AU121+(1-EXP(-LN(2)/35))/(LN(2)/35)*AQ122*AR122*VLOOKUP('Données projet'!$B$10,Paramètres!$A$1:$I$89,3,0)*0.475*44/12</f>
        <v>#N/A</v>
      </c>
      <c r="AV122" s="21" t="e">
        <f>EXP(-LN(2)/25)*AV121+(1-EXP(-LN(2)/25))/(LN(2)/25)*Calculateur!AQ122*Calculateur!AS122*VLOOKUP('Données projet'!$B$10,Paramètres!$A$1:$I$89,3,0)*0.475*44/12</f>
        <v>#N/A</v>
      </c>
      <c r="AW122" s="21" t="e">
        <f>EXP(-LN(2)/2)*AW121+(1-EXP(-LN(2)/2))/(LN(2)/2)*AQ122*AT122*VLOOKUP('Données projet'!$B$10,Paramètres!$A$1:$I$89,3,0)*0.475*44/12</f>
        <v>#N/A</v>
      </c>
      <c r="AX122" s="21" t="e">
        <f t="shared" si="60"/>
        <v>#N/A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2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71.75999999999992</v>
      </c>
      <c r="D123" s="11">
        <f t="shared" si="86"/>
        <v>20.109893936516197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709.1711110888964</v>
      </c>
      <c r="H123" s="67">
        <f t="shared" si="56"/>
        <v>453.34006527276551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-5.6843418860808015E-14</v>
      </c>
      <c r="O123" s="13">
        <f>N123*VLOOKUP('Données projet'!$B$9,Paramètres!$A$1:$I$89,3,0)*VLOOKUP('Données projet'!$B$9,Paramètres!$A$1:$I$89,5,0)</f>
        <v>-3.3992364478763198E-14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232.5902129145469</v>
      </c>
      <c r="T123" s="59">
        <f t="shared" si="88"/>
        <v>340.94590122751879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43.915717459250111</v>
      </c>
      <c r="AA123" s="21">
        <f>EXP(-LN(2)/25)*AA122+(1-EXP(-LN(2)/25))/(LN(2)/25)*Calculateur!V123*Calculateur!X123*VLOOKUP('Données projet'!$B$9,Paramètres!$A$1:$I$89,3,0)*0.475*44/12</f>
        <v>2.6739971236612554</v>
      </c>
      <c r="AB123" s="21">
        <f>EXP(-LN(2)/2)*AB122+(1-EXP(-LN(2)/2))/(LN(2)/2)*V123*Y123*VLOOKUP('Données projet'!$B$9,Paramètres!$A$1:$I$89,3,0)*0.475*44/12</f>
        <v>7.0520911946455722E-11</v>
      </c>
      <c r="AC123" s="22">
        <f t="shared" si="57"/>
        <v>46.589714582981891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0</v>
      </c>
      <c r="AJ123" s="13" t="e">
        <f>AI123*VLOOKUP('Données projet'!$B$10,Paramètres!$A$1:$I$89,3,0)*VLOOKUP('Données projet'!$B$10,Paramètres!$A$1:$I$89,5,0)</f>
        <v>#N/A</v>
      </c>
      <c r="AK123" s="13" t="e">
        <f t="shared" si="89"/>
        <v>#N/A</v>
      </c>
      <c r="AL123" s="20" t="e">
        <f t="shared" si="58"/>
        <v>#N/A</v>
      </c>
      <c r="AM123" s="59" t="e">
        <f t="shared" si="59"/>
        <v>#N/A</v>
      </c>
      <c r="AN123" s="59" t="e">
        <f ca="1">AVERAGE(OFFSET($AM$3,0,0,'Données projet'!$E$10+1,1))-AVERAGE(OFFSET($H$3,0,0,'Données projet'!$E$10+1,1))</f>
        <v>#N/A</v>
      </c>
      <c r="AO123" s="59" t="e">
        <f t="shared" si="90"/>
        <v>#N/A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 t="e">
        <f>EXP(-LN(2)/35)*AU122+(1-EXP(-LN(2)/35))/(LN(2)/35)*AQ123*AR123*VLOOKUP('Données projet'!$B$10,Paramètres!$A$1:$I$89,3,0)*0.475*44/12</f>
        <v>#N/A</v>
      </c>
      <c r="AV123" s="21" t="e">
        <f>EXP(-LN(2)/25)*AV122+(1-EXP(-LN(2)/25))/(LN(2)/25)*Calculateur!AQ123*Calculateur!AS123*VLOOKUP('Données projet'!$B$10,Paramètres!$A$1:$I$89,3,0)*0.475*44/12</f>
        <v>#N/A</v>
      </c>
      <c r="AW123" s="21" t="e">
        <f>EXP(-LN(2)/2)*AW122+(1-EXP(-LN(2)/2))/(LN(2)/2)*AQ123*AT123*VLOOKUP('Données projet'!$B$10,Paramètres!$A$1:$I$89,3,0)*0.475*44/12</f>
        <v>#N/A</v>
      </c>
      <c r="AX123" s="21" t="e">
        <f t="shared" si="60"/>
        <v>#N/A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2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72.357999999999919</v>
      </c>
      <c r="D124" s="11">
        <f t="shared" si="86"/>
        <v>20.257898193815301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714.92974044348591</v>
      </c>
      <c r="H124" s="67">
        <f t="shared" si="56"/>
        <v>454.63935602089481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-5.6843418860808015E-14</v>
      </c>
      <c r="O124" s="13">
        <f>N124*VLOOKUP('Données projet'!$B$9,Paramètres!$A$1:$I$89,3,0)*VLOOKUP('Données projet'!$B$9,Paramètres!$A$1:$I$89,5,0)</f>
        <v>-3.3992364478763198E-14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232.5902129145469</v>
      </c>
      <c r="T124" s="59">
        <f t="shared" si="88"/>
        <v>340.94590122751879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43.054557025816976</v>
      </c>
      <c r="AA124" s="21">
        <f>EXP(-LN(2)/25)*AA123+(1-EXP(-LN(2)/25))/(LN(2)/25)*Calculateur!V124*Calculateur!X124*VLOOKUP('Données projet'!$B$9,Paramètres!$A$1:$I$89,3,0)*0.475*44/12</f>
        <v>2.6008765316953411</v>
      </c>
      <c r="AB124" s="21">
        <f>EXP(-LN(2)/2)*AB123+(1-EXP(-LN(2)/2))/(LN(2)/2)*V124*Y124*VLOOKUP('Données projet'!$B$9,Paramètres!$A$1:$I$89,3,0)*0.475*44/12</f>
        <v>4.9865815052798253E-11</v>
      </c>
      <c r="AC124" s="22">
        <f t="shared" si="57"/>
        <v>45.655433557562183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0</v>
      </c>
      <c r="AJ124" s="13" t="e">
        <f>AI124*VLOOKUP('Données projet'!$B$10,Paramètres!$A$1:$I$89,3,0)*VLOOKUP('Données projet'!$B$10,Paramètres!$A$1:$I$89,5,0)</f>
        <v>#N/A</v>
      </c>
      <c r="AK124" s="13" t="e">
        <f t="shared" si="89"/>
        <v>#N/A</v>
      </c>
      <c r="AL124" s="20" t="e">
        <f t="shared" si="58"/>
        <v>#N/A</v>
      </c>
      <c r="AM124" s="59" t="e">
        <f t="shared" si="59"/>
        <v>#N/A</v>
      </c>
      <c r="AN124" s="59" t="e">
        <f ca="1">AVERAGE(OFFSET($AM$3,0,0,'Données projet'!$E$10+1,1))-AVERAGE(OFFSET($H$3,0,0,'Données projet'!$E$10+1,1))</f>
        <v>#N/A</v>
      </c>
      <c r="AO124" s="59" t="e">
        <f t="shared" si="90"/>
        <v>#N/A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 t="e">
        <f>EXP(-LN(2)/35)*AU123+(1-EXP(-LN(2)/35))/(LN(2)/35)*AQ124*AR124*VLOOKUP('Données projet'!$B$10,Paramètres!$A$1:$I$89,3,0)*0.475*44/12</f>
        <v>#N/A</v>
      </c>
      <c r="AV124" s="21" t="e">
        <f>EXP(-LN(2)/25)*AV123+(1-EXP(-LN(2)/25))/(LN(2)/25)*Calculateur!AQ124*Calculateur!AS124*VLOOKUP('Données projet'!$B$10,Paramètres!$A$1:$I$89,3,0)*0.475*44/12</f>
        <v>#N/A</v>
      </c>
      <c r="AW124" s="21" t="e">
        <f>EXP(-LN(2)/2)*AW123+(1-EXP(-LN(2)/2))/(LN(2)/2)*AQ124*AT124*VLOOKUP('Données projet'!$B$10,Paramètres!$A$1:$I$89,3,0)*0.475*44/12</f>
        <v>#N/A</v>
      </c>
      <c r="AX124" s="21" t="e">
        <f t="shared" si="60"/>
        <v>#N/A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2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72.955999999999918</v>
      </c>
      <c r="D125" s="11">
        <f t="shared" si="86"/>
        <v>20.405760140212255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720.68727125777821</v>
      </c>
      <c r="H125" s="67">
        <f t="shared" si="56"/>
        <v>455.93839891086952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-5.6843418860808015E-14</v>
      </c>
      <c r="O125" s="13">
        <f>N125*VLOOKUP('Données projet'!$B$9,Paramètres!$A$1:$I$89,3,0)*VLOOKUP('Données projet'!$B$9,Paramètres!$A$1:$I$89,5,0)</f>
        <v>-3.3992364478763198E-14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232.5902129145469</v>
      </c>
      <c r="T125" s="59">
        <f t="shared" si="88"/>
        <v>340.94590122751879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42.210283423227466</v>
      </c>
      <c r="AA125" s="21">
        <f>EXP(-LN(2)/25)*AA124+(1-EXP(-LN(2)/25))/(LN(2)/25)*Calculateur!V125*Calculateur!X125*VLOOKUP('Données projet'!$B$9,Paramètres!$A$1:$I$89,3,0)*0.475*44/12</f>
        <v>2.5297554261619797</v>
      </c>
      <c r="AB125" s="21">
        <f>EXP(-LN(2)/2)*AB124+(1-EXP(-LN(2)/2))/(LN(2)/2)*V125*Y125*VLOOKUP('Données projet'!$B$9,Paramètres!$A$1:$I$89,3,0)*0.475*44/12</f>
        <v>3.5260455973227861E-11</v>
      </c>
      <c r="AC125" s="22">
        <f t="shared" si="57"/>
        <v>44.7400388494247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0</v>
      </c>
      <c r="AJ125" s="13" t="e">
        <f>AI125*VLOOKUP('Données projet'!$B$10,Paramètres!$A$1:$I$89,3,0)*VLOOKUP('Données projet'!$B$10,Paramètres!$A$1:$I$89,5,0)</f>
        <v>#N/A</v>
      </c>
      <c r="AK125" s="13" t="e">
        <f t="shared" si="89"/>
        <v>#N/A</v>
      </c>
      <c r="AL125" s="20" t="e">
        <f t="shared" si="58"/>
        <v>#N/A</v>
      </c>
      <c r="AM125" s="59" t="e">
        <f t="shared" si="59"/>
        <v>#N/A</v>
      </c>
      <c r="AN125" s="59" t="e">
        <f ca="1">AVERAGE(OFFSET($AM$3,0,0,'Données projet'!$E$10+1,1))-AVERAGE(OFFSET($H$3,0,0,'Données projet'!$E$10+1,1))</f>
        <v>#N/A</v>
      </c>
      <c r="AO125" s="59" t="e">
        <f t="shared" si="90"/>
        <v>#N/A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 t="e">
        <f>EXP(-LN(2)/35)*AU124+(1-EXP(-LN(2)/35))/(LN(2)/35)*AQ125*AR125*VLOOKUP('Données projet'!$B$10,Paramètres!$A$1:$I$89,3,0)*0.475*44/12</f>
        <v>#N/A</v>
      </c>
      <c r="AV125" s="21" t="e">
        <f>EXP(-LN(2)/25)*AV124+(1-EXP(-LN(2)/25))/(LN(2)/25)*Calculateur!AQ125*Calculateur!AS125*VLOOKUP('Données projet'!$B$10,Paramètres!$A$1:$I$89,3,0)*0.475*44/12</f>
        <v>#N/A</v>
      </c>
      <c r="AW125" s="21" t="e">
        <f>EXP(-LN(2)/2)*AW124+(1-EXP(-LN(2)/2))/(LN(2)/2)*AQ125*AT125*VLOOKUP('Données projet'!$B$10,Paramètres!$A$1:$I$89,3,0)*0.475*44/12</f>
        <v>#N/A</v>
      </c>
      <c r="AX125" s="21" t="e">
        <f t="shared" si="60"/>
        <v>#N/A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2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73.553999999999917</v>
      </c>
      <c r="D126" s="11">
        <f t="shared" si="86"/>
        <v>20.553481077376667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726.44371357974899</v>
      </c>
      <c r="H126" s="67">
        <f t="shared" si="56"/>
        <v>457.23719620976419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-5.6843418860808015E-14</v>
      </c>
      <c r="O126" s="13">
        <f>N126*VLOOKUP('Données projet'!$B$9,Paramètres!$A$1:$I$89,3,0)*VLOOKUP('Données projet'!$B$9,Paramètres!$A$1:$I$89,5,0)</f>
        <v>-3.3992364478763198E-14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232.5902129145469</v>
      </c>
      <c r="T126" s="59">
        <f t="shared" si="88"/>
        <v>340.94590122751879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41.38256551102868</v>
      </c>
      <c r="AA126" s="21">
        <f>EXP(-LN(2)/25)*AA125+(1-EXP(-LN(2)/25))/(LN(2)/25)*Calculateur!V126*Calculateur!X126*VLOOKUP('Données projet'!$B$9,Paramètres!$A$1:$I$89,3,0)*0.475*44/12</f>
        <v>2.4605791309995242</v>
      </c>
      <c r="AB126" s="21">
        <f>EXP(-LN(2)/2)*AB125+(1-EXP(-LN(2)/2))/(LN(2)/2)*V126*Y126*VLOOKUP('Données projet'!$B$9,Paramètres!$A$1:$I$89,3,0)*0.475*44/12</f>
        <v>2.4932907526399126E-11</v>
      </c>
      <c r="AC126" s="22">
        <f t="shared" si="57"/>
        <v>43.84314464205314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0</v>
      </c>
      <c r="AJ126" s="13" t="e">
        <f>AI126*VLOOKUP('Données projet'!$B$10,Paramètres!$A$1:$I$89,3,0)*VLOOKUP('Données projet'!$B$10,Paramètres!$A$1:$I$89,5,0)</f>
        <v>#N/A</v>
      </c>
      <c r="AK126" s="13" t="e">
        <f t="shared" si="89"/>
        <v>#N/A</v>
      </c>
      <c r="AL126" s="20" t="e">
        <f t="shared" si="58"/>
        <v>#N/A</v>
      </c>
      <c r="AM126" s="59" t="e">
        <f t="shared" si="59"/>
        <v>#N/A</v>
      </c>
      <c r="AN126" s="59" t="e">
        <f ca="1">AVERAGE(OFFSET($AM$3,0,0,'Données projet'!$E$10+1,1))-AVERAGE(OFFSET($H$3,0,0,'Données projet'!$E$10+1,1))</f>
        <v>#N/A</v>
      </c>
      <c r="AO126" s="59" t="e">
        <f t="shared" si="90"/>
        <v>#N/A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 t="e">
        <f>EXP(-LN(2)/35)*AU125+(1-EXP(-LN(2)/35))/(LN(2)/35)*AQ126*AR126*VLOOKUP('Données projet'!$B$10,Paramètres!$A$1:$I$89,3,0)*0.475*44/12</f>
        <v>#N/A</v>
      </c>
      <c r="AV126" s="21" t="e">
        <f>EXP(-LN(2)/25)*AV125+(1-EXP(-LN(2)/25))/(LN(2)/25)*Calculateur!AQ126*Calculateur!AS126*VLOOKUP('Données projet'!$B$10,Paramètres!$A$1:$I$89,3,0)*0.475*44/12</f>
        <v>#N/A</v>
      </c>
      <c r="AW126" s="21" t="e">
        <f>EXP(-LN(2)/2)*AW125+(1-EXP(-LN(2)/2))/(LN(2)/2)*AQ126*AT126*VLOOKUP('Données projet'!$B$10,Paramètres!$A$1:$I$89,3,0)*0.475*44/12</f>
        <v>#N/A</v>
      </c>
      <c r="AX126" s="21" t="e">
        <f t="shared" si="60"/>
        <v>#N/A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2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74.151999999999916</v>
      </c>
      <c r="D127" s="11">
        <f t="shared" si="86"/>
        <v>20.701062284590861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732.19907728456053</v>
      </c>
      <c r="H127" s="67">
        <f t="shared" si="56"/>
        <v>458.53575014566229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-5.6843418860808015E-14</v>
      </c>
      <c r="O127" s="13">
        <f>N127*VLOOKUP('Données projet'!$B$9,Paramètres!$A$1:$I$89,3,0)*VLOOKUP('Données projet'!$B$9,Paramètres!$A$1:$I$89,5,0)</f>
        <v>-3.3992364478763198E-14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232.5902129145469</v>
      </c>
      <c r="T127" s="59">
        <f t="shared" si="88"/>
        <v>340.94590122751879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40.571078642230042</v>
      </c>
      <c r="AA127" s="21">
        <f>EXP(-LN(2)/25)*AA126+(1-EXP(-LN(2)/25))/(LN(2)/25)*Calculateur!V127*Calculateur!X127*VLOOKUP('Données projet'!$B$9,Paramètres!$A$1:$I$89,3,0)*0.475*44/12</f>
        <v>2.3932944652661092</v>
      </c>
      <c r="AB127" s="21">
        <f>EXP(-LN(2)/2)*AB126+(1-EXP(-LN(2)/2))/(LN(2)/2)*V127*Y127*VLOOKUP('Données projet'!$B$9,Paramètres!$A$1:$I$89,3,0)*0.475*44/12</f>
        <v>1.7630227986613931E-11</v>
      </c>
      <c r="AC127" s="22">
        <f t="shared" si="57"/>
        <v>42.964373107513779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0</v>
      </c>
      <c r="AJ127" s="13" t="e">
        <f>AI127*VLOOKUP('Données projet'!$B$10,Paramètres!$A$1:$I$89,3,0)*VLOOKUP('Données projet'!$B$10,Paramètres!$A$1:$I$89,5,0)</f>
        <v>#N/A</v>
      </c>
      <c r="AK127" s="13" t="e">
        <f t="shared" si="89"/>
        <v>#N/A</v>
      </c>
      <c r="AL127" s="20" t="e">
        <f t="shared" si="58"/>
        <v>#N/A</v>
      </c>
      <c r="AM127" s="59" t="e">
        <f t="shared" si="59"/>
        <v>#N/A</v>
      </c>
      <c r="AN127" s="59" t="e">
        <f ca="1">AVERAGE(OFFSET($AM$3,0,0,'Données projet'!$E$10+1,1))-AVERAGE(OFFSET($H$3,0,0,'Données projet'!$E$10+1,1))</f>
        <v>#N/A</v>
      </c>
      <c r="AO127" s="59" t="e">
        <f t="shared" si="90"/>
        <v>#N/A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 t="e">
        <f>EXP(-LN(2)/35)*AU126+(1-EXP(-LN(2)/35))/(LN(2)/35)*AQ127*AR127*VLOOKUP('Données projet'!$B$10,Paramètres!$A$1:$I$89,3,0)*0.475*44/12</f>
        <v>#N/A</v>
      </c>
      <c r="AV127" s="21" t="e">
        <f>EXP(-LN(2)/25)*AV126+(1-EXP(-LN(2)/25))/(LN(2)/25)*Calculateur!AQ127*Calculateur!AS127*VLOOKUP('Données projet'!$B$10,Paramètres!$A$1:$I$89,3,0)*0.475*44/12</f>
        <v>#N/A</v>
      </c>
      <c r="AW127" s="21" t="e">
        <f>EXP(-LN(2)/2)*AW126+(1-EXP(-LN(2)/2))/(LN(2)/2)*AQ127*AT127*VLOOKUP('Données projet'!$B$10,Paramètres!$A$1:$I$89,3,0)*0.475*44/12</f>
        <v>#N/A</v>
      </c>
      <c r="AX127" s="21" t="e">
        <f t="shared" si="60"/>
        <v>#N/A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2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74.749999999999915</v>
      </c>
      <c r="D128" s="11">
        <f t="shared" si="86"/>
        <v>20.848505019312185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737.95337207890043</v>
      </c>
      <c r="H128" s="67">
        <f t="shared" si="56"/>
        <v>459.83406290863525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-5.6843418860808015E-14</v>
      </c>
      <c r="O128" s="13">
        <f>N128*VLOOKUP('Données projet'!$B$9,Paramètres!$A$1:$I$89,3,0)*VLOOKUP('Données projet'!$B$9,Paramètres!$A$1:$I$89,5,0)</f>
        <v>-3.3992364478763198E-14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232.5902129145469</v>
      </c>
      <c r="T128" s="59">
        <f t="shared" si="88"/>
        <v>340.94590122751879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39.775504535970427</v>
      </c>
      <c r="AA128" s="21">
        <f>EXP(-LN(2)/25)*AA127+(1-EXP(-LN(2)/25))/(LN(2)/25)*Calculateur!V128*Calculateur!X128*VLOOKUP('Données projet'!$B$9,Paramètres!$A$1:$I$89,3,0)*0.475*44/12</f>
        <v>2.3278497022555213</v>
      </c>
      <c r="AB128" s="21">
        <f>EXP(-LN(2)/2)*AB127+(1-EXP(-LN(2)/2))/(LN(2)/2)*V128*Y128*VLOOKUP('Données projet'!$B$9,Paramètres!$A$1:$I$89,3,0)*0.475*44/12</f>
        <v>1.2466453763199563E-11</v>
      </c>
      <c r="AC128" s="22">
        <f t="shared" si="57"/>
        <v>42.10335423823841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0</v>
      </c>
      <c r="AJ128" s="13" t="e">
        <f>AI128*VLOOKUP('Données projet'!$B$10,Paramètres!$A$1:$I$89,3,0)*VLOOKUP('Données projet'!$B$10,Paramètres!$A$1:$I$89,5,0)</f>
        <v>#N/A</v>
      </c>
      <c r="AK128" s="13" t="e">
        <f t="shared" si="89"/>
        <v>#N/A</v>
      </c>
      <c r="AL128" s="20" t="e">
        <f t="shared" si="58"/>
        <v>#N/A</v>
      </c>
      <c r="AM128" s="59" t="e">
        <f t="shared" si="59"/>
        <v>#N/A</v>
      </c>
      <c r="AN128" s="59" t="e">
        <f ca="1">AVERAGE(OFFSET($AM$3,0,0,'Données projet'!$E$10+1,1))-AVERAGE(OFFSET($H$3,0,0,'Données projet'!$E$10+1,1))</f>
        <v>#N/A</v>
      </c>
      <c r="AO128" s="59" t="e">
        <f t="shared" si="90"/>
        <v>#N/A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 t="e">
        <f>EXP(-LN(2)/35)*AU127+(1-EXP(-LN(2)/35))/(LN(2)/35)*AQ128*AR128*VLOOKUP('Données projet'!$B$10,Paramètres!$A$1:$I$89,3,0)*0.475*44/12</f>
        <v>#N/A</v>
      </c>
      <c r="AV128" s="21" t="e">
        <f>EXP(-LN(2)/25)*AV127+(1-EXP(-LN(2)/25))/(LN(2)/25)*Calculateur!AQ128*Calculateur!AS128*VLOOKUP('Données projet'!$B$10,Paramètres!$A$1:$I$89,3,0)*0.475*44/12</f>
        <v>#N/A</v>
      </c>
      <c r="AW128" s="21" t="e">
        <f>EXP(-LN(2)/2)*AW127+(1-EXP(-LN(2)/2))/(LN(2)/2)*AQ128*AT128*VLOOKUP('Données projet'!$B$10,Paramètres!$A$1:$I$89,3,0)*0.475*44/12</f>
        <v>#N/A</v>
      </c>
      <c r="AX128" s="21" t="e">
        <f t="shared" si="60"/>
        <v>#N/A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2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75.347999999999914</v>
      </c>
      <c r="D129" s="11">
        <f t="shared" si="86"/>
        <v>20.995810517717022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743.70660750518334</v>
      </c>
      <c r="H129" s="67">
        <f t="shared" si="56"/>
        <v>461.1321366516903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-5.6843418860808015E-14</v>
      </c>
      <c r="O129" s="13">
        <f>N129*VLOOKUP('Données projet'!$B$9,Paramètres!$A$1:$I$89,3,0)*VLOOKUP('Données projet'!$B$9,Paramètres!$A$1:$I$89,5,0)</f>
        <v>-3.3992364478763198E-14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232.5902129145469</v>
      </c>
      <c r="T129" s="59">
        <f t="shared" si="88"/>
        <v>340.94590122751879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38.995531152682275</v>
      </c>
      <c r="AA129" s="21">
        <f>EXP(-LN(2)/25)*AA128+(1-EXP(-LN(2)/25))/(LN(2)/25)*Calculateur!V129*Calculateur!X129*VLOOKUP('Données projet'!$B$9,Paramètres!$A$1:$I$89,3,0)*0.475*44/12</f>
        <v>2.2641945297310486</v>
      </c>
      <c r="AB129" s="21">
        <f>EXP(-LN(2)/2)*AB128+(1-EXP(-LN(2)/2))/(LN(2)/2)*V129*Y129*VLOOKUP('Données projet'!$B$9,Paramètres!$A$1:$I$89,3,0)*0.475*44/12</f>
        <v>8.8151139933069653E-12</v>
      </c>
      <c r="AC129" s="22">
        <f t="shared" si="57"/>
        <v>41.259725682422143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0</v>
      </c>
      <c r="AJ129" s="13" t="e">
        <f>AI129*VLOOKUP('Données projet'!$B$10,Paramètres!$A$1:$I$89,3,0)*VLOOKUP('Données projet'!$B$10,Paramètres!$A$1:$I$89,5,0)</f>
        <v>#N/A</v>
      </c>
      <c r="AK129" s="13" t="e">
        <f t="shared" si="89"/>
        <v>#N/A</v>
      </c>
      <c r="AL129" s="20" t="e">
        <f t="shared" si="58"/>
        <v>#N/A</v>
      </c>
      <c r="AM129" s="59" t="e">
        <f t="shared" si="59"/>
        <v>#N/A</v>
      </c>
      <c r="AN129" s="59" t="e">
        <f ca="1">AVERAGE(OFFSET($AM$3,0,0,'Données projet'!$E$10+1,1))-AVERAGE(OFFSET($H$3,0,0,'Données projet'!$E$10+1,1))</f>
        <v>#N/A</v>
      </c>
      <c r="AO129" s="59" t="e">
        <f t="shared" si="90"/>
        <v>#N/A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 t="e">
        <f>EXP(-LN(2)/35)*AU128+(1-EXP(-LN(2)/35))/(LN(2)/35)*AQ129*AR129*VLOOKUP('Données projet'!$B$10,Paramètres!$A$1:$I$89,3,0)*0.475*44/12</f>
        <v>#N/A</v>
      </c>
      <c r="AV129" s="21" t="e">
        <f>EXP(-LN(2)/25)*AV128+(1-EXP(-LN(2)/25))/(LN(2)/25)*Calculateur!AQ129*Calculateur!AS129*VLOOKUP('Données projet'!$B$10,Paramètres!$A$1:$I$89,3,0)*0.475*44/12</f>
        <v>#N/A</v>
      </c>
      <c r="AW129" s="21" t="e">
        <f>EXP(-LN(2)/2)*AW128+(1-EXP(-LN(2)/2))/(LN(2)/2)*AQ129*AT129*VLOOKUP('Données projet'!$B$10,Paramètres!$A$1:$I$89,3,0)*0.475*44/12</f>
        <v>#N/A</v>
      </c>
      <c r="AX129" s="21" t="e">
        <f t="shared" si="60"/>
        <v>#N/A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2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75.945999999999913</v>
      </c>
      <c r="D130" s="11">
        <f t="shared" si="86"/>
        <v>21.142979995226813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749.45879294560984</v>
      </c>
      <c r="H130" s="67">
        <f t="shared" si="56"/>
        <v>462.4299734916865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-5.6843418860808015E-14</v>
      </c>
      <c r="O130" s="13">
        <f>N130*VLOOKUP('Données projet'!$B$9,Paramètres!$A$1:$I$89,3,0)*VLOOKUP('Données projet'!$B$9,Paramètres!$A$1:$I$89,5,0)</f>
        <v>-3.3992364478763198E-14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232.5902129145469</v>
      </c>
      <c r="T130" s="59">
        <f t="shared" si="88"/>
        <v>340.94590122751879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38.230852571703615</v>
      </c>
      <c r="AA130" s="21">
        <f>EXP(-LN(2)/25)*AA129+(1-EXP(-LN(2)/25))/(LN(2)/25)*Calculateur!V130*Calculateur!X130*VLOOKUP('Données projet'!$B$9,Paramètres!$A$1:$I$89,3,0)*0.475*44/12</f>
        <v>2.2022800112467378</v>
      </c>
      <c r="AB130" s="21">
        <f>EXP(-LN(2)/2)*AB129+(1-EXP(-LN(2)/2))/(LN(2)/2)*V130*Y130*VLOOKUP('Données projet'!$B$9,Paramètres!$A$1:$I$89,3,0)*0.475*44/12</f>
        <v>6.2332268815997816E-12</v>
      </c>
      <c r="AC130" s="22">
        <f t="shared" si="57"/>
        <v>40.433132582956581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0</v>
      </c>
      <c r="AJ130" s="13" t="e">
        <f>AI130*VLOOKUP('Données projet'!$B$10,Paramètres!$A$1:$I$89,3,0)*VLOOKUP('Données projet'!$B$10,Paramètres!$A$1:$I$89,5,0)</f>
        <v>#N/A</v>
      </c>
      <c r="AK130" s="13" t="e">
        <f t="shared" si="89"/>
        <v>#N/A</v>
      </c>
      <c r="AL130" s="20" t="e">
        <f t="shared" si="58"/>
        <v>#N/A</v>
      </c>
      <c r="AM130" s="59" t="e">
        <f t="shared" si="59"/>
        <v>#N/A</v>
      </c>
      <c r="AN130" s="59" t="e">
        <f ca="1">AVERAGE(OFFSET($AM$3,0,0,'Données projet'!$E$10+1,1))-AVERAGE(OFFSET($H$3,0,0,'Données projet'!$E$10+1,1))</f>
        <v>#N/A</v>
      </c>
      <c r="AO130" s="59" t="e">
        <f t="shared" si="90"/>
        <v>#N/A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 t="e">
        <f>EXP(-LN(2)/35)*AU129+(1-EXP(-LN(2)/35))/(LN(2)/35)*AQ130*AR130*VLOOKUP('Données projet'!$B$10,Paramètres!$A$1:$I$89,3,0)*0.475*44/12</f>
        <v>#N/A</v>
      </c>
      <c r="AV130" s="21" t="e">
        <f>EXP(-LN(2)/25)*AV129+(1-EXP(-LN(2)/25))/(LN(2)/25)*Calculateur!AQ130*Calculateur!AS130*VLOOKUP('Données projet'!$B$10,Paramètres!$A$1:$I$89,3,0)*0.475*44/12</f>
        <v>#N/A</v>
      </c>
      <c r="AW130" s="21" t="e">
        <f>EXP(-LN(2)/2)*AW129+(1-EXP(-LN(2)/2))/(LN(2)/2)*AQ130*AT130*VLOOKUP('Données projet'!$B$10,Paramètres!$A$1:$I$89,3,0)*0.475*44/12</f>
        <v>#N/A</v>
      </c>
      <c r="AX130" s="21" t="e">
        <f t="shared" si="60"/>
        <v>#N/A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2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76.543999999999912</v>
      </c>
      <c r="D131" s="11">
        <f t="shared" si="86"/>
        <v>21.290014647017198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755.20993762609703</v>
      </c>
      <c r="H131" s="67">
        <f t="shared" si="56"/>
        <v>463.72757551022141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-5.6843418860808015E-14</v>
      </c>
      <c r="O131" s="13">
        <f>N131*VLOOKUP('Données projet'!$B$9,Paramètres!$A$1:$I$89,3,0)*VLOOKUP('Données projet'!$B$9,Paramètres!$A$1:$I$89,5,0)</f>
        <v>-3.3992364478763198E-14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232.5902129145469</v>
      </c>
      <c r="T131" s="59">
        <f t="shared" si="88"/>
        <v>340.94590122751879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37.481168871290066</v>
      </c>
      <c r="AA131" s="21">
        <f>EXP(-LN(2)/25)*AA130+(1-EXP(-LN(2)/25))/(LN(2)/25)*Calculateur!V131*Calculateur!X131*VLOOKUP('Données projet'!$B$9,Paramètres!$A$1:$I$89,3,0)*0.475*44/12</f>
        <v>2.1420585485263235</v>
      </c>
      <c r="AB131" s="21">
        <f>EXP(-LN(2)/2)*AB130+(1-EXP(-LN(2)/2))/(LN(2)/2)*V131*Y131*VLOOKUP('Données projet'!$B$9,Paramètres!$A$1:$I$89,3,0)*0.475*44/12</f>
        <v>4.4075569966534826E-12</v>
      </c>
      <c r="AC131" s="22">
        <f t="shared" si="57"/>
        <v>39.623227419820793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0</v>
      </c>
      <c r="AJ131" s="13" t="e">
        <f>AI131*VLOOKUP('Données projet'!$B$10,Paramètres!$A$1:$I$89,3,0)*VLOOKUP('Données projet'!$B$10,Paramètres!$A$1:$I$89,5,0)</f>
        <v>#N/A</v>
      </c>
      <c r="AK131" s="13" t="e">
        <f t="shared" si="89"/>
        <v>#N/A</v>
      </c>
      <c r="AL131" s="20" t="e">
        <f t="shared" si="58"/>
        <v>#N/A</v>
      </c>
      <c r="AM131" s="59" t="e">
        <f t="shared" si="59"/>
        <v>#N/A</v>
      </c>
      <c r="AN131" s="59" t="e">
        <f ca="1">AVERAGE(OFFSET($AM$3,0,0,'Données projet'!$E$10+1,1))-AVERAGE(OFFSET($H$3,0,0,'Données projet'!$E$10+1,1))</f>
        <v>#N/A</v>
      </c>
      <c r="AO131" s="59" t="e">
        <f t="shared" si="90"/>
        <v>#N/A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 t="e">
        <f>EXP(-LN(2)/35)*AU130+(1-EXP(-LN(2)/35))/(LN(2)/35)*AQ131*AR131*VLOOKUP('Données projet'!$B$10,Paramètres!$A$1:$I$89,3,0)*0.475*44/12</f>
        <v>#N/A</v>
      </c>
      <c r="AV131" s="21" t="e">
        <f>EXP(-LN(2)/25)*AV130+(1-EXP(-LN(2)/25))/(LN(2)/25)*Calculateur!AQ131*Calculateur!AS131*VLOOKUP('Données projet'!$B$10,Paramètres!$A$1:$I$89,3,0)*0.475*44/12</f>
        <v>#N/A</v>
      </c>
      <c r="AW131" s="21" t="e">
        <f>EXP(-LN(2)/2)*AW130+(1-EXP(-LN(2)/2))/(LN(2)/2)*AQ131*AT131*VLOOKUP('Données projet'!$B$10,Paramètres!$A$1:$I$89,3,0)*0.475*44/12</f>
        <v>#N/A</v>
      </c>
      <c r="AX131" s="21" t="e">
        <f t="shared" si="60"/>
        <v>#N/A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2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77.141999999999911</v>
      </c>
      <c r="D132" s="11">
        <f t="shared" si="86"/>
        <v>21.436915648510737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760.96005062008214</v>
      </c>
      <c r="H132" s="67">
        <f t="shared" ref="H132:H195" si="110">(B132+E132+F132)*44/12+(C132+D132)*0.475*44/12</f>
        <v>465.0249447544893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-5.6843418860808015E-14</v>
      </c>
      <c r="O132" s="13">
        <f>N132*VLOOKUP('Données projet'!$B$9,Paramètres!$A$1:$I$89,3,0)*VLOOKUP('Données projet'!$B$9,Paramètres!$A$1:$I$89,5,0)</f>
        <v>-3.3992364478763198E-14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232.5902129145469</v>
      </c>
      <c r="T132" s="59">
        <f t="shared" si="88"/>
        <v>340.94590122751879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36.74618601097972</v>
      </c>
      <c r="AA132" s="21">
        <f>EXP(-LN(2)/25)*AA131+(1-EXP(-LN(2)/25))/(LN(2)/25)*Calculateur!V132*Calculateur!X132*VLOOKUP('Données projet'!$B$9,Paramètres!$A$1:$I$89,3,0)*0.475*44/12</f>
        <v>2.0834838448709077</v>
      </c>
      <c r="AB132" s="21">
        <f>EXP(-LN(2)/2)*AB131+(1-EXP(-LN(2)/2))/(LN(2)/2)*V132*Y132*VLOOKUP('Données projet'!$B$9,Paramètres!$A$1:$I$89,3,0)*0.475*44/12</f>
        <v>3.1166134407998908E-12</v>
      </c>
      <c r="AC132" s="22">
        <f t="shared" ref="AC132:AC153" si="111">SUM(Z132:AB132)</f>
        <v>38.829669855853744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0</v>
      </c>
      <c r="AJ132" s="13" t="e">
        <f>AI132*VLOOKUP('Données projet'!$B$10,Paramètres!$A$1:$I$89,3,0)*VLOOKUP('Données projet'!$B$10,Paramètres!$A$1:$I$89,5,0)</f>
        <v>#N/A</v>
      </c>
      <c r="AK132" s="13" t="e">
        <f t="shared" si="89"/>
        <v>#N/A</v>
      </c>
      <c r="AL132" s="20" t="e">
        <f t="shared" ref="AL132:AL153" si="112">(AJ132+AK132)*0.475*44/12</f>
        <v>#N/A</v>
      </c>
      <c r="AM132" s="59" t="e">
        <f t="shared" ref="AM132:AM195" si="113">AL132+(AD132+AE132)*44/12</f>
        <v>#N/A</v>
      </c>
      <c r="AN132" s="59" t="e">
        <f ca="1">AVERAGE(OFFSET($AM$3,0,0,'Données projet'!$E$10+1,1))-AVERAGE(OFFSET($H$3,0,0,'Données projet'!$E$10+1,1))</f>
        <v>#N/A</v>
      </c>
      <c r="AO132" s="59" t="e">
        <f t="shared" si="90"/>
        <v>#N/A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 t="e">
        <f>EXP(-LN(2)/35)*AU131+(1-EXP(-LN(2)/35))/(LN(2)/35)*AQ132*AR132*VLOOKUP('Données projet'!$B$10,Paramètres!$A$1:$I$89,3,0)*0.475*44/12</f>
        <v>#N/A</v>
      </c>
      <c r="AV132" s="21" t="e">
        <f>EXP(-LN(2)/25)*AV131+(1-EXP(-LN(2)/25))/(LN(2)/25)*Calculateur!AQ132*Calculateur!AS132*VLOOKUP('Données projet'!$B$10,Paramètres!$A$1:$I$89,3,0)*0.475*44/12</f>
        <v>#N/A</v>
      </c>
      <c r="AW132" s="21" t="e">
        <f>EXP(-LN(2)/2)*AW131+(1-EXP(-LN(2)/2))/(LN(2)/2)*AQ132*AT132*VLOOKUP('Données projet'!$B$10,Paramètres!$A$1:$I$89,3,0)*0.475*44/12</f>
        <v>#N/A</v>
      </c>
      <c r="AX132" s="21" t="e">
        <f t="shared" ref="AX132:AX153" si="114">SUM(AU132:AW132)</f>
        <v>#N/A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2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77.73999999999991</v>
      </c>
      <c r="D133" s="11">
        <f t="shared" ref="D133:D196" si="140">IFERROR(EXP(-1.0587+0.8836*LN(C133)+0.284),0)</f>
        <v>21.583684155853874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766.70914085220465</v>
      </c>
      <c r="H133" s="67">
        <f t="shared" si="110"/>
        <v>466.32208323811199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-5.6843418860808015E-14</v>
      </c>
      <c r="O133" s="13">
        <f>N133*VLOOKUP('Données projet'!$B$9,Paramètres!$A$1:$I$89,3,0)*VLOOKUP('Données projet'!$B$9,Paramètres!$A$1:$I$89,5,0)</f>
        <v>-3.3992364478763198E-14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232.5902129145469</v>
      </c>
      <c r="T133" s="59">
        <f t="shared" ref="T133:T196" si="142">$T$3</f>
        <v>340.94590122751879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36.025615716264781</v>
      </c>
      <c r="AA133" s="21">
        <f>EXP(-LN(2)/25)*AA132+(1-EXP(-LN(2)/25))/(LN(2)/25)*Calculateur!V133*Calculateur!X133*VLOOKUP('Données projet'!$B$9,Paramètres!$A$1:$I$89,3,0)*0.475*44/12</f>
        <v>2.0265108695672591</v>
      </c>
      <c r="AB133" s="21">
        <f>EXP(-LN(2)/2)*AB132+(1-EXP(-LN(2)/2))/(LN(2)/2)*V133*Y133*VLOOKUP('Données projet'!$B$9,Paramètres!$A$1:$I$89,3,0)*0.475*44/12</f>
        <v>2.2037784983267413E-12</v>
      </c>
      <c r="AC133" s="22">
        <f t="shared" si="111"/>
        <v>38.052126585834245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0</v>
      </c>
      <c r="AJ133" s="13" t="e">
        <f>AI133*VLOOKUP('Données projet'!$B$10,Paramètres!$A$1:$I$89,3,0)*VLOOKUP('Données projet'!$B$10,Paramètres!$A$1:$I$89,5,0)</f>
        <v>#N/A</v>
      </c>
      <c r="AK133" s="13" t="e">
        <f t="shared" ref="AK133:AK153" si="143">EXP(-1.0587+0.8836*LN(AJ133)+0.284)</f>
        <v>#N/A</v>
      </c>
      <c r="AL133" s="20" t="e">
        <f t="shared" si="112"/>
        <v>#N/A</v>
      </c>
      <c r="AM133" s="59" t="e">
        <f t="shared" si="113"/>
        <v>#N/A</v>
      </c>
      <c r="AN133" s="59" t="e">
        <f ca="1">AVERAGE(OFFSET($AM$3,0,0,'Données projet'!$E$10+1,1))-AVERAGE(OFFSET($H$3,0,0,'Données projet'!$E$10+1,1))</f>
        <v>#N/A</v>
      </c>
      <c r="AO133" s="59" t="e">
        <f t="shared" ref="AO133:AO196" si="144">$AO$3</f>
        <v>#N/A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 t="e">
        <f>EXP(-LN(2)/35)*AU132+(1-EXP(-LN(2)/35))/(LN(2)/35)*AQ133*AR133*VLOOKUP('Données projet'!$B$10,Paramètres!$A$1:$I$89,3,0)*0.475*44/12</f>
        <v>#N/A</v>
      </c>
      <c r="AV133" s="21" t="e">
        <f>EXP(-LN(2)/25)*AV132+(1-EXP(-LN(2)/25))/(LN(2)/25)*Calculateur!AQ133*Calculateur!AS133*VLOOKUP('Données projet'!$B$10,Paramètres!$A$1:$I$89,3,0)*0.475*44/12</f>
        <v>#N/A</v>
      </c>
      <c r="AW133" s="21" t="e">
        <f>EXP(-LN(2)/2)*AW132+(1-EXP(-LN(2)/2))/(LN(2)/2)*AQ133*AT133*VLOOKUP('Données projet'!$B$10,Paramètres!$A$1:$I$89,3,0)*0.475*44/12</f>
        <v>#N/A</v>
      </c>
      <c r="AX133" s="21" t="e">
        <f t="shared" si="114"/>
        <v>#N/A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2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78.337999999999909</v>
      </c>
      <c r="D134" s="11">
        <f t="shared" si="140"/>
        <v>21.730321306378883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772.45721710187138</v>
      </c>
      <c r="H134" s="67">
        <f t="shared" si="110"/>
        <v>467.61899294194302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-5.6843418860808015E-14</v>
      </c>
      <c r="O134" s="13">
        <f>N134*VLOOKUP('Données projet'!$B$9,Paramètres!$A$1:$I$89,3,0)*VLOOKUP('Données projet'!$B$9,Paramètres!$A$1:$I$89,5,0)</f>
        <v>-3.3992364478763198E-14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232.5902129145469</v>
      </c>
      <c r="T134" s="59">
        <f t="shared" si="142"/>
        <v>340.94590122751879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35.319175365524714</v>
      </c>
      <c r="AA134" s="21">
        <f>EXP(-LN(2)/25)*AA133+(1-EXP(-LN(2)/25))/(LN(2)/25)*Calculateur!V134*Calculateur!X134*VLOOKUP('Données projet'!$B$9,Paramètres!$A$1:$I$89,3,0)*0.475*44/12</f>
        <v>1.9710958232693674</v>
      </c>
      <c r="AB134" s="21">
        <f>EXP(-LN(2)/2)*AB133+(1-EXP(-LN(2)/2))/(LN(2)/2)*V134*Y134*VLOOKUP('Données projet'!$B$9,Paramètres!$A$1:$I$89,3,0)*0.475*44/12</f>
        <v>1.5583067203999454E-12</v>
      </c>
      <c r="AC134" s="22">
        <f t="shared" si="111"/>
        <v>37.290271188795636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0</v>
      </c>
      <c r="AJ134" s="13" t="e">
        <f>AI134*VLOOKUP('Données projet'!$B$10,Paramètres!$A$1:$I$89,3,0)*VLOOKUP('Données projet'!$B$10,Paramètres!$A$1:$I$89,5,0)</f>
        <v>#N/A</v>
      </c>
      <c r="AK134" s="13" t="e">
        <f t="shared" si="143"/>
        <v>#N/A</v>
      </c>
      <c r="AL134" s="20" t="e">
        <f t="shared" si="112"/>
        <v>#N/A</v>
      </c>
      <c r="AM134" s="59" t="e">
        <f t="shared" si="113"/>
        <v>#N/A</v>
      </c>
      <c r="AN134" s="59" t="e">
        <f ca="1">AVERAGE(OFFSET($AM$3,0,0,'Données projet'!$E$10+1,1))-AVERAGE(OFFSET($H$3,0,0,'Données projet'!$E$10+1,1))</f>
        <v>#N/A</v>
      </c>
      <c r="AO134" s="59" t="e">
        <f t="shared" si="144"/>
        <v>#N/A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 t="e">
        <f>EXP(-LN(2)/35)*AU133+(1-EXP(-LN(2)/35))/(LN(2)/35)*AQ134*AR134*VLOOKUP('Données projet'!$B$10,Paramètres!$A$1:$I$89,3,0)*0.475*44/12</f>
        <v>#N/A</v>
      </c>
      <c r="AV134" s="21" t="e">
        <f>EXP(-LN(2)/25)*AV133+(1-EXP(-LN(2)/25))/(LN(2)/25)*Calculateur!AQ134*Calculateur!AS134*VLOOKUP('Données projet'!$B$10,Paramètres!$A$1:$I$89,3,0)*0.475*44/12</f>
        <v>#N/A</v>
      </c>
      <c r="AW134" s="21" t="e">
        <f>EXP(-LN(2)/2)*AW133+(1-EXP(-LN(2)/2))/(LN(2)/2)*AQ134*AT134*VLOOKUP('Données projet'!$B$10,Paramètres!$A$1:$I$89,3,0)*0.475*44/12</f>
        <v>#N/A</v>
      </c>
      <c r="AX134" s="21" t="e">
        <f t="shared" si="114"/>
        <v>#N/A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2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78.935999999999908</v>
      </c>
      <c r="D135" s="11">
        <f t="shared" si="140"/>
        <v>21.876828219051234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778.20428800671061</v>
      </c>
      <c r="H135" s="67">
        <f t="shared" si="110"/>
        <v>468.91567581484742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-5.6843418860808015E-14</v>
      </c>
      <c r="O135" s="13">
        <f>N135*VLOOKUP('Données projet'!$B$9,Paramètres!$A$1:$I$89,3,0)*VLOOKUP('Données projet'!$B$9,Paramètres!$A$1:$I$89,5,0)</f>
        <v>-3.3992364478763198E-14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232.5902129145469</v>
      </c>
      <c r="T135" s="59">
        <f t="shared" si="142"/>
        <v>340.94590122751879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34.626587879176597</v>
      </c>
      <c r="AA135" s="21">
        <f>EXP(-LN(2)/25)*AA134+(1-EXP(-LN(2)/25))/(LN(2)/25)*Calculateur!V135*Calculateur!X135*VLOOKUP('Données projet'!$B$9,Paramètres!$A$1:$I$89,3,0)*0.475*44/12</f>
        <v>1.9171961043266421</v>
      </c>
      <c r="AB135" s="21">
        <f>EXP(-LN(2)/2)*AB134+(1-EXP(-LN(2)/2))/(LN(2)/2)*V135*Y135*VLOOKUP('Données projet'!$B$9,Paramètres!$A$1:$I$89,3,0)*0.475*44/12</f>
        <v>1.1018892491633707E-12</v>
      </c>
      <c r="AC135" s="22">
        <f t="shared" si="111"/>
        <v>36.543783983504341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0</v>
      </c>
      <c r="AJ135" s="13" t="e">
        <f>AI135*VLOOKUP('Données projet'!$B$10,Paramètres!$A$1:$I$89,3,0)*VLOOKUP('Données projet'!$B$10,Paramètres!$A$1:$I$89,5,0)</f>
        <v>#N/A</v>
      </c>
      <c r="AK135" s="13" t="e">
        <f t="shared" si="143"/>
        <v>#N/A</v>
      </c>
      <c r="AL135" s="20" t="e">
        <f t="shared" si="112"/>
        <v>#N/A</v>
      </c>
      <c r="AM135" s="59" t="e">
        <f t="shared" si="113"/>
        <v>#N/A</v>
      </c>
      <c r="AN135" s="59" t="e">
        <f ca="1">AVERAGE(OFFSET($AM$3,0,0,'Données projet'!$E$10+1,1))-AVERAGE(OFFSET($H$3,0,0,'Données projet'!$E$10+1,1))</f>
        <v>#N/A</v>
      </c>
      <c r="AO135" s="59" t="e">
        <f t="shared" si="144"/>
        <v>#N/A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 t="e">
        <f>EXP(-LN(2)/35)*AU134+(1-EXP(-LN(2)/35))/(LN(2)/35)*AQ135*AR135*VLOOKUP('Données projet'!$B$10,Paramètres!$A$1:$I$89,3,0)*0.475*44/12</f>
        <v>#N/A</v>
      </c>
      <c r="AV135" s="21" t="e">
        <f>EXP(-LN(2)/25)*AV134+(1-EXP(-LN(2)/25))/(LN(2)/25)*Calculateur!AQ135*Calculateur!AS135*VLOOKUP('Données projet'!$B$10,Paramètres!$A$1:$I$89,3,0)*0.475*44/12</f>
        <v>#N/A</v>
      </c>
      <c r="AW135" s="21" t="e">
        <f>EXP(-LN(2)/2)*AW134+(1-EXP(-LN(2)/2))/(LN(2)/2)*AQ135*AT135*VLOOKUP('Données projet'!$B$10,Paramètres!$A$1:$I$89,3,0)*0.475*44/12</f>
        <v>#N/A</v>
      </c>
      <c r="AX135" s="21" t="e">
        <f t="shared" si="114"/>
        <v>#N/A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2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79.533999999999907</v>
      </c>
      <c r="D136" s="11">
        <f t="shared" si="140"/>
        <v>22.023205994903051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783.9503620659176</v>
      </c>
      <c r="H136" s="67">
        <f t="shared" si="110"/>
        <v>470.21213377445594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-5.6843418860808015E-14</v>
      </c>
      <c r="O136" s="13">
        <f>N136*VLOOKUP('Données projet'!$B$9,Paramètres!$A$1:$I$89,3,0)*VLOOKUP('Données projet'!$B$9,Paramètres!$A$1:$I$89,5,0)</f>
        <v>-3.3992364478763198E-14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232.5902129145469</v>
      </c>
      <c r="T136" s="59">
        <f t="shared" si="142"/>
        <v>340.94590122751879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33.947581610999109</v>
      </c>
      <c r="AA136" s="21">
        <f>EXP(-LN(2)/25)*AA135+(1-EXP(-LN(2)/25))/(LN(2)/25)*Calculateur!V136*Calculateur!X136*VLOOKUP('Données projet'!$B$9,Paramètres!$A$1:$I$89,3,0)*0.475*44/12</f>
        <v>1.8647702760328688</v>
      </c>
      <c r="AB136" s="21">
        <f>EXP(-LN(2)/2)*AB135+(1-EXP(-LN(2)/2))/(LN(2)/2)*V136*Y136*VLOOKUP('Données projet'!$B$9,Paramètres!$A$1:$I$89,3,0)*0.475*44/12</f>
        <v>7.791533601999727E-13</v>
      </c>
      <c r="AC136" s="22">
        <f t="shared" si="111"/>
        <v>35.812351887032762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0</v>
      </c>
      <c r="AJ136" s="13" t="e">
        <f>AI136*VLOOKUP('Données projet'!$B$10,Paramètres!$A$1:$I$89,3,0)*VLOOKUP('Données projet'!$B$10,Paramètres!$A$1:$I$89,5,0)</f>
        <v>#N/A</v>
      </c>
      <c r="AK136" s="13" t="e">
        <f t="shared" si="143"/>
        <v>#N/A</v>
      </c>
      <c r="AL136" s="20" t="e">
        <f t="shared" si="112"/>
        <v>#N/A</v>
      </c>
      <c r="AM136" s="59" t="e">
        <f t="shared" si="113"/>
        <v>#N/A</v>
      </c>
      <c r="AN136" s="59" t="e">
        <f ca="1">AVERAGE(OFFSET($AM$3,0,0,'Données projet'!$E$10+1,1))-AVERAGE(OFFSET($H$3,0,0,'Données projet'!$E$10+1,1))</f>
        <v>#N/A</v>
      </c>
      <c r="AO136" s="59" t="e">
        <f t="shared" si="144"/>
        <v>#N/A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 t="e">
        <f>EXP(-LN(2)/35)*AU135+(1-EXP(-LN(2)/35))/(LN(2)/35)*AQ136*AR136*VLOOKUP('Données projet'!$B$10,Paramètres!$A$1:$I$89,3,0)*0.475*44/12</f>
        <v>#N/A</v>
      </c>
      <c r="AV136" s="21" t="e">
        <f>EXP(-LN(2)/25)*AV135+(1-EXP(-LN(2)/25))/(LN(2)/25)*Calculateur!AQ136*Calculateur!AS136*VLOOKUP('Données projet'!$B$10,Paramètres!$A$1:$I$89,3,0)*0.475*44/12</f>
        <v>#N/A</v>
      </c>
      <c r="AW136" s="21" t="e">
        <f>EXP(-LN(2)/2)*AW135+(1-EXP(-LN(2)/2))/(LN(2)/2)*AQ136*AT136*VLOOKUP('Données projet'!$B$10,Paramètres!$A$1:$I$89,3,0)*0.475*44/12</f>
        <v>#N/A</v>
      </c>
      <c r="AX136" s="21" t="e">
        <f t="shared" si="114"/>
        <v>#N/A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2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80.131999999999906</v>
      </c>
      <c r="D137" s="11">
        <f t="shared" si="140"/>
        <v>22.16945571745314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789.69544764349723</v>
      </c>
      <c r="H137" s="67">
        <f t="shared" si="110"/>
        <v>471.50836870789738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-5.6843418860808015E-14</v>
      </c>
      <c r="O137" s="13">
        <f>N137*VLOOKUP('Données projet'!$B$9,Paramètres!$A$1:$I$89,3,0)*VLOOKUP('Données projet'!$B$9,Paramètres!$A$1:$I$89,5,0)</f>
        <v>-3.3992364478763198E-14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232.5902129145469</v>
      </c>
      <c r="T137" s="59">
        <f t="shared" si="142"/>
        <v>340.94590122751879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33.281890241587654</v>
      </c>
      <c r="AA137" s="21">
        <f>EXP(-LN(2)/25)*AA136+(1-EXP(-LN(2)/25))/(LN(2)/25)*Calculateur!V137*Calculateur!X137*VLOOKUP('Données projet'!$B$9,Paramètres!$A$1:$I$89,3,0)*0.475*44/12</f>
        <v>1.8137780347707433</v>
      </c>
      <c r="AB137" s="21">
        <f>EXP(-LN(2)/2)*AB136+(1-EXP(-LN(2)/2))/(LN(2)/2)*V137*Y137*VLOOKUP('Données projet'!$B$9,Paramètres!$A$1:$I$89,3,0)*0.475*44/12</f>
        <v>5.5094462458168533E-13</v>
      </c>
      <c r="AC137" s="22">
        <f t="shared" si="111"/>
        <v>35.09566827635895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0</v>
      </c>
      <c r="AJ137" s="13" t="e">
        <f>AI137*VLOOKUP('Données projet'!$B$10,Paramètres!$A$1:$I$89,3,0)*VLOOKUP('Données projet'!$B$10,Paramètres!$A$1:$I$89,5,0)</f>
        <v>#N/A</v>
      </c>
      <c r="AK137" s="13" t="e">
        <f t="shared" si="143"/>
        <v>#N/A</v>
      </c>
      <c r="AL137" s="20" t="e">
        <f t="shared" si="112"/>
        <v>#N/A</v>
      </c>
      <c r="AM137" s="59" t="e">
        <f t="shared" si="113"/>
        <v>#N/A</v>
      </c>
      <c r="AN137" s="59" t="e">
        <f ca="1">AVERAGE(OFFSET($AM$3,0,0,'Données projet'!$E$10+1,1))-AVERAGE(OFFSET($H$3,0,0,'Données projet'!$E$10+1,1))</f>
        <v>#N/A</v>
      </c>
      <c r="AO137" s="59" t="e">
        <f t="shared" si="144"/>
        <v>#N/A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 t="e">
        <f>EXP(-LN(2)/35)*AU136+(1-EXP(-LN(2)/35))/(LN(2)/35)*AQ137*AR137*VLOOKUP('Données projet'!$B$10,Paramètres!$A$1:$I$89,3,0)*0.475*44/12</f>
        <v>#N/A</v>
      </c>
      <c r="AV137" s="21" t="e">
        <f>EXP(-LN(2)/25)*AV136+(1-EXP(-LN(2)/25))/(LN(2)/25)*Calculateur!AQ137*Calculateur!AS137*VLOOKUP('Données projet'!$B$10,Paramètres!$A$1:$I$89,3,0)*0.475*44/12</f>
        <v>#N/A</v>
      </c>
      <c r="AW137" s="21" t="e">
        <f>EXP(-LN(2)/2)*AW136+(1-EXP(-LN(2)/2))/(LN(2)/2)*AQ137*AT137*VLOOKUP('Données projet'!$B$10,Paramètres!$A$1:$I$89,3,0)*0.475*44/12</f>
        <v>#N/A</v>
      </c>
      <c r="AX137" s="21" t="e">
        <f t="shared" si="114"/>
        <v>#N/A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2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80.729999999999905</v>
      </c>
      <c r="D138" s="11">
        <f t="shared" si="140"/>
        <v>22.31557845311416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795.4395529714069</v>
      </c>
      <c r="H138" s="67">
        <f t="shared" si="110"/>
        <v>472.80438247250697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-5.6843418860808015E-14</v>
      </c>
      <c r="O138" s="13">
        <f>N138*VLOOKUP('Données projet'!$B$9,Paramètres!$A$1:$I$89,3,0)*VLOOKUP('Données projet'!$B$9,Paramètres!$A$1:$I$89,5,0)</f>
        <v>-3.3992364478763198E-14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232.5902129145469</v>
      </c>
      <c r="T138" s="59">
        <f t="shared" si="142"/>
        <v>340.94590122751879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32.629252673898712</v>
      </c>
      <c r="AA138" s="21">
        <f>EXP(-LN(2)/25)*AA137+(1-EXP(-LN(2)/25))/(LN(2)/25)*Calculateur!V138*Calculateur!X138*VLOOKUP('Données projet'!$B$9,Paramètres!$A$1:$I$89,3,0)*0.475*44/12</f>
        <v>1.7641801790274958</v>
      </c>
      <c r="AB138" s="21">
        <f>EXP(-LN(2)/2)*AB137+(1-EXP(-LN(2)/2))/(LN(2)/2)*V138*Y138*VLOOKUP('Données projet'!$B$9,Paramètres!$A$1:$I$89,3,0)*0.475*44/12</f>
        <v>3.8957668009998635E-13</v>
      </c>
      <c r="AC138" s="22">
        <f t="shared" si="111"/>
        <v>34.393432852926601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0</v>
      </c>
      <c r="AJ138" s="13" t="e">
        <f>AI138*VLOOKUP('Données projet'!$B$10,Paramètres!$A$1:$I$89,3,0)*VLOOKUP('Données projet'!$B$10,Paramètres!$A$1:$I$89,5,0)</f>
        <v>#N/A</v>
      </c>
      <c r="AK138" s="13" t="e">
        <f t="shared" si="143"/>
        <v>#N/A</v>
      </c>
      <c r="AL138" s="20" t="e">
        <f t="shared" si="112"/>
        <v>#N/A</v>
      </c>
      <c r="AM138" s="59" t="e">
        <f t="shared" si="113"/>
        <v>#N/A</v>
      </c>
      <c r="AN138" s="59" t="e">
        <f ca="1">AVERAGE(OFFSET($AM$3,0,0,'Données projet'!$E$10+1,1))-AVERAGE(OFFSET($H$3,0,0,'Données projet'!$E$10+1,1))</f>
        <v>#N/A</v>
      </c>
      <c r="AO138" s="59" t="e">
        <f t="shared" si="144"/>
        <v>#N/A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 t="e">
        <f>EXP(-LN(2)/35)*AU137+(1-EXP(-LN(2)/35))/(LN(2)/35)*AQ138*AR138*VLOOKUP('Données projet'!$B$10,Paramètres!$A$1:$I$89,3,0)*0.475*44/12</f>
        <v>#N/A</v>
      </c>
      <c r="AV138" s="21" t="e">
        <f>EXP(-LN(2)/25)*AV137+(1-EXP(-LN(2)/25))/(LN(2)/25)*Calculateur!AQ138*Calculateur!AS138*VLOOKUP('Données projet'!$B$10,Paramètres!$A$1:$I$89,3,0)*0.475*44/12</f>
        <v>#N/A</v>
      </c>
      <c r="AW138" s="21" t="e">
        <f>EXP(-LN(2)/2)*AW137+(1-EXP(-LN(2)/2))/(LN(2)/2)*AQ138*AT138*VLOOKUP('Données projet'!$B$10,Paramètres!$A$1:$I$89,3,0)*0.475*44/12</f>
        <v>#N/A</v>
      </c>
      <c r="AX138" s="21" t="e">
        <f t="shared" si="114"/>
        <v>#N/A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2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81.327999999999903</v>
      </c>
      <c r="D139" s="11">
        <f t="shared" si="140"/>
        <v>22.461575251587284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801.18268615260297</v>
      </c>
      <c r="H139" s="67">
        <f t="shared" si="110"/>
        <v>474.10017689651431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-5.6843418860808015E-14</v>
      </c>
      <c r="O139" s="13">
        <f>N139*VLOOKUP('Données projet'!$B$9,Paramètres!$A$1:$I$89,3,0)*VLOOKUP('Données projet'!$B$9,Paramètres!$A$1:$I$89,5,0)</f>
        <v>-3.3992364478763198E-14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232.5902129145469</v>
      </c>
      <c r="T139" s="59">
        <f t="shared" si="142"/>
        <v>340.94590122751879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31.989412930842541</v>
      </c>
      <c r="AA139" s="21">
        <f>EXP(-LN(2)/25)*AA138+(1-EXP(-LN(2)/25))/(LN(2)/25)*Calculateur!V139*Calculateur!X139*VLOOKUP('Données projet'!$B$9,Paramètres!$A$1:$I$89,3,0)*0.475*44/12</f>
        <v>1.7159385792577855</v>
      </c>
      <c r="AB139" s="21">
        <f>EXP(-LN(2)/2)*AB138+(1-EXP(-LN(2)/2))/(LN(2)/2)*V139*Y139*VLOOKUP('Données projet'!$B$9,Paramètres!$A$1:$I$89,3,0)*0.475*44/12</f>
        <v>2.7547231229084267E-13</v>
      </c>
      <c r="AC139" s="22">
        <f t="shared" si="111"/>
        <v>33.705351510100606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0</v>
      </c>
      <c r="AJ139" s="13" t="e">
        <f>AI139*VLOOKUP('Données projet'!$B$10,Paramètres!$A$1:$I$89,3,0)*VLOOKUP('Données projet'!$B$10,Paramètres!$A$1:$I$89,5,0)</f>
        <v>#N/A</v>
      </c>
      <c r="AK139" s="13" t="e">
        <f t="shared" si="143"/>
        <v>#N/A</v>
      </c>
      <c r="AL139" s="20" t="e">
        <f t="shared" si="112"/>
        <v>#N/A</v>
      </c>
      <c r="AM139" s="59" t="e">
        <f t="shared" si="113"/>
        <v>#N/A</v>
      </c>
      <c r="AN139" s="59" t="e">
        <f ca="1">AVERAGE(OFFSET($AM$3,0,0,'Données projet'!$E$10+1,1))-AVERAGE(OFFSET($H$3,0,0,'Données projet'!$E$10+1,1))</f>
        <v>#N/A</v>
      </c>
      <c r="AO139" s="59" t="e">
        <f t="shared" si="144"/>
        <v>#N/A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 t="e">
        <f>EXP(-LN(2)/35)*AU138+(1-EXP(-LN(2)/35))/(LN(2)/35)*AQ139*AR139*VLOOKUP('Données projet'!$B$10,Paramètres!$A$1:$I$89,3,0)*0.475*44/12</f>
        <v>#N/A</v>
      </c>
      <c r="AV139" s="21" t="e">
        <f>EXP(-LN(2)/25)*AV138+(1-EXP(-LN(2)/25))/(LN(2)/25)*Calculateur!AQ139*Calculateur!AS139*VLOOKUP('Données projet'!$B$10,Paramètres!$A$1:$I$89,3,0)*0.475*44/12</f>
        <v>#N/A</v>
      </c>
      <c r="AW139" s="21" t="e">
        <f>EXP(-LN(2)/2)*AW138+(1-EXP(-LN(2)/2))/(LN(2)/2)*AQ139*AT139*VLOOKUP('Données projet'!$B$10,Paramètres!$A$1:$I$89,3,0)*0.475*44/12</f>
        <v>#N/A</v>
      </c>
      <c r="AX139" s="21" t="e">
        <f t="shared" si="114"/>
        <v>#N/A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2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81.925999999999902</v>
      </c>
      <c r="D140" s="11">
        <f t="shared" si="140"/>
        <v>22.607447146245129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806.92485516399677</v>
      </c>
      <c r="H140" s="67">
        <f t="shared" si="110"/>
        <v>475.39575377971011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-5.6843418860808015E-14</v>
      </c>
      <c r="O140" s="13">
        <f>N140*VLOOKUP('Données projet'!$B$9,Paramètres!$A$1:$I$89,3,0)*VLOOKUP('Données projet'!$B$9,Paramètres!$A$1:$I$89,5,0)</f>
        <v>-3.3992364478763198E-14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232.5902129145469</v>
      </c>
      <c r="T140" s="59">
        <f t="shared" si="142"/>
        <v>340.94590122751879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31.362120054883995</v>
      </c>
      <c r="AA140" s="21">
        <f>EXP(-LN(2)/25)*AA139+(1-EXP(-LN(2)/25))/(LN(2)/25)*Calculateur!V140*Calculateur!X140*VLOOKUP('Données projet'!$B$9,Paramètres!$A$1:$I$89,3,0)*0.475*44/12</f>
        <v>1.6690161485706934</v>
      </c>
      <c r="AB140" s="21">
        <f>EXP(-LN(2)/2)*AB139+(1-EXP(-LN(2)/2))/(LN(2)/2)*V140*Y140*VLOOKUP('Données projet'!$B$9,Paramètres!$A$1:$I$89,3,0)*0.475*44/12</f>
        <v>1.9478834004999317E-13</v>
      </c>
      <c r="AC140" s="22">
        <f t="shared" si="111"/>
        <v>33.031136203454878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0</v>
      </c>
      <c r="AJ140" s="13" t="e">
        <f>AI140*VLOOKUP('Données projet'!$B$10,Paramètres!$A$1:$I$89,3,0)*VLOOKUP('Données projet'!$B$10,Paramètres!$A$1:$I$89,5,0)</f>
        <v>#N/A</v>
      </c>
      <c r="AK140" s="13" t="e">
        <f t="shared" si="143"/>
        <v>#N/A</v>
      </c>
      <c r="AL140" s="20" t="e">
        <f t="shared" si="112"/>
        <v>#N/A</v>
      </c>
      <c r="AM140" s="59" t="e">
        <f t="shared" si="113"/>
        <v>#N/A</v>
      </c>
      <c r="AN140" s="59" t="e">
        <f ca="1">AVERAGE(OFFSET($AM$3,0,0,'Données projet'!$E$10+1,1))-AVERAGE(OFFSET($H$3,0,0,'Données projet'!$E$10+1,1))</f>
        <v>#N/A</v>
      </c>
      <c r="AO140" s="59" t="e">
        <f t="shared" si="144"/>
        <v>#N/A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 t="e">
        <f>EXP(-LN(2)/35)*AU139+(1-EXP(-LN(2)/35))/(LN(2)/35)*AQ140*AR140*VLOOKUP('Données projet'!$B$10,Paramètres!$A$1:$I$89,3,0)*0.475*44/12</f>
        <v>#N/A</v>
      </c>
      <c r="AV140" s="21" t="e">
        <f>EXP(-LN(2)/25)*AV139+(1-EXP(-LN(2)/25))/(LN(2)/25)*Calculateur!AQ140*Calculateur!AS140*VLOOKUP('Données projet'!$B$10,Paramètres!$A$1:$I$89,3,0)*0.475*44/12</f>
        <v>#N/A</v>
      </c>
      <c r="AW140" s="21" t="e">
        <f>EXP(-LN(2)/2)*AW139+(1-EXP(-LN(2)/2))/(LN(2)/2)*AQ140*AT140*VLOOKUP('Données projet'!$B$10,Paramètres!$A$1:$I$89,3,0)*0.475*44/12</f>
        <v>#N/A</v>
      </c>
      <c r="AX140" s="21" t="e">
        <f t="shared" si="114"/>
        <v>#N/A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2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82.523999999999901</v>
      </c>
      <c r="D141" s="11">
        <f t="shared" si="140"/>
        <v>22.75319515450283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812.66606785931936</v>
      </c>
      <c r="H141" s="67">
        <f t="shared" si="110"/>
        <v>476.69111489409227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-5.6843418860808015E-14</v>
      </c>
      <c r="O141" s="13">
        <f>N141*VLOOKUP('Données projet'!$B$9,Paramètres!$A$1:$I$89,3,0)*VLOOKUP('Données projet'!$B$9,Paramètres!$A$1:$I$89,5,0)</f>
        <v>-3.3992364478763198E-14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232.5902129145469</v>
      </c>
      <c r="T141" s="59">
        <f t="shared" si="142"/>
        <v>340.94590122751879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30.747128009612123</v>
      </c>
      <c r="AA141" s="21">
        <f>EXP(-LN(2)/25)*AA140+(1-EXP(-LN(2)/25))/(LN(2)/25)*Calculateur!V141*Calculateur!X141*VLOOKUP('Données projet'!$B$9,Paramètres!$A$1:$I$89,3,0)*0.475*44/12</f>
        <v>1.6233768142182832</v>
      </c>
      <c r="AB141" s="21">
        <f>EXP(-LN(2)/2)*AB140+(1-EXP(-LN(2)/2))/(LN(2)/2)*V141*Y141*VLOOKUP('Données projet'!$B$9,Paramètres!$A$1:$I$89,3,0)*0.475*44/12</f>
        <v>1.3773615614542133E-13</v>
      </c>
      <c r="AC141" s="22">
        <f t="shared" si="111"/>
        <v>32.370504823830544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0</v>
      </c>
      <c r="AJ141" s="13" t="e">
        <f>AI141*VLOOKUP('Données projet'!$B$10,Paramètres!$A$1:$I$89,3,0)*VLOOKUP('Données projet'!$B$10,Paramètres!$A$1:$I$89,5,0)</f>
        <v>#N/A</v>
      </c>
      <c r="AK141" s="13" t="e">
        <f t="shared" si="143"/>
        <v>#N/A</v>
      </c>
      <c r="AL141" s="20" t="e">
        <f t="shared" si="112"/>
        <v>#N/A</v>
      </c>
      <c r="AM141" s="59" t="e">
        <f t="shared" si="113"/>
        <v>#N/A</v>
      </c>
      <c r="AN141" s="59" t="e">
        <f ca="1">AVERAGE(OFFSET($AM$3,0,0,'Données projet'!$E$10+1,1))-AVERAGE(OFFSET($H$3,0,0,'Données projet'!$E$10+1,1))</f>
        <v>#N/A</v>
      </c>
      <c r="AO141" s="59" t="e">
        <f t="shared" si="144"/>
        <v>#N/A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 t="e">
        <f>EXP(-LN(2)/35)*AU140+(1-EXP(-LN(2)/35))/(LN(2)/35)*AQ141*AR141*VLOOKUP('Données projet'!$B$10,Paramètres!$A$1:$I$89,3,0)*0.475*44/12</f>
        <v>#N/A</v>
      </c>
      <c r="AV141" s="21" t="e">
        <f>EXP(-LN(2)/25)*AV140+(1-EXP(-LN(2)/25))/(LN(2)/25)*Calculateur!AQ141*Calculateur!AS141*VLOOKUP('Données projet'!$B$10,Paramètres!$A$1:$I$89,3,0)*0.475*44/12</f>
        <v>#N/A</v>
      </c>
      <c r="AW141" s="21" t="e">
        <f>EXP(-LN(2)/2)*AW140+(1-EXP(-LN(2)/2))/(LN(2)/2)*AQ141*AT141*VLOOKUP('Données projet'!$B$10,Paramètres!$A$1:$I$89,3,0)*0.475*44/12</f>
        <v>#N/A</v>
      </c>
      <c r="AX141" s="21" t="e">
        <f t="shared" si="114"/>
        <v>#N/A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2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83.1219999999999</v>
      </c>
      <c r="D142" s="11">
        <f t="shared" si="140"/>
        <v>22.898820278178491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818.40633197190346</v>
      </c>
      <c r="H142" s="67">
        <f t="shared" si="110"/>
        <v>477.98626198449398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-5.6843418860808015E-14</v>
      </c>
      <c r="O142" s="13">
        <f>N142*VLOOKUP('Données projet'!$B$9,Paramètres!$A$1:$I$89,3,0)*VLOOKUP('Données projet'!$B$9,Paramètres!$A$1:$I$89,5,0)</f>
        <v>-3.3992364478763198E-14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232.5902129145469</v>
      </c>
      <c r="T142" s="59">
        <f t="shared" si="142"/>
        <v>340.94590122751879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30.14419558323992</v>
      </c>
      <c r="AA142" s="21">
        <f>EXP(-LN(2)/25)*AA141+(1-EXP(-LN(2)/25))/(LN(2)/25)*Calculateur!V142*Calculateur!X142*VLOOKUP('Données projet'!$B$9,Paramètres!$A$1:$I$89,3,0)*0.475*44/12</f>
        <v>1.5789854898638078</v>
      </c>
      <c r="AB142" s="21">
        <f>EXP(-LN(2)/2)*AB141+(1-EXP(-LN(2)/2))/(LN(2)/2)*V142*Y142*VLOOKUP('Données projet'!$B$9,Paramètres!$A$1:$I$89,3,0)*0.475*44/12</f>
        <v>9.7394170024996587E-14</v>
      </c>
      <c r="AC142" s="22">
        <f t="shared" si="111"/>
        <v>31.723181073103824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0</v>
      </c>
      <c r="AJ142" s="13" t="e">
        <f>AI142*VLOOKUP('Données projet'!$B$10,Paramètres!$A$1:$I$89,3,0)*VLOOKUP('Données projet'!$B$10,Paramètres!$A$1:$I$89,5,0)</f>
        <v>#N/A</v>
      </c>
      <c r="AK142" s="13" t="e">
        <f t="shared" si="143"/>
        <v>#N/A</v>
      </c>
      <c r="AL142" s="20" t="e">
        <f t="shared" si="112"/>
        <v>#N/A</v>
      </c>
      <c r="AM142" s="59" t="e">
        <f t="shared" si="113"/>
        <v>#N/A</v>
      </c>
      <c r="AN142" s="59" t="e">
        <f ca="1">AVERAGE(OFFSET($AM$3,0,0,'Données projet'!$E$10+1,1))-AVERAGE(OFFSET($H$3,0,0,'Données projet'!$E$10+1,1))</f>
        <v>#N/A</v>
      </c>
      <c r="AO142" s="59" t="e">
        <f t="shared" si="144"/>
        <v>#N/A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 t="e">
        <f>EXP(-LN(2)/35)*AU141+(1-EXP(-LN(2)/35))/(LN(2)/35)*AQ142*AR142*VLOOKUP('Données projet'!$B$10,Paramètres!$A$1:$I$89,3,0)*0.475*44/12</f>
        <v>#N/A</v>
      </c>
      <c r="AV142" s="21" t="e">
        <f>EXP(-LN(2)/25)*AV141+(1-EXP(-LN(2)/25))/(LN(2)/25)*Calculateur!AQ142*Calculateur!AS142*VLOOKUP('Données projet'!$B$10,Paramètres!$A$1:$I$89,3,0)*0.475*44/12</f>
        <v>#N/A</v>
      </c>
      <c r="AW142" s="21" t="e">
        <f>EXP(-LN(2)/2)*AW141+(1-EXP(-LN(2)/2))/(LN(2)/2)*AQ142*AT142*VLOOKUP('Données projet'!$B$10,Paramètres!$A$1:$I$89,3,0)*0.475*44/12</f>
        <v>#N/A</v>
      </c>
      <c r="AX142" s="21" t="e">
        <f t="shared" si="114"/>
        <v>#N/A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2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83.719999999999899</v>
      </c>
      <c r="D143" s="11">
        <f t="shared" si="140"/>
        <v>23.044323503842559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824.14565511738044</v>
      </c>
      <c r="H143" s="67">
        <f t="shared" si="110"/>
        <v>479.28119676919226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-5.6843418860808015E-14</v>
      </c>
      <c r="O143" s="13">
        <f>N143*VLOOKUP('Données projet'!$B$9,Paramètres!$A$1:$I$89,3,0)*VLOOKUP('Données projet'!$B$9,Paramètres!$A$1:$I$89,5,0)</f>
        <v>-3.3992364478763198E-14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232.5902129145469</v>
      </c>
      <c r="T143" s="59">
        <f t="shared" si="142"/>
        <v>340.94590122751879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29.553086293996412</v>
      </c>
      <c r="AA143" s="21">
        <f>EXP(-LN(2)/25)*AA142+(1-EXP(-LN(2)/25))/(LN(2)/25)*Calculateur!V143*Calculateur!X143*VLOOKUP('Données projet'!$B$9,Paramètres!$A$1:$I$89,3,0)*0.475*44/12</f>
        <v>1.5358080486082439</v>
      </c>
      <c r="AB143" s="21">
        <f>EXP(-LN(2)/2)*AB142+(1-EXP(-LN(2)/2))/(LN(2)/2)*V143*Y143*VLOOKUP('Données projet'!$B$9,Paramètres!$A$1:$I$89,3,0)*0.475*44/12</f>
        <v>6.8868078072710666E-14</v>
      </c>
      <c r="AC143" s="22">
        <f t="shared" si="111"/>
        <v>31.088894342604721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0</v>
      </c>
      <c r="AJ143" s="13" t="e">
        <f>AI143*VLOOKUP('Données projet'!$B$10,Paramètres!$A$1:$I$89,3,0)*VLOOKUP('Données projet'!$B$10,Paramètres!$A$1:$I$89,5,0)</f>
        <v>#N/A</v>
      </c>
      <c r="AK143" s="13" t="e">
        <f t="shared" si="143"/>
        <v>#N/A</v>
      </c>
      <c r="AL143" s="20" t="e">
        <f t="shared" si="112"/>
        <v>#N/A</v>
      </c>
      <c r="AM143" s="59" t="e">
        <f t="shared" si="113"/>
        <v>#N/A</v>
      </c>
      <c r="AN143" s="59" t="e">
        <f ca="1">AVERAGE(OFFSET($AM$3,0,0,'Données projet'!$E$10+1,1))-AVERAGE(OFFSET($H$3,0,0,'Données projet'!$E$10+1,1))</f>
        <v>#N/A</v>
      </c>
      <c r="AO143" s="59" t="e">
        <f t="shared" si="144"/>
        <v>#N/A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 t="e">
        <f>EXP(-LN(2)/35)*AU142+(1-EXP(-LN(2)/35))/(LN(2)/35)*AQ143*AR143*VLOOKUP('Données projet'!$B$10,Paramètres!$A$1:$I$89,3,0)*0.475*44/12</f>
        <v>#N/A</v>
      </c>
      <c r="AV143" s="21" t="e">
        <f>EXP(-LN(2)/25)*AV142+(1-EXP(-LN(2)/25))/(LN(2)/25)*Calculateur!AQ143*Calculateur!AS143*VLOOKUP('Données projet'!$B$10,Paramètres!$A$1:$I$89,3,0)*0.475*44/12</f>
        <v>#N/A</v>
      </c>
      <c r="AW143" s="21" t="e">
        <f>EXP(-LN(2)/2)*AW142+(1-EXP(-LN(2)/2))/(LN(2)/2)*AQ143*AT143*VLOOKUP('Données projet'!$B$10,Paramètres!$A$1:$I$89,3,0)*0.475*44/12</f>
        <v>#N/A</v>
      </c>
      <c r="AX143" s="21" t="e">
        <f t="shared" si="114"/>
        <v>#N/A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2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84.317999999999898</v>
      </c>
      <c r="D144" s="11">
        <f t="shared" si="140"/>
        <v>23.189705803157228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829.8840447963006</v>
      </c>
      <c r="H144" s="67">
        <f t="shared" si="110"/>
        <v>480.57592094049863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-5.6843418860808015E-14</v>
      </c>
      <c r="O144" s="13">
        <f>N144*VLOOKUP('Données projet'!$B$9,Paramètres!$A$1:$I$89,3,0)*VLOOKUP('Données projet'!$B$9,Paramètres!$A$1:$I$89,5,0)</f>
        <v>-3.3992364478763198E-14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232.5902129145469</v>
      </c>
      <c r="T144" s="59">
        <f t="shared" si="142"/>
        <v>340.94590122751879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28.973568297373902</v>
      </c>
      <c r="AA144" s="21">
        <f>EXP(-LN(2)/25)*AA143+(1-EXP(-LN(2)/25))/(LN(2)/25)*Calculateur!V144*Calculateur!X144*VLOOKUP('Données projet'!$B$9,Paramètres!$A$1:$I$89,3,0)*0.475*44/12</f>
        <v>1.4938112967544164</v>
      </c>
      <c r="AB144" s="21">
        <f>EXP(-LN(2)/2)*AB143+(1-EXP(-LN(2)/2))/(LN(2)/2)*V144*Y144*VLOOKUP('Données projet'!$B$9,Paramètres!$A$1:$I$89,3,0)*0.475*44/12</f>
        <v>4.8697085012498294E-14</v>
      </c>
      <c r="AC144" s="22">
        <f t="shared" si="111"/>
        <v>30.467379594128367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0</v>
      </c>
      <c r="AJ144" s="13" t="e">
        <f>AI144*VLOOKUP('Données projet'!$B$10,Paramètres!$A$1:$I$89,3,0)*VLOOKUP('Données projet'!$B$10,Paramètres!$A$1:$I$89,5,0)</f>
        <v>#N/A</v>
      </c>
      <c r="AK144" s="13" t="e">
        <f t="shared" si="143"/>
        <v>#N/A</v>
      </c>
      <c r="AL144" s="20" t="e">
        <f t="shared" si="112"/>
        <v>#N/A</v>
      </c>
      <c r="AM144" s="59" t="e">
        <f t="shared" si="113"/>
        <v>#N/A</v>
      </c>
      <c r="AN144" s="59" t="e">
        <f ca="1">AVERAGE(OFFSET($AM$3,0,0,'Données projet'!$E$10+1,1))-AVERAGE(OFFSET($H$3,0,0,'Données projet'!$E$10+1,1))</f>
        <v>#N/A</v>
      </c>
      <c r="AO144" s="59" t="e">
        <f t="shared" si="144"/>
        <v>#N/A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 t="e">
        <f>EXP(-LN(2)/35)*AU143+(1-EXP(-LN(2)/35))/(LN(2)/35)*AQ144*AR144*VLOOKUP('Données projet'!$B$10,Paramètres!$A$1:$I$89,3,0)*0.475*44/12</f>
        <v>#N/A</v>
      </c>
      <c r="AV144" s="21" t="e">
        <f>EXP(-LN(2)/25)*AV143+(1-EXP(-LN(2)/25))/(LN(2)/25)*Calculateur!AQ144*Calculateur!AS144*VLOOKUP('Données projet'!$B$10,Paramètres!$A$1:$I$89,3,0)*0.475*44/12</f>
        <v>#N/A</v>
      </c>
      <c r="AW144" s="21" t="e">
        <f>EXP(-LN(2)/2)*AW143+(1-EXP(-LN(2)/2))/(LN(2)/2)*AQ144*AT144*VLOOKUP('Données projet'!$B$10,Paramètres!$A$1:$I$89,3,0)*0.475*44/12</f>
        <v>#N/A</v>
      </c>
      <c r="AX144" s="21" t="e">
        <f t="shared" si="114"/>
        <v>#N/A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2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84.915999999999897</v>
      </c>
      <c r="D145" s="11">
        <f t="shared" si="140"/>
        <v>23.334968133205699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835.62150839667481</v>
      </c>
      <c r="H145" s="67">
        <f t="shared" si="110"/>
        <v>481.87043616533305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-5.6843418860808015E-14</v>
      </c>
      <c r="O145" s="13">
        <f>N145*VLOOKUP('Données projet'!$B$9,Paramètres!$A$1:$I$89,3,0)*VLOOKUP('Données projet'!$B$9,Paramètres!$A$1:$I$89,5,0)</f>
        <v>-3.3992364478763198E-14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232.5902129145469</v>
      </c>
      <c r="T145" s="59">
        <f t="shared" si="142"/>
        <v>340.94590122751879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28.405414295194081</v>
      </c>
      <c r="AA145" s="21">
        <f>EXP(-LN(2)/25)*AA144+(1-EXP(-LN(2)/25))/(LN(2)/25)*Calculateur!V145*Calculateur!X145*VLOOKUP('Données projet'!$B$9,Paramètres!$A$1:$I$89,3,0)*0.475*44/12</f>
        <v>1.4529629482885449</v>
      </c>
      <c r="AB145" s="21">
        <f>EXP(-LN(2)/2)*AB144+(1-EXP(-LN(2)/2))/(LN(2)/2)*V145*Y145*VLOOKUP('Données projet'!$B$9,Paramètres!$A$1:$I$89,3,0)*0.475*44/12</f>
        <v>3.4434039036355333E-14</v>
      </c>
      <c r="AC145" s="22">
        <f t="shared" si="111"/>
        <v>29.858377243482661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0</v>
      </c>
      <c r="AJ145" s="13" t="e">
        <f>AI145*VLOOKUP('Données projet'!$B$10,Paramètres!$A$1:$I$89,3,0)*VLOOKUP('Données projet'!$B$10,Paramètres!$A$1:$I$89,5,0)</f>
        <v>#N/A</v>
      </c>
      <c r="AK145" s="13" t="e">
        <f t="shared" si="143"/>
        <v>#N/A</v>
      </c>
      <c r="AL145" s="20" t="e">
        <f t="shared" si="112"/>
        <v>#N/A</v>
      </c>
      <c r="AM145" s="59" t="e">
        <f t="shared" si="113"/>
        <v>#N/A</v>
      </c>
      <c r="AN145" s="59" t="e">
        <f ca="1">AVERAGE(OFFSET($AM$3,0,0,'Données projet'!$E$10+1,1))-AVERAGE(OFFSET($H$3,0,0,'Données projet'!$E$10+1,1))</f>
        <v>#N/A</v>
      </c>
      <c r="AO145" s="59" t="e">
        <f t="shared" si="144"/>
        <v>#N/A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 t="e">
        <f>EXP(-LN(2)/35)*AU144+(1-EXP(-LN(2)/35))/(LN(2)/35)*AQ145*AR145*VLOOKUP('Données projet'!$B$10,Paramètres!$A$1:$I$89,3,0)*0.475*44/12</f>
        <v>#N/A</v>
      </c>
      <c r="AV145" s="21" t="e">
        <f>EXP(-LN(2)/25)*AV144+(1-EXP(-LN(2)/25))/(LN(2)/25)*Calculateur!AQ145*Calculateur!AS145*VLOOKUP('Données projet'!$B$10,Paramètres!$A$1:$I$89,3,0)*0.475*44/12</f>
        <v>#N/A</v>
      </c>
      <c r="AW145" s="21" t="e">
        <f>EXP(-LN(2)/2)*AW144+(1-EXP(-LN(2)/2))/(LN(2)/2)*AQ145*AT145*VLOOKUP('Données projet'!$B$10,Paramètres!$A$1:$I$89,3,0)*0.475*44/12</f>
        <v>#N/A</v>
      </c>
      <c r="AX145" s="21" t="e">
        <f t="shared" si="114"/>
        <v>#N/A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2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85.513999999999896</v>
      </c>
      <c r="D146" s="11">
        <f t="shared" si="140"/>
        <v>23.480111436812148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841.35805319644396</v>
      </c>
      <c r="H146" s="67">
        <f t="shared" si="110"/>
        <v>483.16474408578097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-5.6843418860808015E-14</v>
      </c>
      <c r="O146" s="13">
        <f>N146*VLOOKUP('Données projet'!$B$9,Paramètres!$A$1:$I$89,3,0)*VLOOKUP('Données projet'!$B$9,Paramètres!$A$1:$I$89,5,0)</f>
        <v>-3.3992364478763198E-14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232.5902129145469</v>
      </c>
      <c r="T146" s="59">
        <f t="shared" si="142"/>
        <v>340.94590122751879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27.848401446457284</v>
      </c>
      <c r="AA146" s="21">
        <f>EXP(-LN(2)/25)*AA145+(1-EXP(-LN(2)/25))/(LN(2)/25)*Calculateur!V146*Calculateur!X146*VLOOKUP('Données projet'!$B$9,Paramètres!$A$1:$I$89,3,0)*0.475*44/12</f>
        <v>1.4132316000595939</v>
      </c>
      <c r="AB146" s="21">
        <f>EXP(-LN(2)/2)*AB145+(1-EXP(-LN(2)/2))/(LN(2)/2)*V146*Y146*VLOOKUP('Données projet'!$B$9,Paramètres!$A$1:$I$89,3,0)*0.475*44/12</f>
        <v>2.4348542506249147E-14</v>
      </c>
      <c r="AC146" s="22">
        <f t="shared" si="111"/>
        <v>29.261633046516902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0</v>
      </c>
      <c r="AJ146" s="13" t="e">
        <f>AI146*VLOOKUP('Données projet'!$B$10,Paramètres!$A$1:$I$89,3,0)*VLOOKUP('Données projet'!$B$10,Paramètres!$A$1:$I$89,5,0)</f>
        <v>#N/A</v>
      </c>
      <c r="AK146" s="13" t="e">
        <f t="shared" si="143"/>
        <v>#N/A</v>
      </c>
      <c r="AL146" s="20" t="e">
        <f t="shared" si="112"/>
        <v>#N/A</v>
      </c>
      <c r="AM146" s="59" t="e">
        <f t="shared" si="113"/>
        <v>#N/A</v>
      </c>
      <c r="AN146" s="59" t="e">
        <f ca="1">AVERAGE(OFFSET($AM$3,0,0,'Données projet'!$E$10+1,1))-AVERAGE(OFFSET($H$3,0,0,'Données projet'!$E$10+1,1))</f>
        <v>#N/A</v>
      </c>
      <c r="AO146" s="59" t="e">
        <f t="shared" si="144"/>
        <v>#N/A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 t="e">
        <f>EXP(-LN(2)/35)*AU145+(1-EXP(-LN(2)/35))/(LN(2)/35)*AQ146*AR146*VLOOKUP('Données projet'!$B$10,Paramètres!$A$1:$I$89,3,0)*0.475*44/12</f>
        <v>#N/A</v>
      </c>
      <c r="AV146" s="21" t="e">
        <f>EXP(-LN(2)/25)*AV145+(1-EXP(-LN(2)/25))/(LN(2)/25)*Calculateur!AQ146*Calculateur!AS146*VLOOKUP('Données projet'!$B$10,Paramètres!$A$1:$I$89,3,0)*0.475*44/12</f>
        <v>#N/A</v>
      </c>
      <c r="AW146" s="21" t="e">
        <f>EXP(-LN(2)/2)*AW145+(1-EXP(-LN(2)/2))/(LN(2)/2)*AQ146*AT146*VLOOKUP('Données projet'!$B$10,Paramètres!$A$1:$I$89,3,0)*0.475*44/12</f>
        <v>#N/A</v>
      </c>
      <c r="AX146" s="21" t="e">
        <f t="shared" si="114"/>
        <v>#N/A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2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86.111999999999895</v>
      </c>
      <c r="D147" s="11">
        <f t="shared" si="140"/>
        <v>23.625136642852276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847.09368636587635</v>
      </c>
      <c r="H147" s="67">
        <f t="shared" si="110"/>
        <v>484.45884631963418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-5.6843418860808015E-14</v>
      </c>
      <c r="O147" s="13">
        <f>N147*VLOOKUP('Données projet'!$B$9,Paramètres!$A$1:$I$89,3,0)*VLOOKUP('Données projet'!$B$9,Paramètres!$A$1:$I$89,5,0)</f>
        <v>-3.3992364478763198E-14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232.5902129145469</v>
      </c>
      <c r="T147" s="59">
        <f t="shared" si="142"/>
        <v>340.94590122751879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27.302311279939925</v>
      </c>
      <c r="AA147" s="21">
        <f>EXP(-LN(2)/25)*AA146+(1-EXP(-LN(2)/25))/(LN(2)/25)*Calculateur!V147*Calculateur!X147*VLOOKUP('Données projet'!$B$9,Paramètres!$A$1:$I$89,3,0)*0.475*44/12</f>
        <v>1.3745867076373444</v>
      </c>
      <c r="AB147" s="21">
        <f>EXP(-LN(2)/2)*AB146+(1-EXP(-LN(2)/2))/(LN(2)/2)*V147*Y147*VLOOKUP('Données projet'!$B$9,Paramètres!$A$1:$I$89,3,0)*0.475*44/12</f>
        <v>1.7217019518177667E-14</v>
      </c>
      <c r="AC147" s="22">
        <f t="shared" si="111"/>
        <v>28.676897987577288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0</v>
      </c>
      <c r="AJ147" s="13" t="e">
        <f>AI147*VLOOKUP('Données projet'!$B$10,Paramètres!$A$1:$I$89,3,0)*VLOOKUP('Données projet'!$B$10,Paramètres!$A$1:$I$89,5,0)</f>
        <v>#N/A</v>
      </c>
      <c r="AK147" s="13" t="e">
        <f t="shared" si="143"/>
        <v>#N/A</v>
      </c>
      <c r="AL147" s="20" t="e">
        <f t="shared" si="112"/>
        <v>#N/A</v>
      </c>
      <c r="AM147" s="59" t="e">
        <f t="shared" si="113"/>
        <v>#N/A</v>
      </c>
      <c r="AN147" s="59" t="e">
        <f ca="1">AVERAGE(OFFSET($AM$3,0,0,'Données projet'!$E$10+1,1))-AVERAGE(OFFSET($H$3,0,0,'Données projet'!$E$10+1,1))</f>
        <v>#N/A</v>
      </c>
      <c r="AO147" s="59" t="e">
        <f t="shared" si="144"/>
        <v>#N/A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 t="e">
        <f>EXP(-LN(2)/35)*AU146+(1-EXP(-LN(2)/35))/(LN(2)/35)*AQ147*AR147*VLOOKUP('Données projet'!$B$10,Paramètres!$A$1:$I$89,3,0)*0.475*44/12</f>
        <v>#N/A</v>
      </c>
      <c r="AV147" s="21" t="e">
        <f>EXP(-LN(2)/25)*AV146+(1-EXP(-LN(2)/25))/(LN(2)/25)*Calculateur!AQ147*Calculateur!AS147*VLOOKUP('Données projet'!$B$10,Paramètres!$A$1:$I$89,3,0)*0.475*44/12</f>
        <v>#N/A</v>
      </c>
      <c r="AW147" s="21" t="e">
        <f>EXP(-LN(2)/2)*AW146+(1-EXP(-LN(2)/2))/(LN(2)/2)*AQ147*AT147*VLOOKUP('Données projet'!$B$10,Paramètres!$A$1:$I$89,3,0)*0.475*44/12</f>
        <v>#N/A</v>
      </c>
      <c r="AX147" s="21" t="e">
        <f t="shared" si="114"/>
        <v>#N/A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2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86.709999999999894</v>
      </c>
      <c r="D148" s="11">
        <f t="shared" si="140"/>
        <v>23.770044666555076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852.82841496989806</v>
      </c>
      <c r="H148" s="67">
        <f t="shared" si="110"/>
        <v>485.75274446091657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-5.6843418860808015E-14</v>
      </c>
      <c r="O148" s="13">
        <f>N148*VLOOKUP('Données projet'!$B$9,Paramètres!$A$1:$I$89,3,0)*VLOOKUP('Données projet'!$B$9,Paramètres!$A$1:$I$89,5,0)</f>
        <v>-3.3992364478763198E-14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232.5902129145469</v>
      </c>
      <c r="T148" s="59">
        <f t="shared" si="142"/>
        <v>340.94590122751879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26.766929608505858</v>
      </c>
      <c r="AA148" s="21">
        <f>EXP(-LN(2)/25)*AA147+(1-EXP(-LN(2)/25))/(LN(2)/25)*Calculateur!V148*Calculateur!X148*VLOOKUP('Données projet'!$B$9,Paramètres!$A$1:$I$89,3,0)*0.475*44/12</f>
        <v>1.3369985618306279</v>
      </c>
      <c r="AB148" s="21">
        <f>EXP(-LN(2)/2)*AB147+(1-EXP(-LN(2)/2))/(LN(2)/2)*V148*Y148*VLOOKUP('Données projet'!$B$9,Paramètres!$A$1:$I$89,3,0)*0.475*44/12</f>
        <v>1.2174271253124573E-14</v>
      </c>
      <c r="AC148" s="22">
        <f t="shared" si="111"/>
        <v>28.103928170336498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0</v>
      </c>
      <c r="AJ148" s="13" t="e">
        <f>AI148*VLOOKUP('Données projet'!$B$10,Paramètres!$A$1:$I$89,3,0)*VLOOKUP('Données projet'!$B$10,Paramètres!$A$1:$I$89,5,0)</f>
        <v>#N/A</v>
      </c>
      <c r="AK148" s="13" t="e">
        <f t="shared" si="143"/>
        <v>#N/A</v>
      </c>
      <c r="AL148" s="20" t="e">
        <f t="shared" si="112"/>
        <v>#N/A</v>
      </c>
      <c r="AM148" s="59" t="e">
        <f t="shared" si="113"/>
        <v>#N/A</v>
      </c>
      <c r="AN148" s="59" t="e">
        <f ca="1">AVERAGE(OFFSET($AM$3,0,0,'Données projet'!$E$10+1,1))-AVERAGE(OFFSET($H$3,0,0,'Données projet'!$E$10+1,1))</f>
        <v>#N/A</v>
      </c>
      <c r="AO148" s="59" t="e">
        <f t="shared" si="144"/>
        <v>#N/A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 t="e">
        <f>EXP(-LN(2)/35)*AU147+(1-EXP(-LN(2)/35))/(LN(2)/35)*AQ148*AR148*VLOOKUP('Données projet'!$B$10,Paramètres!$A$1:$I$89,3,0)*0.475*44/12</f>
        <v>#N/A</v>
      </c>
      <c r="AV148" s="21" t="e">
        <f>EXP(-LN(2)/25)*AV147+(1-EXP(-LN(2)/25))/(LN(2)/25)*Calculateur!AQ148*Calculateur!AS148*VLOOKUP('Données projet'!$B$10,Paramètres!$A$1:$I$89,3,0)*0.475*44/12</f>
        <v>#N/A</v>
      </c>
      <c r="AW148" s="21" t="e">
        <f>EXP(-LN(2)/2)*AW147+(1-EXP(-LN(2)/2))/(LN(2)/2)*AQ148*AT148*VLOOKUP('Données projet'!$B$10,Paramètres!$A$1:$I$89,3,0)*0.475*44/12</f>
        <v>#N/A</v>
      </c>
      <c r="AX148" s="21" t="e">
        <f t="shared" si="114"/>
        <v>#N/A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2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87.307999999999893</v>
      </c>
      <c r="D149" s="11">
        <f t="shared" si="140"/>
        <v>23.914836409796042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858.56224597035452</v>
      </c>
      <c r="H149" s="67">
        <f t="shared" si="110"/>
        <v>487.04644008039458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-5.6843418860808015E-14</v>
      </c>
      <c r="O149" s="13">
        <f>N149*VLOOKUP('Données projet'!$B$9,Paramètres!$A$1:$I$89,3,0)*VLOOKUP('Données projet'!$B$9,Paramètres!$A$1:$I$89,5,0)</f>
        <v>-3.3992364478763198E-14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232.5902129145469</v>
      </c>
      <c r="T149" s="59">
        <f t="shared" si="142"/>
        <v>340.94590122751879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26.24204644509804</v>
      </c>
      <c r="AA149" s="21">
        <f>EXP(-LN(2)/25)*AA148+(1-EXP(-LN(2)/25))/(LN(2)/25)*Calculateur!V149*Calculateur!X149*VLOOKUP('Données projet'!$B$9,Paramètres!$A$1:$I$89,3,0)*0.475*44/12</f>
        <v>1.3004382658476707</v>
      </c>
      <c r="AB149" s="21">
        <f>EXP(-LN(2)/2)*AB148+(1-EXP(-LN(2)/2))/(LN(2)/2)*V149*Y149*VLOOKUP('Données projet'!$B$9,Paramètres!$A$1:$I$89,3,0)*0.475*44/12</f>
        <v>8.6085097590888333E-15</v>
      </c>
      <c r="AC149" s="22">
        <f t="shared" si="111"/>
        <v>27.542484710945718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0</v>
      </c>
      <c r="AJ149" s="13" t="e">
        <f>AI149*VLOOKUP('Données projet'!$B$10,Paramètres!$A$1:$I$89,3,0)*VLOOKUP('Données projet'!$B$10,Paramètres!$A$1:$I$89,5,0)</f>
        <v>#N/A</v>
      </c>
      <c r="AK149" s="13" t="e">
        <f t="shared" si="143"/>
        <v>#N/A</v>
      </c>
      <c r="AL149" s="20" t="e">
        <f t="shared" si="112"/>
        <v>#N/A</v>
      </c>
      <c r="AM149" s="59" t="e">
        <f t="shared" si="113"/>
        <v>#N/A</v>
      </c>
      <c r="AN149" s="59" t="e">
        <f ca="1">AVERAGE(OFFSET($AM$3,0,0,'Données projet'!$E$10+1,1))-AVERAGE(OFFSET($H$3,0,0,'Données projet'!$E$10+1,1))</f>
        <v>#N/A</v>
      </c>
      <c r="AO149" s="59" t="e">
        <f t="shared" si="144"/>
        <v>#N/A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 t="e">
        <f>EXP(-LN(2)/35)*AU148+(1-EXP(-LN(2)/35))/(LN(2)/35)*AQ149*AR149*VLOOKUP('Données projet'!$B$10,Paramètres!$A$1:$I$89,3,0)*0.475*44/12</f>
        <v>#N/A</v>
      </c>
      <c r="AV149" s="21" t="e">
        <f>EXP(-LN(2)/25)*AV148+(1-EXP(-LN(2)/25))/(LN(2)/25)*Calculateur!AQ149*Calculateur!AS149*VLOOKUP('Données projet'!$B$10,Paramètres!$A$1:$I$89,3,0)*0.475*44/12</f>
        <v>#N/A</v>
      </c>
      <c r="AW149" s="21" t="e">
        <f>EXP(-LN(2)/2)*AW148+(1-EXP(-LN(2)/2))/(LN(2)/2)*AQ149*AT149*VLOOKUP('Données projet'!$B$10,Paramètres!$A$1:$I$89,3,0)*0.475*44/12</f>
        <v>#N/A</v>
      </c>
      <c r="AX149" s="21" t="e">
        <f t="shared" si="114"/>
        <v>#N/A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2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87.905999999999892</v>
      </c>
      <c r="D150" s="11">
        <f t="shared" si="140"/>
        <v>24.059512761382056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864.29518622821161</v>
      </c>
      <c r="H150" s="67">
        <f t="shared" si="110"/>
        <v>488.33993472607352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-5.6843418860808015E-14</v>
      </c>
      <c r="O150" s="13">
        <f>N150*VLOOKUP('Données projet'!$B$9,Paramètres!$A$1:$I$89,3,0)*VLOOKUP('Données projet'!$B$9,Paramètres!$A$1:$I$89,5,0)</f>
        <v>-3.3992364478763198E-14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232.5902129145469</v>
      </c>
      <c r="T150" s="59">
        <f t="shared" si="142"/>
        <v>340.94590122751879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25.72745592037753</v>
      </c>
      <c r="AA150" s="21">
        <f>EXP(-LN(2)/25)*AA149+(1-EXP(-LN(2)/25))/(LN(2)/25)*Calculateur!V150*Calculateur!X150*VLOOKUP('Données projet'!$B$9,Paramètres!$A$1:$I$89,3,0)*0.475*44/12</f>
        <v>1.2648777130809901</v>
      </c>
      <c r="AB150" s="21">
        <f>EXP(-LN(2)/2)*AB149+(1-EXP(-LN(2)/2))/(LN(2)/2)*V150*Y150*VLOOKUP('Données projet'!$B$9,Paramètres!$A$1:$I$89,3,0)*0.475*44/12</f>
        <v>6.0871356265622867E-15</v>
      </c>
      <c r="AC150" s="22">
        <f t="shared" si="111"/>
        <v>26.992333633458529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0</v>
      </c>
      <c r="AJ150" s="13" t="e">
        <f>AI150*VLOOKUP('Données projet'!$B$10,Paramètres!$A$1:$I$89,3,0)*VLOOKUP('Données projet'!$B$10,Paramètres!$A$1:$I$89,5,0)</f>
        <v>#N/A</v>
      </c>
      <c r="AK150" s="13" t="e">
        <f t="shared" si="143"/>
        <v>#N/A</v>
      </c>
      <c r="AL150" s="20" t="e">
        <f t="shared" si="112"/>
        <v>#N/A</v>
      </c>
      <c r="AM150" s="59" t="e">
        <f t="shared" si="113"/>
        <v>#N/A</v>
      </c>
      <c r="AN150" s="59" t="e">
        <f ca="1">AVERAGE(OFFSET($AM$3,0,0,'Données projet'!$E$10+1,1))-AVERAGE(OFFSET($H$3,0,0,'Données projet'!$E$10+1,1))</f>
        <v>#N/A</v>
      </c>
      <c r="AO150" s="59" t="e">
        <f t="shared" si="144"/>
        <v>#N/A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 t="e">
        <f>EXP(-LN(2)/35)*AU149+(1-EXP(-LN(2)/35))/(LN(2)/35)*AQ150*AR150*VLOOKUP('Données projet'!$B$10,Paramètres!$A$1:$I$89,3,0)*0.475*44/12</f>
        <v>#N/A</v>
      </c>
      <c r="AV150" s="21" t="e">
        <f>EXP(-LN(2)/25)*AV149+(1-EXP(-LN(2)/25))/(LN(2)/25)*Calculateur!AQ150*Calculateur!AS150*VLOOKUP('Données projet'!$B$10,Paramètres!$A$1:$I$89,3,0)*0.475*44/12</f>
        <v>#N/A</v>
      </c>
      <c r="AW150" s="21" t="e">
        <f>EXP(-LN(2)/2)*AW149+(1-EXP(-LN(2)/2))/(LN(2)/2)*AQ150*AT150*VLOOKUP('Données projet'!$B$10,Paramètres!$A$1:$I$89,3,0)*0.475*44/12</f>
        <v>#N/A</v>
      </c>
      <c r="AX150" s="21" t="e">
        <f t="shared" si="114"/>
        <v>#N/A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2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88.503999999999891</v>
      </c>
      <c r="D151" s="11">
        <f t="shared" si="140"/>
        <v>24.204074597328436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870.02724250569247</v>
      </c>
      <c r="H151" s="67">
        <f t="shared" si="110"/>
        <v>489.63322992368012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-5.6843418860808015E-14</v>
      </c>
      <c r="O151" s="13">
        <f>N151*VLOOKUP('Données projet'!$B$9,Paramètres!$A$1:$I$89,3,0)*VLOOKUP('Données projet'!$B$9,Paramètres!$A$1:$I$89,5,0)</f>
        <v>-3.3992364478763198E-14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232.5902129145469</v>
      </c>
      <c r="T151" s="59">
        <f t="shared" si="142"/>
        <v>340.94590122751879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25.222956201977563</v>
      </c>
      <c r="AA151" s="21">
        <f>EXP(-LN(2)/25)*AA150+(1-EXP(-LN(2)/25))/(LN(2)/25)*Calculateur!V151*Calculateur!X151*VLOOKUP('Données projet'!$B$9,Paramètres!$A$1:$I$89,3,0)*0.475*44/12</f>
        <v>1.2302895654997623</v>
      </c>
      <c r="AB151" s="21">
        <f>EXP(-LN(2)/2)*AB150+(1-EXP(-LN(2)/2))/(LN(2)/2)*V151*Y151*VLOOKUP('Données projet'!$B$9,Paramètres!$A$1:$I$89,3,0)*0.475*44/12</f>
        <v>4.3042548795444166E-15</v>
      </c>
      <c r="AC151" s="22">
        <f t="shared" si="111"/>
        <v>26.45324576747733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0</v>
      </c>
      <c r="AJ151" s="13" t="e">
        <f>AI151*VLOOKUP('Données projet'!$B$10,Paramètres!$A$1:$I$89,3,0)*VLOOKUP('Données projet'!$B$10,Paramètres!$A$1:$I$89,5,0)</f>
        <v>#N/A</v>
      </c>
      <c r="AK151" s="13" t="e">
        <f t="shared" si="143"/>
        <v>#N/A</v>
      </c>
      <c r="AL151" s="20" t="e">
        <f t="shared" si="112"/>
        <v>#N/A</v>
      </c>
      <c r="AM151" s="59" t="e">
        <f t="shared" si="113"/>
        <v>#N/A</v>
      </c>
      <c r="AN151" s="59" t="e">
        <f ca="1">AVERAGE(OFFSET($AM$3,0,0,'Données projet'!$E$10+1,1))-AVERAGE(OFFSET($H$3,0,0,'Données projet'!$E$10+1,1))</f>
        <v>#N/A</v>
      </c>
      <c r="AO151" s="59" t="e">
        <f t="shared" si="144"/>
        <v>#N/A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 t="e">
        <f>EXP(-LN(2)/35)*AU150+(1-EXP(-LN(2)/35))/(LN(2)/35)*AQ151*AR151*VLOOKUP('Données projet'!$B$10,Paramètres!$A$1:$I$89,3,0)*0.475*44/12</f>
        <v>#N/A</v>
      </c>
      <c r="AV151" s="21" t="e">
        <f>EXP(-LN(2)/25)*AV150+(1-EXP(-LN(2)/25))/(LN(2)/25)*Calculateur!AQ151*Calculateur!AS151*VLOOKUP('Données projet'!$B$10,Paramètres!$A$1:$I$89,3,0)*0.475*44/12</f>
        <v>#N/A</v>
      </c>
      <c r="AW151" s="21" t="e">
        <f>EXP(-LN(2)/2)*AW150+(1-EXP(-LN(2)/2))/(LN(2)/2)*AQ151*AT151*VLOOKUP('Données projet'!$B$10,Paramètres!$A$1:$I$89,3,0)*0.475*44/12</f>
        <v>#N/A</v>
      </c>
      <c r="AX151" s="21" t="e">
        <f t="shared" si="114"/>
        <v>#N/A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2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89.10199999999989</v>
      </c>
      <c r="D152" s="11">
        <f t="shared" si="140"/>
        <v>24.348522781128061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875.75842146835612</v>
      </c>
      <c r="H152" s="67">
        <f t="shared" si="110"/>
        <v>490.92632717713116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-5.6843418860808015E-14</v>
      </c>
      <c r="O152" s="13">
        <f>N152*VLOOKUP('Données projet'!$B$9,Paramètres!$A$1:$I$89,3,0)*VLOOKUP('Données projet'!$B$9,Paramètres!$A$1:$I$89,5,0)</f>
        <v>-3.3992364478763198E-14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232.5902129145469</v>
      </c>
      <c r="T152" s="59">
        <f t="shared" si="142"/>
        <v>340.94590122751879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24.728349415340976</v>
      </c>
      <c r="AA152" s="21">
        <f>EXP(-LN(2)/25)*AA151+(1-EXP(-LN(2)/25))/(LN(2)/25)*Calculateur!V152*Calculateur!X152*VLOOKUP('Données projet'!$B$9,Paramètres!$A$1:$I$89,3,0)*0.475*44/12</f>
        <v>1.1966472326330548</v>
      </c>
      <c r="AB152" s="21">
        <f>EXP(-LN(2)/2)*AB151+(1-EXP(-LN(2)/2))/(LN(2)/2)*V152*Y152*VLOOKUP('Données projet'!$B$9,Paramètres!$A$1:$I$89,3,0)*0.475*44/12</f>
        <v>3.0435678132811434E-15</v>
      </c>
      <c r="AC152" s="22">
        <f t="shared" si="111"/>
        <v>25.924996647974034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0</v>
      </c>
      <c r="AJ152" s="13" t="e">
        <f>AI152*VLOOKUP('Données projet'!$B$10,Paramètres!$A$1:$I$89,3,0)*VLOOKUP('Données projet'!$B$10,Paramètres!$A$1:$I$89,5,0)</f>
        <v>#N/A</v>
      </c>
      <c r="AK152" s="13" t="e">
        <f t="shared" si="143"/>
        <v>#N/A</v>
      </c>
      <c r="AL152" s="20" t="e">
        <f t="shared" si="112"/>
        <v>#N/A</v>
      </c>
      <c r="AM152" s="59" t="e">
        <f t="shared" si="113"/>
        <v>#N/A</v>
      </c>
      <c r="AN152" s="59" t="e">
        <f ca="1">AVERAGE(OFFSET($AM$3,0,0,'Données projet'!$E$10+1,1))-AVERAGE(OFFSET($H$3,0,0,'Données projet'!$E$10+1,1))</f>
        <v>#N/A</v>
      </c>
      <c r="AO152" s="59" t="e">
        <f t="shared" si="144"/>
        <v>#N/A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 t="e">
        <f>EXP(-LN(2)/35)*AU151+(1-EXP(-LN(2)/35))/(LN(2)/35)*AQ152*AR152*VLOOKUP('Données projet'!$B$10,Paramètres!$A$1:$I$89,3,0)*0.475*44/12</f>
        <v>#N/A</v>
      </c>
      <c r="AV152" s="21" t="e">
        <f>EXP(-LN(2)/25)*AV151+(1-EXP(-LN(2)/25))/(LN(2)/25)*Calculateur!AQ152*Calculateur!AS152*VLOOKUP('Données projet'!$B$10,Paramètres!$A$1:$I$89,3,0)*0.475*44/12</f>
        <v>#N/A</v>
      </c>
      <c r="AW152" s="21" t="e">
        <f>EXP(-LN(2)/2)*AW151+(1-EXP(-LN(2)/2))/(LN(2)/2)*AQ152*AT152*VLOOKUP('Données projet'!$B$10,Paramètres!$A$1:$I$89,3,0)*0.475*44/12</f>
        <v>#N/A</v>
      </c>
      <c r="AX152" s="21" t="e">
        <f t="shared" si="114"/>
        <v>#N/A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2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89.699999999999889</v>
      </c>
      <c r="D153" s="11">
        <f t="shared" si="140"/>
        <v>24.492858164013278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881.48872968711919</v>
      </c>
      <c r="H153" s="67">
        <f t="shared" si="110"/>
        <v>492.21922796898957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-5.6843418860808015E-14</v>
      </c>
      <c r="O153" s="13">
        <f>N153*VLOOKUP('Données projet'!$B$9,Paramètres!$A$1:$I$89,3,0)*VLOOKUP('Données projet'!$B$9,Paramètres!$A$1:$I$89,5,0)</f>
        <v>-3.3992364478763198E-14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232.5902129145469</v>
      </c>
      <c r="T153" s="59">
        <f t="shared" si="142"/>
        <v>340.94590122751879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24.243441566109979</v>
      </c>
      <c r="AA153" s="21">
        <f>EXP(-LN(2)/25)*AA152+(1-EXP(-LN(2)/25))/(LN(2)/25)*Calculateur!V153*Calculateur!X153*VLOOKUP('Données projet'!$B$9,Paramètres!$A$1:$I$89,3,0)*0.475*44/12</f>
        <v>1.1639248511277609</v>
      </c>
      <c r="AB153" s="21">
        <f>EXP(-LN(2)/2)*AB152+(1-EXP(-LN(2)/2))/(LN(2)/2)*V153*Y153*VLOOKUP('Données projet'!$B$9,Paramètres!$A$1:$I$89,3,0)*0.475*44/12</f>
        <v>2.1521274397722083E-15</v>
      </c>
      <c r="AC153" s="22">
        <f t="shared" si="111"/>
        <v>25.407366417237743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0</v>
      </c>
      <c r="AJ153" s="13" t="e">
        <f>AI153*VLOOKUP('Données projet'!$B$10,Paramètres!$A$1:$I$89,3,0)*VLOOKUP('Données projet'!$B$10,Paramètres!$A$1:$I$89,5,0)</f>
        <v>#N/A</v>
      </c>
      <c r="AK153" s="13" t="e">
        <f t="shared" si="143"/>
        <v>#N/A</v>
      </c>
      <c r="AL153" s="20" t="e">
        <f t="shared" si="112"/>
        <v>#N/A</v>
      </c>
      <c r="AM153" s="59" t="e">
        <f t="shared" si="113"/>
        <v>#N/A</v>
      </c>
      <c r="AN153" s="59" t="e">
        <f ca="1">AVERAGE(OFFSET($AM$3,0,0,'Données projet'!$E$10+1,1))-AVERAGE(OFFSET($H$3,0,0,'Données projet'!$E$10+1,1))</f>
        <v>#N/A</v>
      </c>
      <c r="AO153" s="59" t="e">
        <f t="shared" si="144"/>
        <v>#N/A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 t="e">
        <f>EXP(-LN(2)/35)*AU152+(1-EXP(-LN(2)/35))/(LN(2)/35)*AQ153*AR153*VLOOKUP('Données projet'!$B$10,Paramètres!$A$1:$I$89,3,0)*0.475*44/12</f>
        <v>#N/A</v>
      </c>
      <c r="AV153" s="21" t="e">
        <f>EXP(-LN(2)/25)*AV152+(1-EXP(-LN(2)/25))/(LN(2)/25)*Calculateur!AQ153*Calculateur!AS153*VLOOKUP('Données projet'!$B$10,Paramètres!$A$1:$I$89,3,0)*0.475*44/12</f>
        <v>#N/A</v>
      </c>
      <c r="AW153" s="21" t="e">
        <f>EXP(-LN(2)/2)*AW152+(1-EXP(-LN(2)/2))/(LN(2)/2)*AQ153*AT153*VLOOKUP('Données projet'!$B$10,Paramètres!$A$1:$I$89,3,0)*0.475*44/12</f>
        <v>#N/A</v>
      </c>
      <c r="AX153" s="21" t="e">
        <f t="shared" si="114"/>
        <v>#N/A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2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90.297999999999888</v>
      </c>
      <c r="D154" s="11">
        <f t="shared" si="140"/>
        <v>24.637081585210503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887.21817364022047</v>
      </c>
      <c r="H154" s="67">
        <f t="shared" si="110"/>
        <v>493.51193376090805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-5.6843418860808015E-14</v>
      </c>
      <c r="O154" s="13">
        <f>N154*VLOOKUP('Données projet'!$B$9,Paramètres!$A$1:$I$89,3,0)*VLOOKUP('Données projet'!$B$9,Paramètres!$A$1:$I$89,5,0)</f>
        <v>-3.3992364478763198E-14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232.5902129145469</v>
      </c>
      <c r="T154" s="59">
        <f t="shared" si="142"/>
        <v>340.94590122751879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23.768042464037819</v>
      </c>
      <c r="AA154" s="21">
        <f>EXP(-LN(2)/25)*AA153+(1-EXP(-LN(2)/25))/(LN(2)/25)*Calculateur!V154*Calculateur!X154*VLOOKUP('Données projet'!$B$9,Paramètres!$A$1:$I$89,3,0)*0.475*44/12</f>
        <v>1.1320972648655245</v>
      </c>
      <c r="AB154" s="21">
        <f>EXP(-LN(2)/2)*AB153+(1-EXP(-LN(2)/2))/(LN(2)/2)*V154*Y154*VLOOKUP('Données projet'!$B$9,Paramètres!$A$1:$I$89,3,0)*0.475*44/12</f>
        <v>1.5217839066405717E-15</v>
      </c>
      <c r="AC154" s="22">
        <f t="shared" ref="AC154:AC203" si="163">SUM(Z154:AB154)</f>
        <v>24.900139728903344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0</v>
      </c>
      <c r="AJ154" s="13" t="e">
        <f>AI154*VLOOKUP('Données projet'!$B$10,Paramètres!$A$1:$I$89,3,0)*VLOOKUP('Données projet'!$B$10,Paramètres!$A$1:$I$89,5,0)</f>
        <v>#N/A</v>
      </c>
      <c r="AK154" s="13" t="e">
        <f t="shared" ref="AK154:AK203" si="164">EXP(-1.0587+0.8836*LN(AJ154)+0.284)</f>
        <v>#N/A</v>
      </c>
      <c r="AL154" s="20" t="e">
        <f t="shared" ref="AL154:AL203" si="165">(AJ154+AK154)*0.475*44/12</f>
        <v>#N/A</v>
      </c>
      <c r="AM154" s="59" t="e">
        <f t="shared" si="113"/>
        <v>#N/A</v>
      </c>
      <c r="AN154" s="59" t="e">
        <f ca="1">AVERAGE(OFFSET($AM$3,0,0,'Données projet'!$E$10+1,1))-AVERAGE(OFFSET($H$3,0,0,'Données projet'!$E$10+1,1))</f>
        <v>#N/A</v>
      </c>
      <c r="AO154" s="59" t="e">
        <f t="shared" si="144"/>
        <v>#N/A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 t="e">
        <f>EXP(-LN(2)/35)*AU153+(1-EXP(-LN(2)/35))/(LN(2)/35)*AQ154*AR154*VLOOKUP('Données projet'!$B$10,Paramètres!$A$1:$I$89,3,0)*0.475*44/12</f>
        <v>#N/A</v>
      </c>
      <c r="AV154" s="21" t="e">
        <f>EXP(-LN(2)/25)*AV153+(1-EXP(-LN(2)/25))/(LN(2)/25)*Calculateur!AQ154*Calculateur!AS154*VLOOKUP('Données projet'!$B$10,Paramètres!$A$1:$I$89,3,0)*0.475*44/12</f>
        <v>#N/A</v>
      </c>
      <c r="AW154" s="21" t="e">
        <f>EXP(-LN(2)/2)*AW153+(1-EXP(-LN(2)/2))/(LN(2)/2)*AQ154*AT154*VLOOKUP('Données projet'!$B$10,Paramètres!$A$1:$I$89,3,0)*0.475*44/12</f>
        <v>#N/A</v>
      </c>
      <c r="AX154" s="21" t="e">
        <f t="shared" ref="AX154:AX203" si="166">SUM(AU154:AW154)</f>
        <v>#N/A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2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90.895999999999887</v>
      </c>
      <c r="D155" s="11">
        <f t="shared" si="140"/>
        <v>24.781193872187931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892.94675971513414</v>
      </c>
      <c r="H155" s="67">
        <f t="shared" si="110"/>
        <v>494.80444599406042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-5.6843418860808015E-14</v>
      </c>
      <c r="O155" s="13">
        <f>N155*VLOOKUP('Données projet'!$B$9,Paramètres!$A$1:$I$89,3,0)*VLOOKUP('Données projet'!$B$9,Paramètres!$A$1:$I$89,5,0)</f>
        <v>-3.3992364478763198E-14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232.5902129145469</v>
      </c>
      <c r="T155" s="59">
        <f t="shared" si="142"/>
        <v>340.94590122751879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23.301965648392475</v>
      </c>
      <c r="AA155" s="21">
        <f>EXP(-LN(2)/25)*AA154+(1-EXP(-LN(2)/25))/(LN(2)/25)*Calculateur!V155*Calculateur!X155*VLOOKUP('Données projet'!$B$9,Paramètres!$A$1:$I$89,3,0)*0.475*44/12</f>
        <v>1.1011400056233691</v>
      </c>
      <c r="AB155" s="21">
        <f>EXP(-LN(2)/2)*AB154+(1-EXP(-LN(2)/2))/(LN(2)/2)*V155*Y155*VLOOKUP('Données projet'!$B$9,Paramètres!$A$1:$I$89,3,0)*0.475*44/12</f>
        <v>1.0760637198861042E-15</v>
      </c>
      <c r="AC155" s="22">
        <f t="shared" si="163"/>
        <v>24.403105654015842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0</v>
      </c>
      <c r="AJ155" s="13" t="e">
        <f>AI155*VLOOKUP('Données projet'!$B$10,Paramètres!$A$1:$I$89,3,0)*VLOOKUP('Données projet'!$B$10,Paramètres!$A$1:$I$89,5,0)</f>
        <v>#N/A</v>
      </c>
      <c r="AK155" s="13" t="e">
        <f t="shared" si="164"/>
        <v>#N/A</v>
      </c>
      <c r="AL155" s="20" t="e">
        <f t="shared" si="165"/>
        <v>#N/A</v>
      </c>
      <c r="AM155" s="59" t="e">
        <f t="shared" si="113"/>
        <v>#N/A</v>
      </c>
      <c r="AN155" s="59" t="e">
        <f ca="1">AVERAGE(OFFSET($AM$3,0,0,'Données projet'!$E$10+1,1))-AVERAGE(OFFSET($H$3,0,0,'Données projet'!$E$10+1,1))</f>
        <v>#N/A</v>
      </c>
      <c r="AO155" s="59" t="e">
        <f t="shared" si="144"/>
        <v>#N/A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 t="e">
        <f>EXP(-LN(2)/35)*AU154+(1-EXP(-LN(2)/35))/(LN(2)/35)*AQ155*AR155*VLOOKUP('Données projet'!$B$10,Paramètres!$A$1:$I$89,3,0)*0.475*44/12</f>
        <v>#N/A</v>
      </c>
      <c r="AV155" s="21" t="e">
        <f>EXP(-LN(2)/25)*AV154+(1-EXP(-LN(2)/25))/(LN(2)/25)*Calculateur!AQ155*Calculateur!AS155*VLOOKUP('Données projet'!$B$10,Paramètres!$A$1:$I$89,3,0)*0.475*44/12</f>
        <v>#N/A</v>
      </c>
      <c r="AW155" s="21" t="e">
        <f>EXP(-LN(2)/2)*AW154+(1-EXP(-LN(2)/2))/(LN(2)/2)*AQ155*AT155*VLOOKUP('Données projet'!$B$10,Paramètres!$A$1:$I$89,3,0)*0.475*44/12</f>
        <v>#N/A</v>
      </c>
      <c r="AX155" s="21" t="e">
        <f t="shared" si="166"/>
        <v>#N/A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2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91.493999999999886</v>
      </c>
      <c r="D156" s="11">
        <f t="shared" si="140"/>
        <v>24.925195840896507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898.67449421042829</v>
      </c>
      <c r="H156" s="67">
        <f t="shared" si="110"/>
        <v>496.09676608956119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-5.6843418860808015E-14</v>
      </c>
      <c r="O156" s="13">
        <f>N156*VLOOKUP('Données projet'!$B$9,Paramètres!$A$1:$I$89,3,0)*VLOOKUP('Données projet'!$B$9,Paramètres!$A$1:$I$89,5,0)</f>
        <v>-3.3992364478763198E-14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232.5902129145469</v>
      </c>
      <c r="T156" s="59">
        <f t="shared" si="142"/>
        <v>340.94590122751879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22.845028314823146</v>
      </c>
      <c r="AA156" s="21">
        <f>EXP(-LN(2)/25)*AA155+(1-EXP(-LN(2)/25))/(LN(2)/25)*Calculateur!V156*Calculateur!X156*VLOOKUP('Données projet'!$B$9,Paramètres!$A$1:$I$89,3,0)*0.475*44/12</f>
        <v>1.071029274263162</v>
      </c>
      <c r="AB156" s="21">
        <f>EXP(-LN(2)/2)*AB155+(1-EXP(-LN(2)/2))/(LN(2)/2)*V156*Y156*VLOOKUP('Données projet'!$B$9,Paramètres!$A$1:$I$89,3,0)*0.475*44/12</f>
        <v>7.6089195332028584E-16</v>
      </c>
      <c r="AC156" s="22">
        <f t="shared" si="163"/>
        <v>23.916057589086307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0</v>
      </c>
      <c r="AJ156" s="13" t="e">
        <f>AI156*VLOOKUP('Données projet'!$B$10,Paramètres!$A$1:$I$89,3,0)*VLOOKUP('Données projet'!$B$10,Paramètres!$A$1:$I$89,5,0)</f>
        <v>#N/A</v>
      </c>
      <c r="AK156" s="13" t="e">
        <f t="shared" si="164"/>
        <v>#N/A</v>
      </c>
      <c r="AL156" s="20" t="e">
        <f t="shared" si="165"/>
        <v>#N/A</v>
      </c>
      <c r="AM156" s="59" t="e">
        <f t="shared" si="113"/>
        <v>#N/A</v>
      </c>
      <c r="AN156" s="59" t="e">
        <f ca="1">AVERAGE(OFFSET($AM$3,0,0,'Données projet'!$E$10+1,1))-AVERAGE(OFFSET($H$3,0,0,'Données projet'!$E$10+1,1))</f>
        <v>#N/A</v>
      </c>
      <c r="AO156" s="59" t="e">
        <f t="shared" si="144"/>
        <v>#N/A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 t="e">
        <f>EXP(-LN(2)/35)*AU155+(1-EXP(-LN(2)/35))/(LN(2)/35)*AQ156*AR156*VLOOKUP('Données projet'!$B$10,Paramètres!$A$1:$I$89,3,0)*0.475*44/12</f>
        <v>#N/A</v>
      </c>
      <c r="AV156" s="21" t="e">
        <f>EXP(-LN(2)/25)*AV155+(1-EXP(-LN(2)/25))/(LN(2)/25)*Calculateur!AQ156*Calculateur!AS156*VLOOKUP('Données projet'!$B$10,Paramètres!$A$1:$I$89,3,0)*0.475*44/12</f>
        <v>#N/A</v>
      </c>
      <c r="AW156" s="21" t="e">
        <f>EXP(-LN(2)/2)*AW155+(1-EXP(-LN(2)/2))/(LN(2)/2)*AQ156*AT156*VLOOKUP('Données projet'!$B$10,Paramètres!$A$1:$I$89,3,0)*0.475*44/12</f>
        <v>#N/A</v>
      </c>
      <c r="AX156" s="21" t="e">
        <f t="shared" si="166"/>
        <v>#N/A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2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92.091999999999885</v>
      </c>
      <c r="D157" s="11">
        <f t="shared" si="140"/>
        <v>25.069088296004431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904.40138333757716</v>
      </c>
      <c r="H157" s="67">
        <f t="shared" si="110"/>
        <v>497.38889544887417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-5.6843418860808015E-14</v>
      </c>
      <c r="O157" s="13">
        <f>N157*VLOOKUP('Données projet'!$B$9,Paramètres!$A$1:$I$89,3,0)*VLOOKUP('Données projet'!$B$9,Paramètres!$A$1:$I$89,5,0)</f>
        <v>-3.3992364478763198E-14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232.5902129145469</v>
      </c>
      <c r="T157" s="59">
        <f t="shared" si="142"/>
        <v>340.94590122751879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22.397051243660858</v>
      </c>
      <c r="AA157" s="21">
        <f>EXP(-LN(2)/25)*AA156+(1-EXP(-LN(2)/25))/(LN(2)/25)*Calculateur!V157*Calculateur!X157*VLOOKUP('Données projet'!$B$9,Paramètres!$A$1:$I$89,3,0)*0.475*44/12</f>
        <v>1.041741922435454</v>
      </c>
      <c r="AB157" s="21">
        <f>EXP(-LN(2)/2)*AB156+(1-EXP(-LN(2)/2))/(LN(2)/2)*V157*Y157*VLOOKUP('Données projet'!$B$9,Paramètres!$A$1:$I$89,3,0)*0.475*44/12</f>
        <v>5.3803185994305208E-16</v>
      </c>
      <c r="AC157" s="22">
        <f t="shared" si="163"/>
        <v>23.43879316609631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0</v>
      </c>
      <c r="AJ157" s="13" t="e">
        <f>AI157*VLOOKUP('Données projet'!$B$10,Paramètres!$A$1:$I$89,3,0)*VLOOKUP('Données projet'!$B$10,Paramètres!$A$1:$I$89,5,0)</f>
        <v>#N/A</v>
      </c>
      <c r="AK157" s="13" t="e">
        <f t="shared" si="164"/>
        <v>#N/A</v>
      </c>
      <c r="AL157" s="20" t="e">
        <f t="shared" si="165"/>
        <v>#N/A</v>
      </c>
      <c r="AM157" s="59" t="e">
        <f t="shared" si="113"/>
        <v>#N/A</v>
      </c>
      <c r="AN157" s="59" t="e">
        <f ca="1">AVERAGE(OFFSET($AM$3,0,0,'Données projet'!$E$10+1,1))-AVERAGE(OFFSET($H$3,0,0,'Données projet'!$E$10+1,1))</f>
        <v>#N/A</v>
      </c>
      <c r="AO157" s="59" t="e">
        <f t="shared" si="144"/>
        <v>#N/A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 t="e">
        <f>EXP(-LN(2)/35)*AU156+(1-EXP(-LN(2)/35))/(LN(2)/35)*AQ157*AR157*VLOOKUP('Données projet'!$B$10,Paramètres!$A$1:$I$89,3,0)*0.475*44/12</f>
        <v>#N/A</v>
      </c>
      <c r="AV157" s="21" t="e">
        <f>EXP(-LN(2)/25)*AV156+(1-EXP(-LN(2)/25))/(LN(2)/25)*Calculateur!AQ157*Calculateur!AS157*VLOOKUP('Données projet'!$B$10,Paramètres!$A$1:$I$89,3,0)*0.475*44/12</f>
        <v>#N/A</v>
      </c>
      <c r="AW157" s="21" t="e">
        <f>EXP(-LN(2)/2)*AW156+(1-EXP(-LN(2)/2))/(LN(2)/2)*AQ157*AT157*VLOOKUP('Données projet'!$B$10,Paramètres!$A$1:$I$89,3,0)*0.475*44/12</f>
        <v>#N/A</v>
      </c>
      <c r="AX157" s="21" t="e">
        <f t="shared" si="166"/>
        <v>#N/A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2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92.689999999999884</v>
      </c>
      <c r="D158" s="11">
        <f t="shared" si="140"/>
        <v>25.212872031125453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910.12743322272206</v>
      </c>
      <c r="H158" s="67">
        <f t="shared" si="110"/>
        <v>498.68083545420996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-5.6843418860808015E-14</v>
      </c>
      <c r="O158" s="13">
        <f>N158*VLOOKUP('Données projet'!$B$9,Paramètres!$A$1:$I$89,3,0)*VLOOKUP('Données projet'!$B$9,Paramètres!$A$1:$I$89,5,0)</f>
        <v>-3.3992364478763198E-14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232.5902129145469</v>
      </c>
      <c r="T158" s="59">
        <f t="shared" si="142"/>
        <v>340.94590122751879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21.95785872962503</v>
      </c>
      <c r="AA158" s="21">
        <f>EXP(-LN(2)/25)*AA157+(1-EXP(-LN(2)/25))/(LN(2)/25)*Calculateur!V158*Calculateur!X158*VLOOKUP('Données projet'!$B$9,Paramètres!$A$1:$I$89,3,0)*0.475*44/12</f>
        <v>1.0132554347836298</v>
      </c>
      <c r="AB158" s="21">
        <f>EXP(-LN(2)/2)*AB157+(1-EXP(-LN(2)/2))/(LN(2)/2)*V158*Y158*VLOOKUP('Données projet'!$B$9,Paramètres!$A$1:$I$89,3,0)*0.475*44/12</f>
        <v>3.8044597666014292E-16</v>
      </c>
      <c r="AC158" s="22">
        <f t="shared" si="163"/>
        <v>22.971114164408661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0</v>
      </c>
      <c r="AJ158" s="13" t="e">
        <f>AI158*VLOOKUP('Données projet'!$B$10,Paramètres!$A$1:$I$89,3,0)*VLOOKUP('Données projet'!$B$10,Paramètres!$A$1:$I$89,5,0)</f>
        <v>#N/A</v>
      </c>
      <c r="AK158" s="13" t="e">
        <f t="shared" si="164"/>
        <v>#N/A</v>
      </c>
      <c r="AL158" s="20" t="e">
        <f t="shared" si="165"/>
        <v>#N/A</v>
      </c>
      <c r="AM158" s="59" t="e">
        <f t="shared" si="113"/>
        <v>#N/A</v>
      </c>
      <c r="AN158" s="59" t="e">
        <f ca="1">AVERAGE(OFFSET($AM$3,0,0,'Données projet'!$E$10+1,1))-AVERAGE(OFFSET($H$3,0,0,'Données projet'!$E$10+1,1))</f>
        <v>#N/A</v>
      </c>
      <c r="AO158" s="59" t="e">
        <f t="shared" si="144"/>
        <v>#N/A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 t="e">
        <f>EXP(-LN(2)/35)*AU157+(1-EXP(-LN(2)/35))/(LN(2)/35)*AQ158*AR158*VLOOKUP('Données projet'!$B$10,Paramètres!$A$1:$I$89,3,0)*0.475*44/12</f>
        <v>#N/A</v>
      </c>
      <c r="AV158" s="21" t="e">
        <f>EXP(-LN(2)/25)*AV157+(1-EXP(-LN(2)/25))/(LN(2)/25)*Calculateur!AQ158*Calculateur!AS158*VLOOKUP('Données projet'!$B$10,Paramètres!$A$1:$I$89,3,0)*0.475*44/12</f>
        <v>#N/A</v>
      </c>
      <c r="AW158" s="21" t="e">
        <f>EXP(-LN(2)/2)*AW157+(1-EXP(-LN(2)/2))/(LN(2)/2)*AQ158*AT158*VLOOKUP('Données projet'!$B$10,Paramètres!$A$1:$I$89,3,0)*0.475*44/12</f>
        <v>#N/A</v>
      </c>
      <c r="AX158" s="21" t="e">
        <f t="shared" si="166"/>
        <v>#N/A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2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93.287999999999883</v>
      </c>
      <c r="D159" s="11">
        <f t="shared" si="140"/>
        <v>25.356547829040952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915.8526499083855</v>
      </c>
      <c r="H159" s="67">
        <f t="shared" si="110"/>
        <v>499.97258746891276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-5.6843418860808015E-14</v>
      </c>
      <c r="O159" s="13">
        <f>N159*VLOOKUP('Données projet'!$B$9,Paramètres!$A$1:$I$89,3,0)*VLOOKUP('Données projet'!$B$9,Paramètres!$A$1:$I$89,5,0)</f>
        <v>-3.3992364478763198E-14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232.5902129145469</v>
      </c>
      <c r="T159" s="59">
        <f t="shared" si="142"/>
        <v>340.94590122751879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21.527278512908463</v>
      </c>
      <c r="AA159" s="21">
        <f>EXP(-LN(2)/25)*AA158+(1-EXP(-LN(2)/25))/(LN(2)/25)*Calculateur!V159*Calculateur!X159*VLOOKUP('Données projet'!$B$9,Paramètres!$A$1:$I$89,3,0)*0.475*44/12</f>
        <v>0.98554791163468392</v>
      </c>
      <c r="AB159" s="21">
        <f>EXP(-LN(2)/2)*AB158+(1-EXP(-LN(2)/2))/(LN(2)/2)*V159*Y159*VLOOKUP('Données projet'!$B$9,Paramètres!$A$1:$I$89,3,0)*0.475*44/12</f>
        <v>2.6901592997152604E-16</v>
      </c>
      <c r="AC159" s="22">
        <f t="shared" si="163"/>
        <v>22.512826424543146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0</v>
      </c>
      <c r="AJ159" s="13" t="e">
        <f>AI159*VLOOKUP('Données projet'!$B$10,Paramètres!$A$1:$I$89,3,0)*VLOOKUP('Données projet'!$B$10,Paramètres!$A$1:$I$89,5,0)</f>
        <v>#N/A</v>
      </c>
      <c r="AK159" s="13" t="e">
        <f t="shared" si="164"/>
        <v>#N/A</v>
      </c>
      <c r="AL159" s="20" t="e">
        <f t="shared" si="165"/>
        <v>#N/A</v>
      </c>
      <c r="AM159" s="59" t="e">
        <f t="shared" si="113"/>
        <v>#N/A</v>
      </c>
      <c r="AN159" s="59" t="e">
        <f ca="1">AVERAGE(OFFSET($AM$3,0,0,'Données projet'!$E$10+1,1))-AVERAGE(OFFSET($H$3,0,0,'Données projet'!$E$10+1,1))</f>
        <v>#N/A</v>
      </c>
      <c r="AO159" s="59" t="e">
        <f t="shared" si="144"/>
        <v>#N/A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 t="e">
        <f>EXP(-LN(2)/35)*AU158+(1-EXP(-LN(2)/35))/(LN(2)/35)*AQ159*AR159*VLOOKUP('Données projet'!$B$10,Paramètres!$A$1:$I$89,3,0)*0.475*44/12</f>
        <v>#N/A</v>
      </c>
      <c r="AV159" s="21" t="e">
        <f>EXP(-LN(2)/25)*AV158+(1-EXP(-LN(2)/25))/(LN(2)/25)*Calculateur!AQ159*Calculateur!AS159*VLOOKUP('Données projet'!$B$10,Paramètres!$A$1:$I$89,3,0)*0.475*44/12</f>
        <v>#N/A</v>
      </c>
      <c r="AW159" s="21" t="e">
        <f>EXP(-LN(2)/2)*AW158+(1-EXP(-LN(2)/2))/(LN(2)/2)*AQ159*AT159*VLOOKUP('Données projet'!$B$10,Paramètres!$A$1:$I$89,3,0)*0.475*44/12</f>
        <v>#N/A</v>
      </c>
      <c r="AX159" s="21" t="e">
        <f t="shared" si="166"/>
        <v>#N/A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2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93.885999999999882</v>
      </c>
      <c r="D160" s="11">
        <f t="shared" si="140"/>
        <v>25.500116461916356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921.5770393551428</v>
      </c>
      <c r="H160" s="67">
        <f t="shared" si="110"/>
        <v>501.2641528378374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-5.6843418860808015E-14</v>
      </c>
      <c r="O160" s="13">
        <f>N160*VLOOKUP('Données projet'!$B$9,Paramètres!$A$1:$I$89,3,0)*VLOOKUP('Données projet'!$B$9,Paramètres!$A$1:$I$89,5,0)</f>
        <v>-3.3992364478763198E-14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232.5902129145469</v>
      </c>
      <c r="T160" s="59">
        <f t="shared" si="142"/>
        <v>340.94590122751879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21.105141711613708</v>
      </c>
      <c r="AA160" s="21">
        <f>EXP(-LN(2)/25)*AA159+(1-EXP(-LN(2)/25))/(LN(2)/25)*Calculateur!V160*Calculateur!X160*VLOOKUP('Données projet'!$B$9,Paramètres!$A$1:$I$89,3,0)*0.475*44/12</f>
        <v>0.95859805216332128</v>
      </c>
      <c r="AB160" s="21">
        <f>EXP(-LN(2)/2)*AB159+(1-EXP(-LN(2)/2))/(LN(2)/2)*V160*Y160*VLOOKUP('Données projet'!$B$9,Paramètres!$A$1:$I$89,3,0)*0.475*44/12</f>
        <v>1.9022298833007146E-16</v>
      </c>
      <c r="AC160" s="22">
        <f t="shared" si="163"/>
        <v>22.063739763777029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0</v>
      </c>
      <c r="AJ160" s="13" t="e">
        <f>AI160*VLOOKUP('Données projet'!$B$10,Paramètres!$A$1:$I$89,3,0)*VLOOKUP('Données projet'!$B$10,Paramètres!$A$1:$I$89,5,0)</f>
        <v>#N/A</v>
      </c>
      <c r="AK160" s="13" t="e">
        <f t="shared" si="164"/>
        <v>#N/A</v>
      </c>
      <c r="AL160" s="20" t="e">
        <f t="shared" si="165"/>
        <v>#N/A</v>
      </c>
      <c r="AM160" s="59" t="e">
        <f t="shared" si="113"/>
        <v>#N/A</v>
      </c>
      <c r="AN160" s="59" t="e">
        <f ca="1">AVERAGE(OFFSET($AM$3,0,0,'Données projet'!$E$10+1,1))-AVERAGE(OFFSET($H$3,0,0,'Données projet'!$E$10+1,1))</f>
        <v>#N/A</v>
      </c>
      <c r="AO160" s="59" t="e">
        <f t="shared" si="144"/>
        <v>#N/A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 t="e">
        <f>EXP(-LN(2)/35)*AU159+(1-EXP(-LN(2)/35))/(LN(2)/35)*AQ160*AR160*VLOOKUP('Données projet'!$B$10,Paramètres!$A$1:$I$89,3,0)*0.475*44/12</f>
        <v>#N/A</v>
      </c>
      <c r="AV160" s="21" t="e">
        <f>EXP(-LN(2)/25)*AV159+(1-EXP(-LN(2)/25))/(LN(2)/25)*Calculateur!AQ160*Calculateur!AS160*VLOOKUP('Données projet'!$B$10,Paramètres!$A$1:$I$89,3,0)*0.475*44/12</f>
        <v>#N/A</v>
      </c>
      <c r="AW160" s="21" t="e">
        <f>EXP(-LN(2)/2)*AW159+(1-EXP(-LN(2)/2))/(LN(2)/2)*AQ160*AT160*VLOOKUP('Données projet'!$B$10,Paramètres!$A$1:$I$89,3,0)*0.475*44/12</f>
        <v>#N/A</v>
      </c>
      <c r="AX160" s="21" t="e">
        <f t="shared" si="166"/>
        <v>#N/A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2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94.483999999999881</v>
      </c>
      <c r="D161" s="11">
        <f t="shared" si="140"/>
        <v>25.643578691511777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927.30060744324794</v>
      </c>
      <c r="H161" s="67">
        <f t="shared" si="110"/>
        <v>502.55553288771608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-5.6843418860808015E-14</v>
      </c>
      <c r="O161" s="13">
        <f>N161*VLOOKUP('Données projet'!$B$9,Paramètres!$A$1:$I$89,3,0)*VLOOKUP('Données projet'!$B$9,Paramètres!$A$1:$I$89,5,0)</f>
        <v>-3.3992364478763198E-14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232.5902129145469</v>
      </c>
      <c r="T161" s="59">
        <f t="shared" si="142"/>
        <v>340.94590122751879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20.691282755514319</v>
      </c>
      <c r="AA161" s="21">
        <f>EXP(-LN(2)/25)*AA160+(1-EXP(-LN(2)/25))/(LN(2)/25)*Calculateur!V161*Calculateur!X161*VLOOKUP('Données projet'!$B$9,Paramètres!$A$1:$I$89,3,0)*0.475*44/12</f>
        <v>0.93238513801643463</v>
      </c>
      <c r="AB161" s="21">
        <f>EXP(-LN(2)/2)*AB160+(1-EXP(-LN(2)/2))/(LN(2)/2)*V161*Y161*VLOOKUP('Données projet'!$B$9,Paramètres!$A$1:$I$89,3,0)*0.475*44/12</f>
        <v>1.3450796498576302E-16</v>
      </c>
      <c r="AC161" s="22">
        <f t="shared" si="163"/>
        <v>21.623667893530754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0</v>
      </c>
      <c r="AJ161" s="13" t="e">
        <f>AI161*VLOOKUP('Données projet'!$B$10,Paramètres!$A$1:$I$89,3,0)*VLOOKUP('Données projet'!$B$10,Paramètres!$A$1:$I$89,5,0)</f>
        <v>#N/A</v>
      </c>
      <c r="AK161" s="13" t="e">
        <f t="shared" si="164"/>
        <v>#N/A</v>
      </c>
      <c r="AL161" s="20" t="e">
        <f t="shared" si="165"/>
        <v>#N/A</v>
      </c>
      <c r="AM161" s="59" t="e">
        <f t="shared" si="113"/>
        <v>#N/A</v>
      </c>
      <c r="AN161" s="59" t="e">
        <f ca="1">AVERAGE(OFFSET($AM$3,0,0,'Données projet'!$E$10+1,1))-AVERAGE(OFFSET($H$3,0,0,'Données projet'!$E$10+1,1))</f>
        <v>#N/A</v>
      </c>
      <c r="AO161" s="59" t="e">
        <f t="shared" si="144"/>
        <v>#N/A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 t="e">
        <f>EXP(-LN(2)/35)*AU160+(1-EXP(-LN(2)/35))/(LN(2)/35)*AQ161*AR161*VLOOKUP('Données projet'!$B$10,Paramètres!$A$1:$I$89,3,0)*0.475*44/12</f>
        <v>#N/A</v>
      </c>
      <c r="AV161" s="21" t="e">
        <f>EXP(-LN(2)/25)*AV160+(1-EXP(-LN(2)/25))/(LN(2)/25)*Calculateur!AQ161*Calculateur!AS161*VLOOKUP('Données projet'!$B$10,Paramètres!$A$1:$I$89,3,0)*0.475*44/12</f>
        <v>#N/A</v>
      </c>
      <c r="AW161" s="21" t="e">
        <f>EXP(-LN(2)/2)*AW160+(1-EXP(-LN(2)/2))/(LN(2)/2)*AQ161*AT161*VLOOKUP('Données projet'!$B$10,Paramètres!$A$1:$I$89,3,0)*0.475*44/12</f>
        <v>#N/A</v>
      </c>
      <c r="AX161" s="21" t="e">
        <f t="shared" si="166"/>
        <v>#N/A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2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95.08199999999988</v>
      </c>
      <c r="D162" s="11">
        <f t="shared" si="140"/>
        <v>25.786935269387101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933.0233599742154</v>
      </c>
      <c r="H162" s="67">
        <f t="shared" si="110"/>
        <v>503.84672892751564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-5.6843418860808015E-14</v>
      </c>
      <c r="O162" s="13">
        <f>N162*VLOOKUP('Données projet'!$B$9,Paramètres!$A$1:$I$89,3,0)*VLOOKUP('Données projet'!$B$9,Paramètres!$A$1:$I$89,5,0)</f>
        <v>-3.3992364478763198E-14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232.5902129145469</v>
      </c>
      <c r="T162" s="59">
        <f t="shared" si="142"/>
        <v>340.94590122751879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20.285539321114999</v>
      </c>
      <c r="AA162" s="21">
        <f>EXP(-LN(2)/25)*AA161+(1-EXP(-LN(2)/25))/(LN(2)/25)*Calculateur!V162*Calculateur!X162*VLOOKUP('Données projet'!$B$9,Paramètres!$A$1:$I$89,3,0)*0.475*44/12</f>
        <v>0.90688901738537187</v>
      </c>
      <c r="AB162" s="21">
        <f>EXP(-LN(2)/2)*AB161+(1-EXP(-LN(2)/2))/(LN(2)/2)*V162*Y162*VLOOKUP('Données projet'!$B$9,Paramètres!$A$1:$I$89,3,0)*0.475*44/12</f>
        <v>9.511149416503573E-17</v>
      </c>
      <c r="AC162" s="22">
        <f t="shared" si="163"/>
        <v>21.19242833850037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0</v>
      </c>
      <c r="AJ162" s="13" t="e">
        <f>AI162*VLOOKUP('Données projet'!$B$10,Paramètres!$A$1:$I$89,3,0)*VLOOKUP('Données projet'!$B$10,Paramètres!$A$1:$I$89,5,0)</f>
        <v>#N/A</v>
      </c>
      <c r="AK162" s="13" t="e">
        <f t="shared" si="164"/>
        <v>#N/A</v>
      </c>
      <c r="AL162" s="20" t="e">
        <f t="shared" si="165"/>
        <v>#N/A</v>
      </c>
      <c r="AM162" s="59" t="e">
        <f t="shared" si="113"/>
        <v>#N/A</v>
      </c>
      <c r="AN162" s="59" t="e">
        <f ca="1">AVERAGE(OFFSET($AM$3,0,0,'Données projet'!$E$10+1,1))-AVERAGE(OFFSET($H$3,0,0,'Données projet'!$E$10+1,1))</f>
        <v>#N/A</v>
      </c>
      <c r="AO162" s="59" t="e">
        <f t="shared" si="144"/>
        <v>#N/A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 t="e">
        <f>EXP(-LN(2)/35)*AU161+(1-EXP(-LN(2)/35))/(LN(2)/35)*AQ162*AR162*VLOOKUP('Données projet'!$B$10,Paramètres!$A$1:$I$89,3,0)*0.475*44/12</f>
        <v>#N/A</v>
      </c>
      <c r="AV162" s="21" t="e">
        <f>EXP(-LN(2)/25)*AV161+(1-EXP(-LN(2)/25))/(LN(2)/25)*Calculateur!AQ162*Calculateur!AS162*VLOOKUP('Données projet'!$B$10,Paramètres!$A$1:$I$89,3,0)*0.475*44/12</f>
        <v>#N/A</v>
      </c>
      <c r="AW162" s="21" t="e">
        <f>EXP(-LN(2)/2)*AW161+(1-EXP(-LN(2)/2))/(LN(2)/2)*AQ162*AT162*VLOOKUP('Données projet'!$B$10,Paramètres!$A$1:$I$89,3,0)*0.475*44/12</f>
        <v>#N/A</v>
      </c>
      <c r="AX162" s="21" t="e">
        <f t="shared" si="166"/>
        <v>#N/A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2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95.679999999999879</v>
      </c>
      <c r="D163" s="11">
        <f t="shared" si="140"/>
        <v>25.930186937101919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938.7453026723648</v>
      </c>
      <c r="H163" s="67">
        <f t="shared" si="110"/>
        <v>505.13774224878563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-5.6843418860808015E-14</v>
      </c>
      <c r="O163" s="13">
        <f>N163*VLOOKUP('Données projet'!$B$9,Paramètres!$A$1:$I$89,3,0)*VLOOKUP('Données projet'!$B$9,Paramètres!$A$1:$I$89,5,0)</f>
        <v>-3.3992364478763198E-14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232.5902129145469</v>
      </c>
      <c r="T163" s="59">
        <f t="shared" si="142"/>
        <v>340.94590122751879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19.887752267985192</v>
      </c>
      <c r="AA163" s="21">
        <f>EXP(-LN(2)/25)*AA162+(1-EXP(-LN(2)/25))/(LN(2)/25)*Calculateur!V163*Calculateur!X163*VLOOKUP('Données projet'!$B$9,Paramètres!$A$1:$I$89,3,0)*0.475*44/12</f>
        <v>0.88209008951374812</v>
      </c>
      <c r="AB163" s="21">
        <f>EXP(-LN(2)/2)*AB162+(1-EXP(-LN(2)/2))/(LN(2)/2)*V163*Y163*VLOOKUP('Données projet'!$B$9,Paramètres!$A$1:$I$89,3,0)*0.475*44/12</f>
        <v>6.725398249288151E-17</v>
      </c>
      <c r="AC163" s="22">
        <f t="shared" si="163"/>
        <v>20.769842357498941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0</v>
      </c>
      <c r="AJ163" s="13" t="e">
        <f>AI163*VLOOKUP('Données projet'!$B$10,Paramètres!$A$1:$I$89,3,0)*VLOOKUP('Données projet'!$B$10,Paramètres!$A$1:$I$89,5,0)</f>
        <v>#N/A</v>
      </c>
      <c r="AK163" s="13" t="e">
        <f t="shared" si="164"/>
        <v>#N/A</v>
      </c>
      <c r="AL163" s="20" t="e">
        <f t="shared" si="165"/>
        <v>#N/A</v>
      </c>
      <c r="AM163" s="59" t="e">
        <f t="shared" si="113"/>
        <v>#N/A</v>
      </c>
      <c r="AN163" s="59" t="e">
        <f ca="1">AVERAGE(OFFSET($AM$3,0,0,'Données projet'!$E$10+1,1))-AVERAGE(OFFSET($H$3,0,0,'Données projet'!$E$10+1,1))</f>
        <v>#N/A</v>
      </c>
      <c r="AO163" s="59" t="e">
        <f t="shared" si="144"/>
        <v>#N/A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 t="e">
        <f>EXP(-LN(2)/35)*AU162+(1-EXP(-LN(2)/35))/(LN(2)/35)*AQ163*AR163*VLOOKUP('Données projet'!$B$10,Paramètres!$A$1:$I$89,3,0)*0.475*44/12</f>
        <v>#N/A</v>
      </c>
      <c r="AV163" s="21" t="e">
        <f>EXP(-LN(2)/25)*AV162+(1-EXP(-LN(2)/25))/(LN(2)/25)*Calculateur!AQ163*Calculateur!AS163*VLOOKUP('Données projet'!$B$10,Paramètres!$A$1:$I$89,3,0)*0.475*44/12</f>
        <v>#N/A</v>
      </c>
      <c r="AW163" s="21" t="e">
        <f>EXP(-LN(2)/2)*AW162+(1-EXP(-LN(2)/2))/(LN(2)/2)*AQ163*AT163*VLOOKUP('Données projet'!$B$10,Paramètres!$A$1:$I$89,3,0)*0.475*44/12</f>
        <v>#N/A</v>
      </c>
      <c r="AX163" s="21" t="e">
        <f t="shared" si="166"/>
        <v>#N/A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2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96.277999999999878</v>
      </c>
      <c r="D164" s="11">
        <f t="shared" si="140"/>
        <v>26.073334426410252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944.46644118632378</v>
      </c>
      <c r="H164" s="67">
        <f t="shared" si="110"/>
        <v>506.42857412599761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-5.6843418860808015E-14</v>
      </c>
      <c r="O164" s="13">
        <f>N164*VLOOKUP('Données projet'!$B$9,Paramètres!$A$1:$I$89,3,0)*VLOOKUP('Données projet'!$B$9,Paramètres!$A$1:$I$89,5,0)</f>
        <v>-3.3992364478763198E-14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232.5902129145469</v>
      </c>
      <c r="T164" s="59">
        <f t="shared" si="142"/>
        <v>340.94590122751879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19.497765576341116</v>
      </c>
      <c r="AA164" s="21">
        <f>EXP(-LN(2)/25)*AA163+(1-EXP(-LN(2)/25))/(LN(2)/25)*Calculateur!V164*Calculateur!X164*VLOOKUP('Données projet'!$B$9,Paramètres!$A$1:$I$89,3,0)*0.475*44/12</f>
        <v>0.85796928962889296</v>
      </c>
      <c r="AB164" s="21">
        <f>EXP(-LN(2)/2)*AB163+(1-EXP(-LN(2)/2))/(LN(2)/2)*V164*Y164*VLOOKUP('Données projet'!$B$9,Paramètres!$A$1:$I$89,3,0)*0.475*44/12</f>
        <v>4.7555747082517865E-17</v>
      </c>
      <c r="AC164" s="22">
        <f t="shared" si="163"/>
        <v>20.35573486597001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0</v>
      </c>
      <c r="AJ164" s="13" t="e">
        <f>AI164*VLOOKUP('Données projet'!$B$10,Paramètres!$A$1:$I$89,3,0)*VLOOKUP('Données projet'!$B$10,Paramètres!$A$1:$I$89,5,0)</f>
        <v>#N/A</v>
      </c>
      <c r="AK164" s="13" t="e">
        <f t="shared" si="164"/>
        <v>#N/A</v>
      </c>
      <c r="AL164" s="20" t="e">
        <f t="shared" si="165"/>
        <v>#N/A</v>
      </c>
      <c r="AM164" s="59" t="e">
        <f t="shared" si="113"/>
        <v>#N/A</v>
      </c>
      <c r="AN164" s="59" t="e">
        <f ca="1">AVERAGE(OFFSET($AM$3,0,0,'Données projet'!$E$10+1,1))-AVERAGE(OFFSET($H$3,0,0,'Données projet'!$E$10+1,1))</f>
        <v>#N/A</v>
      </c>
      <c r="AO164" s="59" t="e">
        <f t="shared" si="144"/>
        <v>#N/A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 t="e">
        <f>EXP(-LN(2)/35)*AU163+(1-EXP(-LN(2)/35))/(LN(2)/35)*AQ164*AR164*VLOOKUP('Données projet'!$B$10,Paramètres!$A$1:$I$89,3,0)*0.475*44/12</f>
        <v>#N/A</v>
      </c>
      <c r="AV164" s="21" t="e">
        <f>EXP(-LN(2)/25)*AV163+(1-EXP(-LN(2)/25))/(LN(2)/25)*Calculateur!AQ164*Calculateur!AS164*VLOOKUP('Données projet'!$B$10,Paramètres!$A$1:$I$89,3,0)*0.475*44/12</f>
        <v>#N/A</v>
      </c>
      <c r="AW164" s="21" t="e">
        <f>EXP(-LN(2)/2)*AW163+(1-EXP(-LN(2)/2))/(LN(2)/2)*AQ164*AT164*VLOOKUP('Données projet'!$B$10,Paramètres!$A$1:$I$89,3,0)*0.475*44/12</f>
        <v>#N/A</v>
      </c>
      <c r="AX164" s="21" t="e">
        <f t="shared" si="166"/>
        <v>#N/A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2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96.875999999999877</v>
      </c>
      <c r="D165" s="11">
        <f t="shared" si="140"/>
        <v>26.216378459450194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950.18678109049188</v>
      </c>
      <c r="H165" s="67">
        <f t="shared" si="110"/>
        <v>507.71922581687556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-5.6843418860808015E-14</v>
      </c>
      <c r="O165" s="13">
        <f>N165*VLOOKUP('Données projet'!$B$9,Paramètres!$A$1:$I$89,3,0)*VLOOKUP('Données projet'!$B$9,Paramètres!$A$1:$I$89,5,0)</f>
        <v>-3.3992364478763198E-14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232.5902129145469</v>
      </c>
      <c r="T165" s="59">
        <f t="shared" si="142"/>
        <v>340.94590122751879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19.115426285851786</v>
      </c>
      <c r="AA165" s="21">
        <f>EXP(-LN(2)/25)*AA164+(1-EXP(-LN(2)/25))/(LN(2)/25)*Calculateur!V165*Calculateur!X165*VLOOKUP('Données projet'!$B$9,Paramètres!$A$1:$I$89,3,0)*0.475*44/12</f>
        <v>0.8345080742853469</v>
      </c>
      <c r="AB165" s="21">
        <f>EXP(-LN(2)/2)*AB164+(1-EXP(-LN(2)/2))/(LN(2)/2)*V165*Y165*VLOOKUP('Données projet'!$B$9,Paramètres!$A$1:$I$89,3,0)*0.475*44/12</f>
        <v>3.3626991246440755E-17</v>
      </c>
      <c r="AC165" s="22">
        <f t="shared" si="163"/>
        <v>19.949934360137132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0</v>
      </c>
      <c r="AJ165" s="13" t="e">
        <f>AI165*VLOOKUP('Données projet'!$B$10,Paramètres!$A$1:$I$89,3,0)*VLOOKUP('Données projet'!$B$10,Paramètres!$A$1:$I$89,5,0)</f>
        <v>#N/A</v>
      </c>
      <c r="AK165" s="13" t="e">
        <f t="shared" si="164"/>
        <v>#N/A</v>
      </c>
      <c r="AL165" s="20" t="e">
        <f t="shared" si="165"/>
        <v>#N/A</v>
      </c>
      <c r="AM165" s="59" t="e">
        <f t="shared" si="113"/>
        <v>#N/A</v>
      </c>
      <c r="AN165" s="59" t="e">
        <f ca="1">AVERAGE(OFFSET($AM$3,0,0,'Données projet'!$E$10+1,1))-AVERAGE(OFFSET($H$3,0,0,'Données projet'!$E$10+1,1))</f>
        <v>#N/A</v>
      </c>
      <c r="AO165" s="59" t="e">
        <f t="shared" si="144"/>
        <v>#N/A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 t="e">
        <f>EXP(-LN(2)/35)*AU164+(1-EXP(-LN(2)/35))/(LN(2)/35)*AQ165*AR165*VLOOKUP('Données projet'!$B$10,Paramètres!$A$1:$I$89,3,0)*0.475*44/12</f>
        <v>#N/A</v>
      </c>
      <c r="AV165" s="21" t="e">
        <f>EXP(-LN(2)/25)*AV164+(1-EXP(-LN(2)/25))/(LN(2)/25)*Calculateur!AQ165*Calculateur!AS165*VLOOKUP('Données projet'!$B$10,Paramètres!$A$1:$I$89,3,0)*0.475*44/12</f>
        <v>#N/A</v>
      </c>
      <c r="AW165" s="21" t="e">
        <f>EXP(-LN(2)/2)*AW164+(1-EXP(-LN(2)/2))/(LN(2)/2)*AQ165*AT165*VLOOKUP('Données projet'!$B$10,Paramètres!$A$1:$I$89,3,0)*0.475*44/12</f>
        <v>#N/A</v>
      </c>
      <c r="AX165" s="21" t="e">
        <f t="shared" si="166"/>
        <v>#N/A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2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97.473999999999876</v>
      </c>
      <c r="D166" s="11">
        <f t="shared" si="140"/>
        <v>26.359319748929014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955.90632788646872</v>
      </c>
      <c r="H166" s="67">
        <f t="shared" si="110"/>
        <v>509.00969856271774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-5.6843418860808015E-14</v>
      </c>
      <c r="O166" s="13">
        <f>N166*VLOOKUP('Données projet'!$B$9,Paramètres!$A$1:$I$89,3,0)*VLOOKUP('Données projet'!$B$9,Paramètres!$A$1:$I$89,5,0)</f>
        <v>-3.3992364478763198E-14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232.5902129145469</v>
      </c>
      <c r="T166" s="59">
        <f t="shared" si="142"/>
        <v>340.94590122751879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18.740584435645012</v>
      </c>
      <c r="AA166" s="21">
        <f>EXP(-LN(2)/25)*AA165+(1-EXP(-LN(2)/25))/(LN(2)/25)*Calculateur!V166*Calculateur!X166*VLOOKUP('Données projet'!$B$9,Paramètres!$A$1:$I$89,3,0)*0.475*44/12</f>
        <v>0.81168840710914181</v>
      </c>
      <c r="AB166" s="21">
        <f>EXP(-LN(2)/2)*AB165+(1-EXP(-LN(2)/2))/(LN(2)/2)*V166*Y166*VLOOKUP('Données projet'!$B$9,Paramètres!$A$1:$I$89,3,0)*0.475*44/12</f>
        <v>2.3777873541258932E-17</v>
      </c>
      <c r="AC166" s="22">
        <f t="shared" si="163"/>
        <v>19.552272842754153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0</v>
      </c>
      <c r="AJ166" s="13" t="e">
        <f>AI166*VLOOKUP('Données projet'!$B$10,Paramètres!$A$1:$I$89,3,0)*VLOOKUP('Données projet'!$B$10,Paramètres!$A$1:$I$89,5,0)</f>
        <v>#N/A</v>
      </c>
      <c r="AK166" s="13" t="e">
        <f t="shared" si="164"/>
        <v>#N/A</v>
      </c>
      <c r="AL166" s="20" t="e">
        <f t="shared" si="165"/>
        <v>#N/A</v>
      </c>
      <c r="AM166" s="59" t="e">
        <f t="shared" si="113"/>
        <v>#N/A</v>
      </c>
      <c r="AN166" s="59" t="e">
        <f ca="1">AVERAGE(OFFSET($AM$3,0,0,'Données projet'!$E$10+1,1))-AVERAGE(OFFSET($H$3,0,0,'Données projet'!$E$10+1,1))</f>
        <v>#N/A</v>
      </c>
      <c r="AO166" s="59" t="e">
        <f t="shared" si="144"/>
        <v>#N/A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 t="e">
        <f>EXP(-LN(2)/35)*AU165+(1-EXP(-LN(2)/35))/(LN(2)/35)*AQ166*AR166*VLOOKUP('Données projet'!$B$10,Paramètres!$A$1:$I$89,3,0)*0.475*44/12</f>
        <v>#N/A</v>
      </c>
      <c r="AV166" s="21" t="e">
        <f>EXP(-LN(2)/25)*AV165+(1-EXP(-LN(2)/25))/(LN(2)/25)*Calculateur!AQ166*Calculateur!AS166*VLOOKUP('Données projet'!$B$10,Paramètres!$A$1:$I$89,3,0)*0.475*44/12</f>
        <v>#N/A</v>
      </c>
      <c r="AW166" s="21" t="e">
        <f>EXP(-LN(2)/2)*AW165+(1-EXP(-LN(2)/2))/(LN(2)/2)*AQ166*AT166*VLOOKUP('Données projet'!$B$10,Paramètres!$A$1:$I$89,3,0)*0.475*44/12</f>
        <v>#N/A</v>
      </c>
      <c r="AX166" s="21" t="e">
        <f t="shared" si="166"/>
        <v>#N/A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2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98.071999999999875</v>
      </c>
      <c r="D167" s="11">
        <f t="shared" si="140"/>
        <v>26.502158998303084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961.62508700444403</v>
      </c>
      <c r="H167" s="67">
        <f t="shared" si="110"/>
        <v>510.299993588711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-5.6843418860808015E-14</v>
      </c>
      <c r="O167" s="13">
        <f>N167*VLOOKUP('Données projet'!$B$9,Paramètres!$A$1:$I$89,3,0)*VLOOKUP('Données projet'!$B$9,Paramètres!$A$1:$I$89,5,0)</f>
        <v>-3.3992364478763198E-14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232.5902129145469</v>
      </c>
      <c r="T167" s="59">
        <f t="shared" si="142"/>
        <v>340.94590122751879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18.373093005489839</v>
      </c>
      <c r="AA167" s="21">
        <f>EXP(-LN(2)/25)*AA166+(1-EXP(-LN(2)/25))/(LN(2)/25)*Calculateur!V167*Calculateur!X167*VLOOKUP('Données projet'!$B$9,Paramètres!$A$1:$I$89,3,0)*0.475*44/12</f>
        <v>0.78949274493190413</v>
      </c>
      <c r="AB167" s="21">
        <f>EXP(-LN(2)/2)*AB166+(1-EXP(-LN(2)/2))/(LN(2)/2)*V167*Y167*VLOOKUP('Données projet'!$B$9,Paramètres!$A$1:$I$89,3,0)*0.475*44/12</f>
        <v>1.6813495623220378E-17</v>
      </c>
      <c r="AC167" s="22">
        <f t="shared" si="163"/>
        <v>19.162585750421744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0</v>
      </c>
      <c r="AJ167" s="13" t="e">
        <f>AI167*VLOOKUP('Données projet'!$B$10,Paramètres!$A$1:$I$89,3,0)*VLOOKUP('Données projet'!$B$10,Paramètres!$A$1:$I$89,5,0)</f>
        <v>#N/A</v>
      </c>
      <c r="AK167" s="13" t="e">
        <f t="shared" si="164"/>
        <v>#N/A</v>
      </c>
      <c r="AL167" s="20" t="e">
        <f t="shared" si="165"/>
        <v>#N/A</v>
      </c>
      <c r="AM167" s="59" t="e">
        <f t="shared" si="113"/>
        <v>#N/A</v>
      </c>
      <c r="AN167" s="59" t="e">
        <f ca="1">AVERAGE(OFFSET($AM$3,0,0,'Données projet'!$E$10+1,1))-AVERAGE(OFFSET($H$3,0,0,'Données projet'!$E$10+1,1))</f>
        <v>#N/A</v>
      </c>
      <c r="AO167" s="59" t="e">
        <f t="shared" si="144"/>
        <v>#N/A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 t="e">
        <f>EXP(-LN(2)/35)*AU166+(1-EXP(-LN(2)/35))/(LN(2)/35)*AQ167*AR167*VLOOKUP('Données projet'!$B$10,Paramètres!$A$1:$I$89,3,0)*0.475*44/12</f>
        <v>#N/A</v>
      </c>
      <c r="AV167" s="21" t="e">
        <f>EXP(-LN(2)/25)*AV166+(1-EXP(-LN(2)/25))/(LN(2)/25)*Calculateur!AQ167*Calculateur!AS167*VLOOKUP('Données projet'!$B$10,Paramètres!$A$1:$I$89,3,0)*0.475*44/12</f>
        <v>#N/A</v>
      </c>
      <c r="AW167" s="21" t="e">
        <f>EXP(-LN(2)/2)*AW166+(1-EXP(-LN(2)/2))/(LN(2)/2)*AQ167*AT167*VLOOKUP('Données projet'!$B$10,Paramètres!$A$1:$I$89,3,0)*0.475*44/12</f>
        <v>#N/A</v>
      </c>
      <c r="AX167" s="21" t="e">
        <f t="shared" si="166"/>
        <v>#N/A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2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98.669999999999874</v>
      </c>
      <c r="D168" s="11">
        <f t="shared" si="140"/>
        <v>26.644896901954041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967.34306380455655</v>
      </c>
      <c r="H168" s="67">
        <f t="shared" si="110"/>
        <v>511.59011210423637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-5.6843418860808015E-14</v>
      </c>
      <c r="O168" s="13">
        <f>N168*VLOOKUP('Données projet'!$B$9,Paramètres!$A$1:$I$89,3,0)*VLOOKUP('Données projet'!$B$9,Paramètres!$A$1:$I$89,5,0)</f>
        <v>-3.3992364478763198E-14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232.5902129145469</v>
      </c>
      <c r="T168" s="59">
        <f t="shared" si="142"/>
        <v>340.94590122751879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18.012807858132369</v>
      </c>
      <c r="AA168" s="21">
        <f>EXP(-LN(2)/25)*AA167+(1-EXP(-LN(2)/25))/(LN(2)/25)*Calculateur!V168*Calculateur!X168*VLOOKUP('Données projet'!$B$9,Paramètres!$A$1:$I$89,3,0)*0.475*44/12</f>
        <v>0.76790402430412219</v>
      </c>
      <c r="AB168" s="21">
        <f>EXP(-LN(2)/2)*AB167+(1-EXP(-LN(2)/2))/(LN(2)/2)*V168*Y168*VLOOKUP('Données projet'!$B$9,Paramètres!$A$1:$I$89,3,0)*0.475*44/12</f>
        <v>1.1888936770629466E-17</v>
      </c>
      <c r="AC168" s="22">
        <f t="shared" si="163"/>
        <v>18.780711882436492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0</v>
      </c>
      <c r="AJ168" s="13" t="e">
        <f>AI168*VLOOKUP('Données projet'!$B$10,Paramètres!$A$1:$I$89,3,0)*VLOOKUP('Données projet'!$B$10,Paramètres!$A$1:$I$89,5,0)</f>
        <v>#N/A</v>
      </c>
      <c r="AK168" s="13" t="e">
        <f t="shared" si="164"/>
        <v>#N/A</v>
      </c>
      <c r="AL168" s="20" t="e">
        <f t="shared" si="165"/>
        <v>#N/A</v>
      </c>
      <c r="AM168" s="59" t="e">
        <f t="shared" si="113"/>
        <v>#N/A</v>
      </c>
      <c r="AN168" s="59" t="e">
        <f ca="1">AVERAGE(OFFSET($AM$3,0,0,'Données projet'!$E$10+1,1))-AVERAGE(OFFSET($H$3,0,0,'Données projet'!$E$10+1,1))</f>
        <v>#N/A</v>
      </c>
      <c r="AO168" s="59" t="e">
        <f t="shared" si="144"/>
        <v>#N/A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 t="e">
        <f>EXP(-LN(2)/35)*AU167+(1-EXP(-LN(2)/35))/(LN(2)/35)*AQ168*AR168*VLOOKUP('Données projet'!$B$10,Paramètres!$A$1:$I$89,3,0)*0.475*44/12</f>
        <v>#N/A</v>
      </c>
      <c r="AV168" s="21" t="e">
        <f>EXP(-LN(2)/25)*AV167+(1-EXP(-LN(2)/25))/(LN(2)/25)*Calculateur!AQ168*Calculateur!AS168*VLOOKUP('Données projet'!$B$10,Paramètres!$A$1:$I$89,3,0)*0.475*44/12</f>
        <v>#N/A</v>
      </c>
      <c r="AW168" s="21" t="e">
        <f>EXP(-LN(2)/2)*AW167+(1-EXP(-LN(2)/2))/(LN(2)/2)*AQ168*AT168*VLOOKUP('Données projet'!$B$10,Paramètres!$A$1:$I$89,3,0)*0.475*44/12</f>
        <v>#N/A</v>
      </c>
      <c r="AX168" s="21" t="e">
        <f t="shared" si="166"/>
        <v>#N/A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2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99.267999999999873</v>
      </c>
      <c r="D169" s="11">
        <f t="shared" si="140"/>
        <v>26.787534145359764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973.06026357821474</v>
      </c>
      <c r="H169" s="67">
        <f t="shared" si="110"/>
        <v>512.88005530316809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-5.6843418860808015E-14</v>
      </c>
      <c r="O169" s="13">
        <f>N169*VLOOKUP('Données projet'!$B$9,Paramètres!$A$1:$I$89,3,0)*VLOOKUP('Données projet'!$B$9,Paramètres!$A$1:$I$89,5,0)</f>
        <v>-3.3992364478763198E-14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232.5902129145469</v>
      </c>
      <c r="T169" s="59">
        <f t="shared" si="142"/>
        <v>340.94590122751879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17.659587682762339</v>
      </c>
      <c r="AA169" s="21">
        <f>EXP(-LN(2)/25)*AA168+(1-EXP(-LN(2)/25))/(LN(2)/25)*Calculateur!V169*Calculateur!X169*VLOOKUP('Données projet'!$B$9,Paramètres!$A$1:$I$89,3,0)*0.475*44/12</f>
        <v>0.74690564837720841</v>
      </c>
      <c r="AB169" s="21">
        <f>EXP(-LN(2)/2)*AB168+(1-EXP(-LN(2)/2))/(LN(2)/2)*V169*Y169*VLOOKUP('Données projet'!$B$9,Paramètres!$A$1:$I$89,3,0)*0.475*44/12</f>
        <v>8.4067478116101888E-18</v>
      </c>
      <c r="AC169" s="22">
        <f t="shared" si="163"/>
        <v>18.406493331139547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0</v>
      </c>
      <c r="AJ169" s="13" t="e">
        <f>AI169*VLOOKUP('Données projet'!$B$10,Paramètres!$A$1:$I$89,3,0)*VLOOKUP('Données projet'!$B$10,Paramètres!$A$1:$I$89,5,0)</f>
        <v>#N/A</v>
      </c>
      <c r="AK169" s="13" t="e">
        <f t="shared" si="164"/>
        <v>#N/A</v>
      </c>
      <c r="AL169" s="20" t="e">
        <f t="shared" si="165"/>
        <v>#N/A</v>
      </c>
      <c r="AM169" s="59" t="e">
        <f t="shared" si="113"/>
        <v>#N/A</v>
      </c>
      <c r="AN169" s="59" t="e">
        <f ca="1">AVERAGE(OFFSET($AM$3,0,0,'Données projet'!$E$10+1,1))-AVERAGE(OFFSET($H$3,0,0,'Données projet'!$E$10+1,1))</f>
        <v>#N/A</v>
      </c>
      <c r="AO169" s="59" t="e">
        <f t="shared" si="144"/>
        <v>#N/A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 t="e">
        <f>EXP(-LN(2)/35)*AU168+(1-EXP(-LN(2)/35))/(LN(2)/35)*AQ169*AR169*VLOOKUP('Données projet'!$B$10,Paramètres!$A$1:$I$89,3,0)*0.475*44/12</f>
        <v>#N/A</v>
      </c>
      <c r="AV169" s="21" t="e">
        <f>EXP(-LN(2)/25)*AV168+(1-EXP(-LN(2)/25))/(LN(2)/25)*Calculateur!AQ169*Calculateur!AS169*VLOOKUP('Données projet'!$B$10,Paramètres!$A$1:$I$89,3,0)*0.475*44/12</f>
        <v>#N/A</v>
      </c>
      <c r="AW169" s="21" t="e">
        <f>EXP(-LN(2)/2)*AW168+(1-EXP(-LN(2)/2))/(LN(2)/2)*AQ169*AT169*VLOOKUP('Données projet'!$B$10,Paramètres!$A$1:$I$89,3,0)*0.475*44/12</f>
        <v>#N/A</v>
      </c>
      <c r="AX169" s="21" t="e">
        <f t="shared" si="166"/>
        <v>#N/A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2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99.865999999999872</v>
      </c>
      <c r="D170" s="11">
        <f t="shared" si="140"/>
        <v>26.930071405261604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978.77669154938678</v>
      </c>
      <c r="H170" s="67">
        <f t="shared" si="110"/>
        <v>514.16982436416379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-5.6843418860808015E-14</v>
      </c>
      <c r="O170" s="13">
        <f>N170*VLOOKUP('Données projet'!$B$9,Paramètres!$A$1:$I$89,3,0)*VLOOKUP('Données projet'!$B$9,Paramètres!$A$1:$I$89,5,0)</f>
        <v>-3.3992364478763198E-14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232.5902129145469</v>
      </c>
      <c r="T170" s="59">
        <f t="shared" si="142"/>
        <v>340.94590122751879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17.313293939588281</v>
      </c>
      <c r="AA170" s="21">
        <f>EXP(-LN(2)/25)*AA169+(1-EXP(-LN(2)/25))/(LN(2)/25)*Calculateur!V170*Calculateur!X170*VLOOKUP('Données projet'!$B$9,Paramètres!$A$1:$I$89,3,0)*0.475*44/12</f>
        <v>0.72648147414427267</v>
      </c>
      <c r="AB170" s="21">
        <f>EXP(-LN(2)/2)*AB169+(1-EXP(-LN(2)/2))/(LN(2)/2)*V170*Y170*VLOOKUP('Données projet'!$B$9,Paramètres!$A$1:$I$89,3,0)*0.475*44/12</f>
        <v>5.9444683853147331E-18</v>
      </c>
      <c r="AC170" s="22">
        <f t="shared" si="163"/>
        <v>18.039775413732553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0</v>
      </c>
      <c r="AJ170" s="13" t="e">
        <f>AI170*VLOOKUP('Données projet'!$B$10,Paramètres!$A$1:$I$89,3,0)*VLOOKUP('Données projet'!$B$10,Paramètres!$A$1:$I$89,5,0)</f>
        <v>#N/A</v>
      </c>
      <c r="AK170" s="13" t="e">
        <f t="shared" si="164"/>
        <v>#N/A</v>
      </c>
      <c r="AL170" s="20" t="e">
        <f t="shared" si="165"/>
        <v>#N/A</v>
      </c>
      <c r="AM170" s="59" t="e">
        <f t="shared" si="113"/>
        <v>#N/A</v>
      </c>
      <c r="AN170" s="59" t="e">
        <f ca="1">AVERAGE(OFFSET($AM$3,0,0,'Données projet'!$E$10+1,1))-AVERAGE(OFFSET($H$3,0,0,'Données projet'!$E$10+1,1))</f>
        <v>#N/A</v>
      </c>
      <c r="AO170" s="59" t="e">
        <f t="shared" si="144"/>
        <v>#N/A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 t="e">
        <f>EXP(-LN(2)/35)*AU169+(1-EXP(-LN(2)/35))/(LN(2)/35)*AQ170*AR170*VLOOKUP('Données projet'!$B$10,Paramètres!$A$1:$I$89,3,0)*0.475*44/12</f>
        <v>#N/A</v>
      </c>
      <c r="AV170" s="21" t="e">
        <f>EXP(-LN(2)/25)*AV169+(1-EXP(-LN(2)/25))/(LN(2)/25)*Calculateur!AQ170*Calculateur!AS170*VLOOKUP('Données projet'!$B$10,Paramètres!$A$1:$I$89,3,0)*0.475*44/12</f>
        <v>#N/A</v>
      </c>
      <c r="AW170" s="21" t="e">
        <f>EXP(-LN(2)/2)*AW169+(1-EXP(-LN(2)/2))/(LN(2)/2)*AQ170*AT170*VLOOKUP('Données projet'!$B$10,Paramètres!$A$1:$I$89,3,0)*0.475*44/12</f>
        <v>#N/A</v>
      </c>
      <c r="AX170" s="21" t="e">
        <f t="shared" si="166"/>
        <v>#N/A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2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100.46399999999987</v>
      </c>
      <c r="D171" s="11">
        <f t="shared" si="140"/>
        <v>27.072509349827431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984.49235287585998</v>
      </c>
      <c r="H171" s="67">
        <f t="shared" si="110"/>
        <v>515.45942045094921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-5.6843418860808015E-14</v>
      </c>
      <c r="O171" s="13">
        <f>N171*VLOOKUP('Données projet'!$B$9,Paramètres!$A$1:$I$89,3,0)*VLOOKUP('Données projet'!$B$9,Paramètres!$A$1:$I$89,5,0)</f>
        <v>-3.3992364478763198E-14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232.5902129145469</v>
      </c>
      <c r="T171" s="59">
        <f t="shared" si="142"/>
        <v>340.94590122751879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16.973790805499537</v>
      </c>
      <c r="AA171" s="21">
        <f>EXP(-LN(2)/25)*AA170+(1-EXP(-LN(2)/25))/(LN(2)/25)*Calculateur!V171*Calculateur!X171*VLOOKUP('Données projet'!$B$9,Paramètres!$A$1:$I$89,3,0)*0.475*44/12</f>
        <v>0.70661580002979718</v>
      </c>
      <c r="AB171" s="21">
        <f>EXP(-LN(2)/2)*AB170+(1-EXP(-LN(2)/2))/(LN(2)/2)*V171*Y171*VLOOKUP('Données projet'!$B$9,Paramètres!$A$1:$I$89,3,0)*0.475*44/12</f>
        <v>4.2033739058050944E-18</v>
      </c>
      <c r="AC171" s="22">
        <f t="shared" si="163"/>
        <v>17.680406605529335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0</v>
      </c>
      <c r="AJ171" s="13" t="e">
        <f>AI171*VLOOKUP('Données projet'!$B$10,Paramètres!$A$1:$I$89,3,0)*VLOOKUP('Données projet'!$B$10,Paramètres!$A$1:$I$89,5,0)</f>
        <v>#N/A</v>
      </c>
      <c r="AK171" s="13" t="e">
        <f t="shared" si="164"/>
        <v>#N/A</v>
      </c>
      <c r="AL171" s="20" t="e">
        <f t="shared" si="165"/>
        <v>#N/A</v>
      </c>
      <c r="AM171" s="59" t="e">
        <f t="shared" si="113"/>
        <v>#N/A</v>
      </c>
      <c r="AN171" s="59" t="e">
        <f ca="1">AVERAGE(OFFSET($AM$3,0,0,'Données projet'!$E$10+1,1))-AVERAGE(OFFSET($H$3,0,0,'Données projet'!$E$10+1,1))</f>
        <v>#N/A</v>
      </c>
      <c r="AO171" s="59" t="e">
        <f t="shared" si="144"/>
        <v>#N/A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 t="e">
        <f>EXP(-LN(2)/35)*AU170+(1-EXP(-LN(2)/35))/(LN(2)/35)*AQ171*AR171*VLOOKUP('Données projet'!$B$10,Paramètres!$A$1:$I$89,3,0)*0.475*44/12</f>
        <v>#N/A</v>
      </c>
      <c r="AV171" s="21" t="e">
        <f>EXP(-LN(2)/25)*AV170+(1-EXP(-LN(2)/25))/(LN(2)/25)*Calculateur!AQ171*Calculateur!AS171*VLOOKUP('Données projet'!$B$10,Paramètres!$A$1:$I$89,3,0)*0.475*44/12</f>
        <v>#N/A</v>
      </c>
      <c r="AW171" s="21" t="e">
        <f>EXP(-LN(2)/2)*AW170+(1-EXP(-LN(2)/2))/(LN(2)/2)*AQ171*AT171*VLOOKUP('Données projet'!$B$10,Paramètres!$A$1:$I$89,3,0)*0.475*44/12</f>
        <v>#N/A</v>
      </c>
      <c r="AX171" s="21" t="e">
        <f t="shared" si="166"/>
        <v>#N/A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2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101.06199999999987</v>
      </c>
      <c r="D172" s="11">
        <f t="shared" si="140"/>
        <v>27.214848638810537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990.20725265046633</v>
      </c>
      <c r="H172" s="67">
        <f t="shared" si="110"/>
        <v>516.74884471259475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-5.6843418860808015E-14</v>
      </c>
      <c r="O172" s="13">
        <f>N172*VLOOKUP('Données projet'!$B$9,Paramètres!$A$1:$I$89,3,0)*VLOOKUP('Données projet'!$B$9,Paramètres!$A$1:$I$89,5,0)</f>
        <v>-3.3992364478763198E-14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232.5902129145469</v>
      </c>
      <c r="T172" s="59">
        <f t="shared" si="142"/>
        <v>340.94590122751879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16.640945120793809</v>
      </c>
      <c r="AA172" s="21">
        <f>EXP(-LN(2)/25)*AA171+(1-EXP(-LN(2)/25))/(LN(2)/25)*Calculateur!V172*Calculateur!X172*VLOOKUP('Données projet'!$B$9,Paramètres!$A$1:$I$89,3,0)*0.475*44/12</f>
        <v>0.6872933538186724</v>
      </c>
      <c r="AB172" s="21">
        <f>EXP(-LN(2)/2)*AB171+(1-EXP(-LN(2)/2))/(LN(2)/2)*V172*Y172*VLOOKUP('Données projet'!$B$9,Paramètres!$A$1:$I$89,3,0)*0.475*44/12</f>
        <v>2.9722341926573666E-18</v>
      </c>
      <c r="AC172" s="22">
        <f t="shared" si="163"/>
        <v>17.32823847461248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0</v>
      </c>
      <c r="AJ172" s="13" t="e">
        <f>AI172*VLOOKUP('Données projet'!$B$10,Paramètres!$A$1:$I$89,3,0)*VLOOKUP('Données projet'!$B$10,Paramètres!$A$1:$I$89,5,0)</f>
        <v>#N/A</v>
      </c>
      <c r="AK172" s="13" t="e">
        <f t="shared" si="164"/>
        <v>#N/A</v>
      </c>
      <c r="AL172" s="20" t="e">
        <f t="shared" si="165"/>
        <v>#N/A</v>
      </c>
      <c r="AM172" s="59" t="e">
        <f t="shared" si="113"/>
        <v>#N/A</v>
      </c>
      <c r="AN172" s="59" t="e">
        <f ca="1">AVERAGE(OFFSET($AM$3,0,0,'Données projet'!$E$10+1,1))-AVERAGE(OFFSET($H$3,0,0,'Données projet'!$E$10+1,1))</f>
        <v>#N/A</v>
      </c>
      <c r="AO172" s="59" t="e">
        <f t="shared" si="144"/>
        <v>#N/A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 t="e">
        <f>EXP(-LN(2)/35)*AU171+(1-EXP(-LN(2)/35))/(LN(2)/35)*AQ172*AR172*VLOOKUP('Données projet'!$B$10,Paramètres!$A$1:$I$89,3,0)*0.475*44/12</f>
        <v>#N/A</v>
      </c>
      <c r="AV172" s="21" t="e">
        <f>EXP(-LN(2)/25)*AV171+(1-EXP(-LN(2)/25))/(LN(2)/25)*Calculateur!AQ172*Calculateur!AS172*VLOOKUP('Données projet'!$B$10,Paramètres!$A$1:$I$89,3,0)*0.475*44/12</f>
        <v>#N/A</v>
      </c>
      <c r="AW172" s="21" t="e">
        <f>EXP(-LN(2)/2)*AW171+(1-EXP(-LN(2)/2))/(LN(2)/2)*AQ172*AT172*VLOOKUP('Données projet'!$B$10,Paramètres!$A$1:$I$89,3,0)*0.475*44/12</f>
        <v>#N/A</v>
      </c>
      <c r="AX172" s="21" t="e">
        <f t="shared" si="166"/>
        <v>#N/A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2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101.65999999999987</v>
      </c>
      <c r="D173" s="11">
        <f t="shared" si="140"/>
        <v>27.35708992370472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995.92139590228101</v>
      </c>
      <c r="H173" s="67">
        <f t="shared" si="110"/>
        <v>518.03809828378553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-5.6843418860808015E-14</v>
      </c>
      <c r="O173" s="13">
        <f>N173*VLOOKUP('Données projet'!$B$9,Paramètres!$A$1:$I$89,3,0)*VLOOKUP('Données projet'!$B$9,Paramètres!$A$1:$I$89,5,0)</f>
        <v>-3.3992364478763198E-14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232.5902129145469</v>
      </c>
      <c r="T173" s="59">
        <f t="shared" si="142"/>
        <v>340.94590122751879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16.314626336949338</v>
      </c>
      <c r="AA173" s="21">
        <f>EXP(-LN(2)/25)*AA172+(1-EXP(-LN(2)/25))/(LN(2)/25)*Calculateur!V173*Calculateur!X173*VLOOKUP('Données projet'!$B$9,Paramètres!$A$1:$I$89,3,0)*0.475*44/12</f>
        <v>0.66849928091531419</v>
      </c>
      <c r="AB173" s="21">
        <f>EXP(-LN(2)/2)*AB172+(1-EXP(-LN(2)/2))/(LN(2)/2)*V173*Y173*VLOOKUP('Données projet'!$B$9,Paramètres!$A$1:$I$89,3,0)*0.475*44/12</f>
        <v>2.1016869529025472E-18</v>
      </c>
      <c r="AC173" s="22">
        <f t="shared" si="163"/>
        <v>16.983125617864651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0</v>
      </c>
      <c r="AJ173" s="13" t="e">
        <f>AI173*VLOOKUP('Données projet'!$B$10,Paramètres!$A$1:$I$89,3,0)*VLOOKUP('Données projet'!$B$10,Paramètres!$A$1:$I$89,5,0)</f>
        <v>#N/A</v>
      </c>
      <c r="AK173" s="13" t="e">
        <f t="shared" si="164"/>
        <v>#N/A</v>
      </c>
      <c r="AL173" s="20" t="e">
        <f t="shared" si="165"/>
        <v>#N/A</v>
      </c>
      <c r="AM173" s="59" t="e">
        <f t="shared" si="113"/>
        <v>#N/A</v>
      </c>
      <c r="AN173" s="59" t="e">
        <f ca="1">AVERAGE(OFFSET($AM$3,0,0,'Données projet'!$E$10+1,1))-AVERAGE(OFFSET($H$3,0,0,'Données projet'!$E$10+1,1))</f>
        <v>#N/A</v>
      </c>
      <c r="AO173" s="59" t="e">
        <f t="shared" si="144"/>
        <v>#N/A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 t="e">
        <f>EXP(-LN(2)/35)*AU172+(1-EXP(-LN(2)/35))/(LN(2)/35)*AQ173*AR173*VLOOKUP('Données projet'!$B$10,Paramètres!$A$1:$I$89,3,0)*0.475*44/12</f>
        <v>#N/A</v>
      </c>
      <c r="AV173" s="21" t="e">
        <f>EXP(-LN(2)/25)*AV172+(1-EXP(-LN(2)/25))/(LN(2)/25)*Calculateur!AQ173*Calculateur!AS173*VLOOKUP('Données projet'!$B$10,Paramètres!$A$1:$I$89,3,0)*0.475*44/12</f>
        <v>#N/A</v>
      </c>
      <c r="AW173" s="21" t="e">
        <f>EXP(-LN(2)/2)*AW172+(1-EXP(-LN(2)/2))/(LN(2)/2)*AQ173*AT173*VLOOKUP('Données projet'!$B$10,Paramètres!$A$1:$I$89,3,0)*0.475*44/12</f>
        <v>#N/A</v>
      </c>
      <c r="AX173" s="21" t="e">
        <f t="shared" si="166"/>
        <v>#N/A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2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102.25799999999987</v>
      </c>
      <c r="D174" s="11">
        <f t="shared" si="140"/>
        <v>27.499233847895834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1001.6347875977913</v>
      </c>
      <c r="H174" s="67">
        <f t="shared" si="110"/>
        <v>519.32718228508497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-5.6843418860808015E-14</v>
      </c>
      <c r="O174" s="13">
        <f>N174*VLOOKUP('Données projet'!$B$9,Paramètres!$A$1:$I$89,3,0)*VLOOKUP('Données projet'!$B$9,Paramètres!$A$1:$I$89,5,0)</f>
        <v>-3.3992364478763198E-14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232.5902129145469</v>
      </c>
      <c r="T174" s="59">
        <f t="shared" si="142"/>
        <v>340.94590122751879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15.994706465421254</v>
      </c>
      <c r="AA174" s="21">
        <f>EXP(-LN(2)/25)*AA173+(1-EXP(-LN(2)/25))/(LN(2)/25)*Calculateur!V174*Calculateur!X174*VLOOKUP('Données projet'!$B$9,Paramètres!$A$1:$I$89,3,0)*0.475*44/12</f>
        <v>0.6502191329238356</v>
      </c>
      <c r="AB174" s="21">
        <f>EXP(-LN(2)/2)*AB173+(1-EXP(-LN(2)/2))/(LN(2)/2)*V174*Y174*VLOOKUP('Données projet'!$B$9,Paramètres!$A$1:$I$89,3,0)*0.475*44/12</f>
        <v>1.4861170963286833E-18</v>
      </c>
      <c r="AC174" s="22">
        <f t="shared" si="163"/>
        <v>16.64492559834509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0</v>
      </c>
      <c r="AJ174" s="13" t="e">
        <f>AI174*VLOOKUP('Données projet'!$B$10,Paramètres!$A$1:$I$89,3,0)*VLOOKUP('Données projet'!$B$10,Paramètres!$A$1:$I$89,5,0)</f>
        <v>#N/A</v>
      </c>
      <c r="AK174" s="13" t="e">
        <f t="shared" si="164"/>
        <v>#N/A</v>
      </c>
      <c r="AL174" s="20" t="e">
        <f t="shared" si="165"/>
        <v>#N/A</v>
      </c>
      <c r="AM174" s="59" t="e">
        <f t="shared" si="113"/>
        <v>#N/A</v>
      </c>
      <c r="AN174" s="59" t="e">
        <f ca="1">AVERAGE(OFFSET($AM$3,0,0,'Données projet'!$E$10+1,1))-AVERAGE(OFFSET($H$3,0,0,'Données projet'!$E$10+1,1))</f>
        <v>#N/A</v>
      </c>
      <c r="AO174" s="59" t="e">
        <f t="shared" si="144"/>
        <v>#N/A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 t="e">
        <f>EXP(-LN(2)/35)*AU173+(1-EXP(-LN(2)/35))/(LN(2)/35)*AQ174*AR174*VLOOKUP('Données projet'!$B$10,Paramètres!$A$1:$I$89,3,0)*0.475*44/12</f>
        <v>#N/A</v>
      </c>
      <c r="AV174" s="21" t="e">
        <f>EXP(-LN(2)/25)*AV173+(1-EXP(-LN(2)/25))/(LN(2)/25)*Calculateur!AQ174*Calculateur!AS174*VLOOKUP('Données projet'!$B$10,Paramètres!$A$1:$I$89,3,0)*0.475*44/12</f>
        <v>#N/A</v>
      </c>
      <c r="AW174" s="21" t="e">
        <f>EXP(-LN(2)/2)*AW173+(1-EXP(-LN(2)/2))/(LN(2)/2)*AQ174*AT174*VLOOKUP('Données projet'!$B$10,Paramètres!$A$1:$I$89,3,0)*0.475*44/12</f>
        <v>#N/A</v>
      </c>
      <c r="AX174" s="21" t="e">
        <f t="shared" si="166"/>
        <v>#N/A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2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102.85599999999987</v>
      </c>
      <c r="D175" s="11">
        <f t="shared" si="140"/>
        <v>27.641281046809208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1007.3474326420347</v>
      </c>
      <c r="H175" s="67">
        <f t="shared" si="110"/>
        <v>520.61609782319238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-5.6843418860808015E-14</v>
      </c>
      <c r="O175" s="13">
        <f>N175*VLOOKUP('Données projet'!$B$9,Paramètres!$A$1:$I$89,3,0)*VLOOKUP('Données projet'!$B$9,Paramètres!$A$1:$I$89,5,0)</f>
        <v>-3.3992364478763198E-14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232.5902129145469</v>
      </c>
      <c r="T175" s="59">
        <f t="shared" si="142"/>
        <v>340.94590122751879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15.681060027441982</v>
      </c>
      <c r="AA175" s="21">
        <f>EXP(-LN(2)/25)*AA174+(1-EXP(-LN(2)/25))/(LN(2)/25)*Calculateur!V175*Calculateur!X175*VLOOKUP('Données projet'!$B$9,Paramètres!$A$1:$I$89,3,0)*0.475*44/12</f>
        <v>0.63243885654049525</v>
      </c>
      <c r="AB175" s="21">
        <f>EXP(-LN(2)/2)*AB174+(1-EXP(-LN(2)/2))/(LN(2)/2)*V175*Y175*VLOOKUP('Données projet'!$B$9,Paramètres!$A$1:$I$89,3,0)*0.475*44/12</f>
        <v>1.0508434764512736E-18</v>
      </c>
      <c r="AC175" s="22">
        <f t="shared" si="163"/>
        <v>16.313498883982476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0</v>
      </c>
      <c r="AJ175" s="13" t="e">
        <f>AI175*VLOOKUP('Données projet'!$B$10,Paramètres!$A$1:$I$89,3,0)*VLOOKUP('Données projet'!$B$10,Paramètres!$A$1:$I$89,5,0)</f>
        <v>#N/A</v>
      </c>
      <c r="AK175" s="13" t="e">
        <f t="shared" si="164"/>
        <v>#N/A</v>
      </c>
      <c r="AL175" s="20" t="e">
        <f t="shared" si="165"/>
        <v>#N/A</v>
      </c>
      <c r="AM175" s="59" t="e">
        <f t="shared" si="113"/>
        <v>#N/A</v>
      </c>
      <c r="AN175" s="59" t="e">
        <f ca="1">AVERAGE(OFFSET($AM$3,0,0,'Données projet'!$E$10+1,1))-AVERAGE(OFFSET($H$3,0,0,'Données projet'!$E$10+1,1))</f>
        <v>#N/A</v>
      </c>
      <c r="AO175" s="59" t="e">
        <f t="shared" si="144"/>
        <v>#N/A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 t="e">
        <f>EXP(-LN(2)/35)*AU174+(1-EXP(-LN(2)/35))/(LN(2)/35)*AQ175*AR175*VLOOKUP('Données projet'!$B$10,Paramètres!$A$1:$I$89,3,0)*0.475*44/12</f>
        <v>#N/A</v>
      </c>
      <c r="AV175" s="21" t="e">
        <f>EXP(-LN(2)/25)*AV174+(1-EXP(-LN(2)/25))/(LN(2)/25)*Calculateur!AQ175*Calculateur!AS175*VLOOKUP('Données projet'!$B$10,Paramètres!$A$1:$I$89,3,0)*0.475*44/12</f>
        <v>#N/A</v>
      </c>
      <c r="AW175" s="21" t="e">
        <f>EXP(-LN(2)/2)*AW174+(1-EXP(-LN(2)/2))/(LN(2)/2)*AQ175*AT175*VLOOKUP('Données projet'!$B$10,Paramètres!$A$1:$I$89,3,0)*0.475*44/12</f>
        <v>#N/A</v>
      </c>
      <c r="AX175" s="21" t="e">
        <f t="shared" si="166"/>
        <v>#N/A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2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103.45399999999987</v>
      </c>
      <c r="D176" s="11">
        <f t="shared" si="140"/>
        <v>27.783232148054115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1013.0593358797149</v>
      </c>
      <c r="H176" s="67">
        <f t="shared" si="110"/>
        <v>521.90484599119395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-5.6843418860808015E-14</v>
      </c>
      <c r="O176" s="13">
        <f>N176*VLOOKUP('Données projet'!$B$9,Paramètres!$A$1:$I$89,3,0)*VLOOKUP('Données projet'!$B$9,Paramètres!$A$1:$I$89,5,0)</f>
        <v>-3.3992364478763198E-14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232.5902129145469</v>
      </c>
      <c r="T176" s="59">
        <f t="shared" si="142"/>
        <v>340.94590122751879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15.373564004806045</v>
      </c>
      <c r="AA176" s="21">
        <f>EXP(-LN(2)/25)*AA175+(1-EXP(-LN(2)/25))/(LN(2)/25)*Calculateur!V176*Calculateur!X176*VLOOKUP('Données projet'!$B$9,Paramètres!$A$1:$I$89,3,0)*0.475*44/12</f>
        <v>0.61514478274988138</v>
      </c>
      <c r="AB176" s="21">
        <f>EXP(-LN(2)/2)*AB175+(1-EXP(-LN(2)/2))/(LN(2)/2)*V176*Y176*VLOOKUP('Données projet'!$B$9,Paramètres!$A$1:$I$89,3,0)*0.475*44/12</f>
        <v>7.4305854816434164E-19</v>
      </c>
      <c r="AC176" s="22">
        <f t="shared" si="163"/>
        <v>15.988708787555927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0</v>
      </c>
      <c r="AJ176" s="13" t="e">
        <f>AI176*VLOOKUP('Données projet'!$B$10,Paramètres!$A$1:$I$89,3,0)*VLOOKUP('Données projet'!$B$10,Paramètres!$A$1:$I$89,5,0)</f>
        <v>#N/A</v>
      </c>
      <c r="AK176" s="13" t="e">
        <f t="shared" si="164"/>
        <v>#N/A</v>
      </c>
      <c r="AL176" s="20" t="e">
        <f t="shared" si="165"/>
        <v>#N/A</v>
      </c>
      <c r="AM176" s="59" t="e">
        <f t="shared" si="113"/>
        <v>#N/A</v>
      </c>
      <c r="AN176" s="59" t="e">
        <f ca="1">AVERAGE(OFFSET($AM$3,0,0,'Données projet'!$E$10+1,1))-AVERAGE(OFFSET($H$3,0,0,'Données projet'!$E$10+1,1))</f>
        <v>#N/A</v>
      </c>
      <c r="AO176" s="59" t="e">
        <f t="shared" si="144"/>
        <v>#N/A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 t="e">
        <f>EXP(-LN(2)/35)*AU175+(1-EXP(-LN(2)/35))/(LN(2)/35)*AQ176*AR176*VLOOKUP('Données projet'!$B$10,Paramètres!$A$1:$I$89,3,0)*0.475*44/12</f>
        <v>#N/A</v>
      </c>
      <c r="AV176" s="21" t="e">
        <f>EXP(-LN(2)/25)*AV175+(1-EXP(-LN(2)/25))/(LN(2)/25)*Calculateur!AQ176*Calculateur!AS176*VLOOKUP('Données projet'!$B$10,Paramètres!$A$1:$I$89,3,0)*0.475*44/12</f>
        <v>#N/A</v>
      </c>
      <c r="AW176" s="21" t="e">
        <f>EXP(-LN(2)/2)*AW175+(1-EXP(-LN(2)/2))/(LN(2)/2)*AQ176*AT176*VLOOKUP('Données projet'!$B$10,Paramètres!$A$1:$I$89,3,0)*0.475*44/12</f>
        <v>#N/A</v>
      </c>
      <c r="AX176" s="21" t="e">
        <f t="shared" si="166"/>
        <v>#N/A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2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104.05199999999986</v>
      </c>
      <c r="D177" s="11">
        <f t="shared" si="140"/>
        <v>27.925087771564392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1018.7705020962854</v>
      </c>
      <c r="H177" s="67">
        <f t="shared" si="110"/>
        <v>523.1934278688077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-5.6843418860808015E-14</v>
      </c>
      <c r="O177" s="13">
        <f>N177*VLOOKUP('Données projet'!$B$9,Paramètres!$A$1:$I$89,3,0)*VLOOKUP('Données projet'!$B$9,Paramètres!$A$1:$I$89,5,0)</f>
        <v>-3.3992364478763198E-14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232.5902129145469</v>
      </c>
      <c r="T177" s="59">
        <f t="shared" si="142"/>
        <v>340.94590122751879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15.072097791619944</v>
      </c>
      <c r="AA177" s="21">
        <f>EXP(-LN(2)/25)*AA176+(1-EXP(-LN(2)/25))/(LN(2)/25)*Calculateur!V177*Calculateur!X177*VLOOKUP('Données projet'!$B$9,Paramètres!$A$1:$I$89,3,0)*0.475*44/12</f>
        <v>0.59832361631652764</v>
      </c>
      <c r="AB177" s="21">
        <f>EXP(-LN(2)/2)*AB176+(1-EXP(-LN(2)/2))/(LN(2)/2)*V177*Y177*VLOOKUP('Données projet'!$B$9,Paramètres!$A$1:$I$89,3,0)*0.475*44/12</f>
        <v>5.254217382256368E-19</v>
      </c>
      <c r="AC177" s="22">
        <f t="shared" si="163"/>
        <v>15.670421407936471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0</v>
      </c>
      <c r="AJ177" s="13" t="e">
        <f>AI177*VLOOKUP('Données projet'!$B$10,Paramètres!$A$1:$I$89,3,0)*VLOOKUP('Données projet'!$B$10,Paramètres!$A$1:$I$89,5,0)</f>
        <v>#N/A</v>
      </c>
      <c r="AK177" s="13" t="e">
        <f t="shared" si="164"/>
        <v>#N/A</v>
      </c>
      <c r="AL177" s="20" t="e">
        <f t="shared" si="165"/>
        <v>#N/A</v>
      </c>
      <c r="AM177" s="59" t="e">
        <f t="shared" si="113"/>
        <v>#N/A</v>
      </c>
      <c r="AN177" s="59" t="e">
        <f ca="1">AVERAGE(OFFSET($AM$3,0,0,'Données projet'!$E$10+1,1))-AVERAGE(OFFSET($H$3,0,0,'Données projet'!$E$10+1,1))</f>
        <v>#N/A</v>
      </c>
      <c r="AO177" s="59" t="e">
        <f t="shared" si="144"/>
        <v>#N/A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 t="e">
        <f>EXP(-LN(2)/35)*AU176+(1-EXP(-LN(2)/35))/(LN(2)/35)*AQ177*AR177*VLOOKUP('Données projet'!$B$10,Paramètres!$A$1:$I$89,3,0)*0.475*44/12</f>
        <v>#N/A</v>
      </c>
      <c r="AV177" s="21" t="e">
        <f>EXP(-LN(2)/25)*AV176+(1-EXP(-LN(2)/25))/(LN(2)/25)*Calculateur!AQ177*Calculateur!AS177*VLOOKUP('Données projet'!$B$10,Paramètres!$A$1:$I$89,3,0)*0.475*44/12</f>
        <v>#N/A</v>
      </c>
      <c r="AW177" s="21" t="e">
        <f>EXP(-LN(2)/2)*AW176+(1-EXP(-LN(2)/2))/(LN(2)/2)*AQ177*AT177*VLOOKUP('Données projet'!$B$10,Paramètres!$A$1:$I$89,3,0)*0.475*44/12</f>
        <v>#N/A</v>
      </c>
      <c r="AX177" s="21" t="e">
        <f t="shared" si="166"/>
        <v>#N/A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2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104.64999999999986</v>
      </c>
      <c r="D178" s="11">
        <f t="shared" si="140"/>
        <v>28.066848529735836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1024.4809360190125</v>
      </c>
      <c r="H178" s="67">
        <f t="shared" si="110"/>
        <v>524.48184452262296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-5.6843418860808015E-14</v>
      </c>
      <c r="O178" s="13">
        <f>N178*VLOOKUP('Données projet'!$B$9,Paramètres!$A$1:$I$89,3,0)*VLOOKUP('Données projet'!$B$9,Paramètres!$A$1:$I$89,5,0)</f>
        <v>-3.3992364478763198E-14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232.5902129145469</v>
      </c>
      <c r="T178" s="59">
        <f t="shared" si="142"/>
        <v>340.94590122751879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14.77654314699819</v>
      </c>
      <c r="AA178" s="21">
        <f>EXP(-LN(2)/25)*AA177+(1-EXP(-LN(2)/25))/(LN(2)/25)*Calculateur!V178*Calculateur!X178*VLOOKUP('Données projet'!$B$9,Paramètres!$A$1:$I$89,3,0)*0.475*44/12</f>
        <v>0.58196242556388067</v>
      </c>
      <c r="AB178" s="21">
        <f>EXP(-LN(2)/2)*AB177+(1-EXP(-LN(2)/2))/(LN(2)/2)*V178*Y178*VLOOKUP('Données projet'!$B$9,Paramètres!$A$1:$I$89,3,0)*0.475*44/12</f>
        <v>3.7152927408217082E-19</v>
      </c>
      <c r="AC178" s="22">
        <f t="shared" si="163"/>
        <v>15.35850557256207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0</v>
      </c>
      <c r="AJ178" s="13" t="e">
        <f>AI178*VLOOKUP('Données projet'!$B$10,Paramètres!$A$1:$I$89,3,0)*VLOOKUP('Données projet'!$B$10,Paramètres!$A$1:$I$89,5,0)</f>
        <v>#N/A</v>
      </c>
      <c r="AK178" s="13" t="e">
        <f t="shared" si="164"/>
        <v>#N/A</v>
      </c>
      <c r="AL178" s="20" t="e">
        <f t="shared" si="165"/>
        <v>#N/A</v>
      </c>
      <c r="AM178" s="59" t="e">
        <f t="shared" si="113"/>
        <v>#N/A</v>
      </c>
      <c r="AN178" s="59" t="e">
        <f ca="1">AVERAGE(OFFSET($AM$3,0,0,'Données projet'!$E$10+1,1))-AVERAGE(OFFSET($H$3,0,0,'Données projet'!$E$10+1,1))</f>
        <v>#N/A</v>
      </c>
      <c r="AO178" s="59" t="e">
        <f t="shared" si="144"/>
        <v>#N/A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 t="e">
        <f>EXP(-LN(2)/35)*AU177+(1-EXP(-LN(2)/35))/(LN(2)/35)*AQ178*AR178*VLOOKUP('Données projet'!$B$10,Paramètres!$A$1:$I$89,3,0)*0.475*44/12</f>
        <v>#N/A</v>
      </c>
      <c r="AV178" s="21" t="e">
        <f>EXP(-LN(2)/25)*AV177+(1-EXP(-LN(2)/25))/(LN(2)/25)*Calculateur!AQ178*Calculateur!AS178*VLOOKUP('Données projet'!$B$10,Paramètres!$A$1:$I$89,3,0)*0.475*44/12</f>
        <v>#N/A</v>
      </c>
      <c r="AW178" s="21" t="e">
        <f>EXP(-LN(2)/2)*AW177+(1-EXP(-LN(2)/2))/(LN(2)/2)*AQ178*AT178*VLOOKUP('Données projet'!$B$10,Paramètres!$A$1:$I$89,3,0)*0.475*44/12</f>
        <v>#N/A</v>
      </c>
      <c r="AX178" s="21" t="e">
        <f t="shared" si="166"/>
        <v>#N/A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2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105.24799999999986</v>
      </c>
      <c r="D179" s="11">
        <f t="shared" si="140"/>
        <v>28.208515027560498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1030.1906423180098</v>
      </c>
      <c r="H179" s="67">
        <f t="shared" si="110"/>
        <v>525.77009700633425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-5.6843418860808015E-14</v>
      </c>
      <c r="O179" s="13">
        <f>N179*VLOOKUP('Données projet'!$B$9,Paramètres!$A$1:$I$89,3,0)*VLOOKUP('Données projet'!$B$9,Paramètres!$A$1:$I$89,5,0)</f>
        <v>-3.3992364478763198E-14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232.5902129145469</v>
      </c>
      <c r="T179" s="59">
        <f t="shared" si="142"/>
        <v>340.94590122751879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14.486784148686935</v>
      </c>
      <c r="AA179" s="21">
        <f>EXP(-LN(2)/25)*AA178+(1-EXP(-LN(2)/25))/(LN(2)/25)*Calculateur!V179*Calculateur!X179*VLOOKUP('Données projet'!$B$9,Paramètres!$A$1:$I$89,3,0)*0.475*44/12</f>
        <v>0.56604863243276249</v>
      </c>
      <c r="AB179" s="21">
        <f>EXP(-LN(2)/2)*AB178+(1-EXP(-LN(2)/2))/(LN(2)/2)*V179*Y179*VLOOKUP('Données projet'!$B$9,Paramètres!$A$1:$I$89,3,0)*0.475*44/12</f>
        <v>2.627108691128184E-19</v>
      </c>
      <c r="AC179" s="22">
        <f t="shared" si="163"/>
        <v>15.052832781119697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0</v>
      </c>
      <c r="AJ179" s="13" t="e">
        <f>AI179*VLOOKUP('Données projet'!$B$10,Paramètres!$A$1:$I$89,3,0)*VLOOKUP('Données projet'!$B$10,Paramètres!$A$1:$I$89,5,0)</f>
        <v>#N/A</v>
      </c>
      <c r="AK179" s="13" t="e">
        <f t="shared" si="164"/>
        <v>#N/A</v>
      </c>
      <c r="AL179" s="20" t="e">
        <f t="shared" si="165"/>
        <v>#N/A</v>
      </c>
      <c r="AM179" s="59" t="e">
        <f t="shared" si="113"/>
        <v>#N/A</v>
      </c>
      <c r="AN179" s="59" t="e">
        <f ca="1">AVERAGE(OFFSET($AM$3,0,0,'Données projet'!$E$10+1,1))-AVERAGE(OFFSET($H$3,0,0,'Données projet'!$E$10+1,1))</f>
        <v>#N/A</v>
      </c>
      <c r="AO179" s="59" t="e">
        <f t="shared" si="144"/>
        <v>#N/A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 t="e">
        <f>EXP(-LN(2)/35)*AU178+(1-EXP(-LN(2)/35))/(LN(2)/35)*AQ179*AR179*VLOOKUP('Données projet'!$B$10,Paramètres!$A$1:$I$89,3,0)*0.475*44/12</f>
        <v>#N/A</v>
      </c>
      <c r="AV179" s="21" t="e">
        <f>EXP(-LN(2)/25)*AV178+(1-EXP(-LN(2)/25))/(LN(2)/25)*Calculateur!AQ179*Calculateur!AS179*VLOOKUP('Données projet'!$B$10,Paramètres!$A$1:$I$89,3,0)*0.475*44/12</f>
        <v>#N/A</v>
      </c>
      <c r="AW179" s="21" t="e">
        <f>EXP(-LN(2)/2)*AW178+(1-EXP(-LN(2)/2))/(LN(2)/2)*AQ179*AT179*VLOOKUP('Données projet'!$B$10,Paramètres!$A$1:$I$89,3,0)*0.475*44/12</f>
        <v>#N/A</v>
      </c>
      <c r="AX179" s="21" t="e">
        <f t="shared" si="166"/>
        <v>#N/A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2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105.84599999999986</v>
      </c>
      <c r="D180" s="11">
        <f t="shared" si="140"/>
        <v>28.350087862757654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1035.8996256072508</v>
      </c>
      <c r="H180" s="67">
        <f t="shared" si="110"/>
        <v>527.05818636096933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-5.6843418860808015E-14</v>
      </c>
      <c r="O180" s="13">
        <f>N180*VLOOKUP('Données projet'!$B$9,Paramètres!$A$1:$I$89,3,0)*VLOOKUP('Données projet'!$B$9,Paramètres!$A$1:$I$89,5,0)</f>
        <v>-3.3992364478763198E-14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232.5902129145469</v>
      </c>
      <c r="T180" s="59">
        <f t="shared" si="142"/>
        <v>340.94590122751879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14.202707147597026</v>
      </c>
      <c r="AA180" s="21">
        <f>EXP(-LN(2)/25)*AA179+(1-EXP(-LN(2)/25))/(LN(2)/25)*Calculateur!V180*Calculateur!X180*VLOOKUP('Données projet'!$B$9,Paramètres!$A$1:$I$89,3,0)*0.475*44/12</f>
        <v>0.55057000281168478</v>
      </c>
      <c r="AB180" s="21">
        <f>EXP(-LN(2)/2)*AB179+(1-EXP(-LN(2)/2))/(LN(2)/2)*V180*Y180*VLOOKUP('Données projet'!$B$9,Paramètres!$A$1:$I$89,3,0)*0.475*44/12</f>
        <v>1.8576463704108541E-19</v>
      </c>
      <c r="AC180" s="22">
        <f t="shared" si="163"/>
        <v>14.753277150408712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0</v>
      </c>
      <c r="AJ180" s="13" t="e">
        <f>AI180*VLOOKUP('Données projet'!$B$10,Paramètres!$A$1:$I$89,3,0)*VLOOKUP('Données projet'!$B$10,Paramètres!$A$1:$I$89,5,0)</f>
        <v>#N/A</v>
      </c>
      <c r="AK180" s="13" t="e">
        <f t="shared" si="164"/>
        <v>#N/A</v>
      </c>
      <c r="AL180" s="20" t="e">
        <f t="shared" si="165"/>
        <v>#N/A</v>
      </c>
      <c r="AM180" s="59" t="e">
        <f t="shared" si="113"/>
        <v>#N/A</v>
      </c>
      <c r="AN180" s="59" t="e">
        <f ca="1">AVERAGE(OFFSET($AM$3,0,0,'Données projet'!$E$10+1,1))-AVERAGE(OFFSET($H$3,0,0,'Données projet'!$E$10+1,1))</f>
        <v>#N/A</v>
      </c>
      <c r="AO180" s="59" t="e">
        <f t="shared" si="144"/>
        <v>#N/A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 t="e">
        <f>EXP(-LN(2)/35)*AU179+(1-EXP(-LN(2)/35))/(LN(2)/35)*AQ180*AR180*VLOOKUP('Données projet'!$B$10,Paramètres!$A$1:$I$89,3,0)*0.475*44/12</f>
        <v>#N/A</v>
      </c>
      <c r="AV180" s="21" t="e">
        <f>EXP(-LN(2)/25)*AV179+(1-EXP(-LN(2)/25))/(LN(2)/25)*Calculateur!AQ180*Calculateur!AS180*VLOOKUP('Données projet'!$B$10,Paramètres!$A$1:$I$89,3,0)*0.475*44/12</f>
        <v>#N/A</v>
      </c>
      <c r="AW180" s="21" t="e">
        <f>EXP(-LN(2)/2)*AW179+(1-EXP(-LN(2)/2))/(LN(2)/2)*AQ180*AT180*VLOOKUP('Données projet'!$B$10,Paramètres!$A$1:$I$89,3,0)*0.475*44/12</f>
        <v>#N/A</v>
      </c>
      <c r="AX180" s="21" t="e">
        <f t="shared" si="166"/>
        <v>#N/A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2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106.44399999999986</v>
      </c>
      <c r="D181" s="11">
        <f t="shared" si="140"/>
        <v>28.491567625901897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1041.6078904455574</v>
      </c>
      <c r="H181" s="67">
        <f t="shared" si="110"/>
        <v>528.34611361511224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-5.6843418860808015E-14</v>
      </c>
      <c r="O181" s="13">
        <f>N181*VLOOKUP('Données projet'!$B$9,Paramètres!$A$1:$I$89,3,0)*VLOOKUP('Données projet'!$B$9,Paramètres!$A$1:$I$89,5,0)</f>
        <v>-3.3992364478763198E-14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232.5902129145469</v>
      </c>
      <c r="T181" s="59">
        <f t="shared" si="142"/>
        <v>340.94590122751879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13.924200723228628</v>
      </c>
      <c r="AA181" s="21">
        <f>EXP(-LN(2)/25)*AA180+(1-EXP(-LN(2)/25))/(LN(2)/25)*Calculateur!V181*Calculateur!X181*VLOOKUP('Données projet'!$B$9,Paramètres!$A$1:$I$89,3,0)*0.475*44/12</f>
        <v>0.53551463713158121</v>
      </c>
      <c r="AB181" s="21">
        <f>EXP(-LN(2)/2)*AB180+(1-EXP(-LN(2)/2))/(LN(2)/2)*V181*Y181*VLOOKUP('Données projet'!$B$9,Paramètres!$A$1:$I$89,3,0)*0.475*44/12</f>
        <v>1.313554345564092E-19</v>
      </c>
      <c r="AC181" s="22">
        <f t="shared" si="163"/>
        <v>14.459715360360208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0</v>
      </c>
      <c r="AJ181" s="13" t="e">
        <f>AI181*VLOOKUP('Données projet'!$B$10,Paramètres!$A$1:$I$89,3,0)*VLOOKUP('Données projet'!$B$10,Paramètres!$A$1:$I$89,5,0)</f>
        <v>#N/A</v>
      </c>
      <c r="AK181" s="13" t="e">
        <f t="shared" si="164"/>
        <v>#N/A</v>
      </c>
      <c r="AL181" s="20" t="e">
        <f t="shared" si="165"/>
        <v>#N/A</v>
      </c>
      <c r="AM181" s="59" t="e">
        <f t="shared" si="113"/>
        <v>#N/A</v>
      </c>
      <c r="AN181" s="59" t="e">
        <f ca="1">AVERAGE(OFFSET($AM$3,0,0,'Données projet'!$E$10+1,1))-AVERAGE(OFFSET($H$3,0,0,'Données projet'!$E$10+1,1))</f>
        <v>#N/A</v>
      </c>
      <c r="AO181" s="59" t="e">
        <f t="shared" si="144"/>
        <v>#N/A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 t="e">
        <f>EXP(-LN(2)/35)*AU180+(1-EXP(-LN(2)/35))/(LN(2)/35)*AQ181*AR181*VLOOKUP('Données projet'!$B$10,Paramètres!$A$1:$I$89,3,0)*0.475*44/12</f>
        <v>#N/A</v>
      </c>
      <c r="AV181" s="21" t="e">
        <f>EXP(-LN(2)/25)*AV180+(1-EXP(-LN(2)/25))/(LN(2)/25)*Calculateur!AQ181*Calculateur!AS181*VLOOKUP('Données projet'!$B$10,Paramètres!$A$1:$I$89,3,0)*0.475*44/12</f>
        <v>#N/A</v>
      </c>
      <c r="AW181" s="21" t="e">
        <f>EXP(-LN(2)/2)*AW180+(1-EXP(-LN(2)/2))/(LN(2)/2)*AQ181*AT181*VLOOKUP('Données projet'!$B$10,Paramètres!$A$1:$I$89,3,0)*0.475*44/12</f>
        <v>#N/A</v>
      </c>
      <c r="AX181" s="21" t="e">
        <f t="shared" si="166"/>
        <v>#N/A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2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107.04199999999986</v>
      </c>
      <c r="D182" s="11">
        <f t="shared" si="140"/>
        <v>28.632954900548057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1047.3154413375626</v>
      </c>
      <c r="H182" s="67">
        <f t="shared" si="110"/>
        <v>529.63387978512094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-5.6843418860808015E-14</v>
      </c>
      <c r="O182" s="13">
        <f>N182*VLOOKUP('Données projet'!$B$9,Paramètres!$A$1:$I$89,3,0)*VLOOKUP('Données projet'!$B$9,Paramètres!$A$1:$I$89,5,0)</f>
        <v>-3.3992364478763198E-14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232.5902129145469</v>
      </c>
      <c r="T182" s="59">
        <f t="shared" si="142"/>
        <v>340.94590122751879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13.65115563996995</v>
      </c>
      <c r="AA182" s="21">
        <f>EXP(-LN(2)/25)*AA181+(1-EXP(-LN(2)/25))/(LN(2)/25)*Calculateur!V182*Calculateur!X182*VLOOKUP('Données projet'!$B$9,Paramètres!$A$1:$I$89,3,0)*0.475*44/12</f>
        <v>0.52087096121772725</v>
      </c>
      <c r="AB182" s="21">
        <f>EXP(-LN(2)/2)*AB181+(1-EXP(-LN(2)/2))/(LN(2)/2)*V182*Y182*VLOOKUP('Données projet'!$B$9,Paramètres!$A$1:$I$89,3,0)*0.475*44/12</f>
        <v>9.2882318520542705E-20</v>
      </c>
      <c r="AC182" s="22">
        <f t="shared" si="163"/>
        <v>14.172026601187678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0</v>
      </c>
      <c r="AJ182" s="13" t="e">
        <f>AI182*VLOOKUP('Données projet'!$B$10,Paramètres!$A$1:$I$89,3,0)*VLOOKUP('Données projet'!$B$10,Paramètres!$A$1:$I$89,5,0)</f>
        <v>#N/A</v>
      </c>
      <c r="AK182" s="13" t="e">
        <f t="shared" si="164"/>
        <v>#N/A</v>
      </c>
      <c r="AL182" s="20" t="e">
        <f t="shared" si="165"/>
        <v>#N/A</v>
      </c>
      <c r="AM182" s="59" t="e">
        <f t="shared" si="113"/>
        <v>#N/A</v>
      </c>
      <c r="AN182" s="59" t="e">
        <f ca="1">AVERAGE(OFFSET($AM$3,0,0,'Données projet'!$E$10+1,1))-AVERAGE(OFFSET($H$3,0,0,'Données projet'!$E$10+1,1))</f>
        <v>#N/A</v>
      </c>
      <c r="AO182" s="59" t="e">
        <f t="shared" si="144"/>
        <v>#N/A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 t="e">
        <f>EXP(-LN(2)/35)*AU181+(1-EXP(-LN(2)/35))/(LN(2)/35)*AQ182*AR182*VLOOKUP('Données projet'!$B$10,Paramètres!$A$1:$I$89,3,0)*0.475*44/12</f>
        <v>#N/A</v>
      </c>
      <c r="AV182" s="21" t="e">
        <f>EXP(-LN(2)/25)*AV181+(1-EXP(-LN(2)/25))/(LN(2)/25)*Calculateur!AQ182*Calculateur!AS182*VLOOKUP('Données projet'!$B$10,Paramètres!$A$1:$I$89,3,0)*0.475*44/12</f>
        <v>#N/A</v>
      </c>
      <c r="AW182" s="21" t="e">
        <f>EXP(-LN(2)/2)*AW181+(1-EXP(-LN(2)/2))/(LN(2)/2)*AQ182*AT182*VLOOKUP('Données projet'!$B$10,Paramètres!$A$1:$I$89,3,0)*0.475*44/12</f>
        <v>#N/A</v>
      </c>
      <c r="AX182" s="21" t="e">
        <f t="shared" si="166"/>
        <v>#N/A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2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107.63999999999986</v>
      </c>
      <c r="D183" s="11">
        <f t="shared" si="140"/>
        <v>28.774250263353558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1053.0222827346581</v>
      </c>
      <c r="H183" s="67">
        <f t="shared" si="110"/>
        <v>530.92148587534052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-5.6843418860808015E-14</v>
      </c>
      <c r="O183" s="13">
        <f>N183*VLOOKUP('Données projet'!$B$9,Paramètres!$A$1:$I$89,3,0)*VLOOKUP('Données projet'!$B$9,Paramètres!$A$1:$I$89,5,0)</f>
        <v>-3.3992364478763198E-14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232.5902129145469</v>
      </c>
      <c r="T183" s="59">
        <f t="shared" si="142"/>
        <v>340.94590122751879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13.383464804252919</v>
      </c>
      <c r="AA183" s="21">
        <f>EXP(-LN(2)/25)*AA182+(1-EXP(-LN(2)/25))/(LN(2)/25)*Calculateur!V183*Calculateur!X183*VLOOKUP('Données projet'!$B$9,Paramètres!$A$1:$I$89,3,0)*0.475*44/12</f>
        <v>0.50662771739181511</v>
      </c>
      <c r="AB183" s="21">
        <f>EXP(-LN(2)/2)*AB182+(1-EXP(-LN(2)/2))/(LN(2)/2)*V183*Y183*VLOOKUP('Données projet'!$B$9,Paramètres!$A$1:$I$89,3,0)*0.475*44/12</f>
        <v>6.56777172782046E-20</v>
      </c>
      <c r="AC183" s="22">
        <f t="shared" si="163"/>
        <v>13.890092521644734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0</v>
      </c>
      <c r="AJ183" s="13" t="e">
        <f>AI183*VLOOKUP('Données projet'!$B$10,Paramètres!$A$1:$I$89,3,0)*VLOOKUP('Données projet'!$B$10,Paramètres!$A$1:$I$89,5,0)</f>
        <v>#N/A</v>
      </c>
      <c r="AK183" s="13" t="e">
        <f t="shared" si="164"/>
        <v>#N/A</v>
      </c>
      <c r="AL183" s="20" t="e">
        <f t="shared" si="165"/>
        <v>#N/A</v>
      </c>
      <c r="AM183" s="59" t="e">
        <f t="shared" si="113"/>
        <v>#N/A</v>
      </c>
      <c r="AN183" s="59" t="e">
        <f ca="1">AVERAGE(OFFSET($AM$3,0,0,'Données projet'!$E$10+1,1))-AVERAGE(OFFSET($H$3,0,0,'Données projet'!$E$10+1,1))</f>
        <v>#N/A</v>
      </c>
      <c r="AO183" s="59" t="e">
        <f t="shared" si="144"/>
        <v>#N/A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 t="e">
        <f>EXP(-LN(2)/35)*AU182+(1-EXP(-LN(2)/35))/(LN(2)/35)*AQ183*AR183*VLOOKUP('Données projet'!$B$10,Paramètres!$A$1:$I$89,3,0)*0.475*44/12</f>
        <v>#N/A</v>
      </c>
      <c r="AV183" s="21" t="e">
        <f>EXP(-LN(2)/25)*AV182+(1-EXP(-LN(2)/25))/(LN(2)/25)*Calculateur!AQ183*Calculateur!AS183*VLOOKUP('Données projet'!$B$10,Paramètres!$A$1:$I$89,3,0)*0.475*44/12</f>
        <v>#N/A</v>
      </c>
      <c r="AW183" s="21" t="e">
        <f>EXP(-LN(2)/2)*AW182+(1-EXP(-LN(2)/2))/(LN(2)/2)*AQ183*AT183*VLOOKUP('Données projet'!$B$10,Paramètres!$A$1:$I$89,3,0)*0.475*44/12</f>
        <v>#N/A</v>
      </c>
      <c r="AX183" s="21" t="e">
        <f t="shared" si="166"/>
        <v>#N/A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2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108.23799999999986</v>
      </c>
      <c r="D184" s="11">
        <f t="shared" si="140"/>
        <v>28.915454284197654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1058.7284190359107</v>
      </c>
      <c r="H184" s="67">
        <f t="shared" si="110"/>
        <v>532.20893287831063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-5.6843418860808015E-14</v>
      </c>
      <c r="O184" s="13">
        <f>N184*VLOOKUP('Données projet'!$B$9,Paramètres!$A$1:$I$89,3,0)*VLOOKUP('Données projet'!$B$9,Paramètres!$A$1:$I$89,5,0)</f>
        <v>-3.3992364478763198E-14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232.5902129145469</v>
      </c>
      <c r="T184" s="59">
        <f t="shared" si="142"/>
        <v>340.94590122751879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13.12102322254901</v>
      </c>
      <c r="AA184" s="21">
        <f>EXP(-LN(2)/25)*AA183+(1-EXP(-LN(2)/25))/(LN(2)/25)*Calculateur!V184*Calculateur!X184*VLOOKUP('Données projet'!$B$9,Paramètres!$A$1:$I$89,3,0)*0.475*44/12</f>
        <v>0.49277395581734218</v>
      </c>
      <c r="AB184" s="21">
        <f>EXP(-LN(2)/2)*AB183+(1-EXP(-LN(2)/2))/(LN(2)/2)*V184*Y184*VLOOKUP('Données projet'!$B$9,Paramètres!$A$1:$I$89,3,0)*0.475*44/12</f>
        <v>4.6441159260271352E-20</v>
      </c>
      <c r="AC184" s="22">
        <f t="shared" si="163"/>
        <v>13.613797178366351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0</v>
      </c>
      <c r="AJ184" s="13" t="e">
        <f>AI184*VLOOKUP('Données projet'!$B$10,Paramètres!$A$1:$I$89,3,0)*VLOOKUP('Données projet'!$B$10,Paramètres!$A$1:$I$89,5,0)</f>
        <v>#N/A</v>
      </c>
      <c r="AK184" s="13" t="e">
        <f t="shared" si="164"/>
        <v>#N/A</v>
      </c>
      <c r="AL184" s="20" t="e">
        <f t="shared" si="165"/>
        <v>#N/A</v>
      </c>
      <c r="AM184" s="59" t="e">
        <f t="shared" si="113"/>
        <v>#N/A</v>
      </c>
      <c r="AN184" s="59" t="e">
        <f ca="1">AVERAGE(OFFSET($AM$3,0,0,'Données projet'!$E$10+1,1))-AVERAGE(OFFSET($H$3,0,0,'Données projet'!$E$10+1,1))</f>
        <v>#N/A</v>
      </c>
      <c r="AO184" s="59" t="e">
        <f t="shared" si="144"/>
        <v>#N/A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 t="e">
        <f>EXP(-LN(2)/35)*AU183+(1-EXP(-LN(2)/35))/(LN(2)/35)*AQ184*AR184*VLOOKUP('Données projet'!$B$10,Paramètres!$A$1:$I$89,3,0)*0.475*44/12</f>
        <v>#N/A</v>
      </c>
      <c r="AV184" s="21" t="e">
        <f>EXP(-LN(2)/25)*AV183+(1-EXP(-LN(2)/25))/(LN(2)/25)*Calculateur!AQ184*Calculateur!AS184*VLOOKUP('Données projet'!$B$10,Paramètres!$A$1:$I$89,3,0)*0.475*44/12</f>
        <v>#N/A</v>
      </c>
      <c r="AW184" s="21" t="e">
        <f>EXP(-LN(2)/2)*AW183+(1-EXP(-LN(2)/2))/(LN(2)/2)*AQ184*AT184*VLOOKUP('Données projet'!$B$10,Paramètres!$A$1:$I$89,3,0)*0.475*44/12</f>
        <v>#N/A</v>
      </c>
      <c r="AX184" s="21" t="e">
        <f t="shared" si="166"/>
        <v>#N/A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2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108.83599999999986</v>
      </c>
      <c r="D185" s="11">
        <f t="shared" si="140"/>
        <v>29.056567526298124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1064.4338545889668</v>
      </c>
      <c r="H185" s="67">
        <f t="shared" si="110"/>
        <v>533.49622177496894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-5.6843418860808015E-14</v>
      </c>
      <c r="O185" s="13">
        <f>N185*VLOOKUP('Données projet'!$B$9,Paramètres!$A$1:$I$89,3,0)*VLOOKUP('Données projet'!$B$9,Paramètres!$A$1:$I$89,5,0)</f>
        <v>-3.3992364478763198E-14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232.5902129145469</v>
      </c>
      <c r="T185" s="59">
        <f t="shared" si="142"/>
        <v>340.94590122751879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12.863727960188756</v>
      </c>
      <c r="AA185" s="21">
        <f>EXP(-LN(2)/25)*AA184+(1-EXP(-LN(2)/25))/(LN(2)/25)*Calculateur!V185*Calculateur!X185*VLOOKUP('Données projet'!$B$9,Paramètres!$A$1:$I$89,3,0)*0.475*44/12</f>
        <v>0.47929902608166086</v>
      </c>
      <c r="AB185" s="21">
        <f>EXP(-LN(2)/2)*AB184+(1-EXP(-LN(2)/2))/(LN(2)/2)*V185*Y185*VLOOKUP('Données projet'!$B$9,Paramètres!$A$1:$I$89,3,0)*0.475*44/12</f>
        <v>3.28388586391023E-20</v>
      </c>
      <c r="AC185" s="22">
        <f t="shared" si="163"/>
        <v>13.343026986270417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0</v>
      </c>
      <c r="AJ185" s="13" t="e">
        <f>AI185*VLOOKUP('Données projet'!$B$10,Paramètres!$A$1:$I$89,3,0)*VLOOKUP('Données projet'!$B$10,Paramètres!$A$1:$I$89,5,0)</f>
        <v>#N/A</v>
      </c>
      <c r="AK185" s="13" t="e">
        <f t="shared" si="164"/>
        <v>#N/A</v>
      </c>
      <c r="AL185" s="20" t="e">
        <f t="shared" si="165"/>
        <v>#N/A</v>
      </c>
      <c r="AM185" s="59" t="e">
        <f t="shared" si="113"/>
        <v>#N/A</v>
      </c>
      <c r="AN185" s="59" t="e">
        <f ca="1">AVERAGE(OFFSET($AM$3,0,0,'Données projet'!$E$10+1,1))-AVERAGE(OFFSET($H$3,0,0,'Données projet'!$E$10+1,1))</f>
        <v>#N/A</v>
      </c>
      <c r="AO185" s="59" t="e">
        <f t="shared" si="144"/>
        <v>#N/A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 t="e">
        <f>EXP(-LN(2)/35)*AU184+(1-EXP(-LN(2)/35))/(LN(2)/35)*AQ185*AR185*VLOOKUP('Données projet'!$B$10,Paramètres!$A$1:$I$89,3,0)*0.475*44/12</f>
        <v>#N/A</v>
      </c>
      <c r="AV185" s="21" t="e">
        <f>EXP(-LN(2)/25)*AV184+(1-EXP(-LN(2)/25))/(LN(2)/25)*Calculateur!AQ185*Calculateur!AS185*VLOOKUP('Données projet'!$B$10,Paramètres!$A$1:$I$89,3,0)*0.475*44/12</f>
        <v>#N/A</v>
      </c>
      <c r="AW185" s="21" t="e">
        <f>EXP(-LN(2)/2)*AW184+(1-EXP(-LN(2)/2))/(LN(2)/2)*AQ185*AT185*VLOOKUP('Données projet'!$B$10,Paramètres!$A$1:$I$89,3,0)*0.475*44/12</f>
        <v>#N/A</v>
      </c>
      <c r="AX185" s="21" t="e">
        <f t="shared" si="166"/>
        <v>#N/A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2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109.43399999999986</v>
      </c>
      <c r="D186" s="11">
        <f t="shared" si="140"/>
        <v>29.197590546325394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1070.1385936909319</v>
      </c>
      <c r="H186" s="67">
        <f t="shared" si="110"/>
        <v>534.78335353484977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-5.6843418860808015E-14</v>
      </c>
      <c r="O186" s="13">
        <f>N186*VLOOKUP('Données projet'!$B$9,Paramètres!$A$1:$I$89,3,0)*VLOOKUP('Données projet'!$B$9,Paramètres!$A$1:$I$89,5,0)</f>
        <v>-3.3992364478763198E-14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232.5902129145469</v>
      </c>
      <c r="T186" s="59">
        <f t="shared" si="142"/>
        <v>340.94590122751879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12.611478100988773</v>
      </c>
      <c r="AA186" s="21">
        <f>EXP(-LN(2)/25)*AA185+(1-EXP(-LN(2)/25))/(LN(2)/25)*Calculateur!V186*Calculateur!X186*VLOOKUP('Données projet'!$B$9,Paramètres!$A$1:$I$89,3,0)*0.475*44/12</f>
        <v>0.46619256900821754</v>
      </c>
      <c r="AB186" s="21">
        <f>EXP(-LN(2)/2)*AB185+(1-EXP(-LN(2)/2))/(LN(2)/2)*V186*Y186*VLOOKUP('Données projet'!$B$9,Paramètres!$A$1:$I$89,3,0)*0.475*44/12</f>
        <v>2.3220579630135676E-20</v>
      </c>
      <c r="AC186" s="22">
        <f t="shared" si="163"/>
        <v>13.077670669996991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0</v>
      </c>
      <c r="AJ186" s="13" t="e">
        <f>AI186*VLOOKUP('Données projet'!$B$10,Paramètres!$A$1:$I$89,3,0)*VLOOKUP('Données projet'!$B$10,Paramètres!$A$1:$I$89,5,0)</f>
        <v>#N/A</v>
      </c>
      <c r="AK186" s="13" t="e">
        <f t="shared" si="164"/>
        <v>#N/A</v>
      </c>
      <c r="AL186" s="20" t="e">
        <f t="shared" si="165"/>
        <v>#N/A</v>
      </c>
      <c r="AM186" s="59" t="e">
        <f t="shared" si="113"/>
        <v>#N/A</v>
      </c>
      <c r="AN186" s="59" t="e">
        <f ca="1">AVERAGE(OFFSET($AM$3,0,0,'Données projet'!$E$10+1,1))-AVERAGE(OFFSET($H$3,0,0,'Données projet'!$E$10+1,1))</f>
        <v>#N/A</v>
      </c>
      <c r="AO186" s="59" t="e">
        <f t="shared" si="144"/>
        <v>#N/A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 t="e">
        <f>EXP(-LN(2)/35)*AU185+(1-EXP(-LN(2)/35))/(LN(2)/35)*AQ186*AR186*VLOOKUP('Données projet'!$B$10,Paramètres!$A$1:$I$89,3,0)*0.475*44/12</f>
        <v>#N/A</v>
      </c>
      <c r="AV186" s="21" t="e">
        <f>EXP(-LN(2)/25)*AV185+(1-EXP(-LN(2)/25))/(LN(2)/25)*Calculateur!AQ186*Calculateur!AS186*VLOOKUP('Données projet'!$B$10,Paramètres!$A$1:$I$89,3,0)*0.475*44/12</f>
        <v>#N/A</v>
      </c>
      <c r="AW186" s="21" t="e">
        <f>EXP(-LN(2)/2)*AW185+(1-EXP(-LN(2)/2))/(LN(2)/2)*AQ186*AT186*VLOOKUP('Données projet'!$B$10,Paramètres!$A$1:$I$89,3,0)*0.475*44/12</f>
        <v>#N/A</v>
      </c>
      <c r="AX186" s="21" t="e">
        <f t="shared" si="166"/>
        <v>#N/A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2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110.03199999999985</v>
      </c>
      <c r="D187" s="11">
        <f t="shared" si="140"/>
        <v>29.338523894513862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1075.8426405892287</v>
      </c>
      <c r="H187" s="67">
        <f t="shared" si="110"/>
        <v>536.07032911627812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-5.6843418860808015E-14</v>
      </c>
      <c r="O187" s="13">
        <f>N187*VLOOKUP('Données projet'!$B$9,Paramètres!$A$1:$I$89,3,0)*VLOOKUP('Données projet'!$B$9,Paramètres!$A$1:$I$89,5,0)</f>
        <v>-3.3992364478763198E-14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232.5902129145469</v>
      </c>
      <c r="T187" s="59">
        <f t="shared" si="142"/>
        <v>340.94590122751879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12.364174707670479</v>
      </c>
      <c r="AA187" s="21">
        <f>EXP(-LN(2)/25)*AA186+(1-EXP(-LN(2)/25))/(LN(2)/25)*Calculateur!V187*Calculateur!X187*VLOOKUP('Données projet'!$B$9,Paramètres!$A$1:$I$89,3,0)*0.475*44/12</f>
        <v>0.4534445086926861</v>
      </c>
      <c r="AB187" s="21">
        <f>EXP(-LN(2)/2)*AB186+(1-EXP(-LN(2)/2))/(LN(2)/2)*V187*Y187*VLOOKUP('Données projet'!$B$9,Paramètres!$A$1:$I$89,3,0)*0.475*44/12</f>
        <v>1.641942931955115E-20</v>
      </c>
      <c r="AC187" s="22">
        <f t="shared" si="163"/>
        <v>12.817619216363164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0</v>
      </c>
      <c r="AJ187" s="13" t="e">
        <f>AI187*VLOOKUP('Données projet'!$B$10,Paramètres!$A$1:$I$89,3,0)*VLOOKUP('Données projet'!$B$10,Paramètres!$A$1:$I$89,5,0)</f>
        <v>#N/A</v>
      </c>
      <c r="AK187" s="13" t="e">
        <f t="shared" si="164"/>
        <v>#N/A</v>
      </c>
      <c r="AL187" s="20" t="e">
        <f t="shared" si="165"/>
        <v>#N/A</v>
      </c>
      <c r="AM187" s="59" t="e">
        <f t="shared" si="113"/>
        <v>#N/A</v>
      </c>
      <c r="AN187" s="59" t="e">
        <f ca="1">AVERAGE(OFFSET($AM$3,0,0,'Données projet'!$E$10+1,1))-AVERAGE(OFFSET($H$3,0,0,'Données projet'!$E$10+1,1))</f>
        <v>#N/A</v>
      </c>
      <c r="AO187" s="59" t="e">
        <f t="shared" si="144"/>
        <v>#N/A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 t="e">
        <f>EXP(-LN(2)/35)*AU186+(1-EXP(-LN(2)/35))/(LN(2)/35)*AQ187*AR187*VLOOKUP('Données projet'!$B$10,Paramètres!$A$1:$I$89,3,0)*0.475*44/12</f>
        <v>#N/A</v>
      </c>
      <c r="AV187" s="21" t="e">
        <f>EXP(-LN(2)/25)*AV186+(1-EXP(-LN(2)/25))/(LN(2)/25)*Calculateur!AQ187*Calculateur!AS187*VLOOKUP('Données projet'!$B$10,Paramètres!$A$1:$I$89,3,0)*0.475*44/12</f>
        <v>#N/A</v>
      </c>
      <c r="AW187" s="21" t="e">
        <f>EXP(-LN(2)/2)*AW186+(1-EXP(-LN(2)/2))/(LN(2)/2)*AQ187*AT187*VLOOKUP('Données projet'!$B$10,Paramètres!$A$1:$I$89,3,0)*0.475*44/12</f>
        <v>#N/A</v>
      </c>
      <c r="AX187" s="21" t="e">
        <f t="shared" si="166"/>
        <v>#N/A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2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110.62999999999985</v>
      </c>
      <c r="D188" s="11">
        <f t="shared" si="140"/>
        <v>29.479368114770981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1081.5459994824416</v>
      </c>
      <c r="H188" s="67">
        <f t="shared" si="110"/>
        <v>537.35714946655912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-5.6843418860808015E-14</v>
      </c>
      <c r="O188" s="13">
        <f>N188*VLOOKUP('Données projet'!$B$9,Paramètres!$A$1:$I$89,3,0)*VLOOKUP('Données projet'!$B$9,Paramètres!$A$1:$I$89,5,0)</f>
        <v>-3.3992364478763198E-14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232.5902129145469</v>
      </c>
      <c r="T188" s="59">
        <f t="shared" si="142"/>
        <v>340.94590122751879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12.121720783054981</v>
      </c>
      <c r="AA188" s="21">
        <f>EXP(-LN(2)/25)*AA187+(1-EXP(-LN(2)/25))/(LN(2)/25)*Calculateur!V188*Calculateur!X188*VLOOKUP('Données projet'!$B$9,Paramètres!$A$1:$I$89,3,0)*0.475*44/12</f>
        <v>0.44104504475687423</v>
      </c>
      <c r="AB188" s="21">
        <f>EXP(-LN(2)/2)*AB187+(1-EXP(-LN(2)/2))/(LN(2)/2)*V188*Y188*VLOOKUP('Données projet'!$B$9,Paramètres!$A$1:$I$89,3,0)*0.475*44/12</f>
        <v>1.1610289815067838E-20</v>
      </c>
      <c r="AC188" s="22">
        <f t="shared" si="163"/>
        <v>12.562765827811855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0</v>
      </c>
      <c r="AJ188" s="13" t="e">
        <f>AI188*VLOOKUP('Données projet'!$B$10,Paramètres!$A$1:$I$89,3,0)*VLOOKUP('Données projet'!$B$10,Paramètres!$A$1:$I$89,5,0)</f>
        <v>#N/A</v>
      </c>
      <c r="AK188" s="13" t="e">
        <f t="shared" si="164"/>
        <v>#N/A</v>
      </c>
      <c r="AL188" s="20" t="e">
        <f t="shared" si="165"/>
        <v>#N/A</v>
      </c>
      <c r="AM188" s="59" t="e">
        <f t="shared" si="113"/>
        <v>#N/A</v>
      </c>
      <c r="AN188" s="59" t="e">
        <f ca="1">AVERAGE(OFFSET($AM$3,0,0,'Données projet'!$E$10+1,1))-AVERAGE(OFFSET($H$3,0,0,'Données projet'!$E$10+1,1))</f>
        <v>#N/A</v>
      </c>
      <c r="AO188" s="59" t="e">
        <f t="shared" si="144"/>
        <v>#N/A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 t="e">
        <f>EXP(-LN(2)/35)*AU187+(1-EXP(-LN(2)/35))/(LN(2)/35)*AQ188*AR188*VLOOKUP('Données projet'!$B$10,Paramètres!$A$1:$I$89,3,0)*0.475*44/12</f>
        <v>#N/A</v>
      </c>
      <c r="AV188" s="21" t="e">
        <f>EXP(-LN(2)/25)*AV187+(1-EXP(-LN(2)/25))/(LN(2)/25)*Calculateur!AQ188*Calculateur!AS188*VLOOKUP('Données projet'!$B$10,Paramètres!$A$1:$I$89,3,0)*0.475*44/12</f>
        <v>#N/A</v>
      </c>
      <c r="AW188" s="21" t="e">
        <f>EXP(-LN(2)/2)*AW187+(1-EXP(-LN(2)/2))/(LN(2)/2)*AQ188*AT188*VLOOKUP('Données projet'!$B$10,Paramètres!$A$1:$I$89,3,0)*0.475*44/12</f>
        <v>#N/A</v>
      </c>
      <c r="AX188" s="21" t="e">
        <f t="shared" si="166"/>
        <v>#N/A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2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111.22799999999985</v>
      </c>
      <c r="D189" s="11">
        <f t="shared" si="140"/>
        <v>29.620123744783776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1087.2486745211368</v>
      </c>
      <c r="H189" s="67">
        <f t="shared" si="110"/>
        <v>538.6438155221648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-5.6843418860808015E-14</v>
      </c>
      <c r="O189" s="13">
        <f>N189*VLOOKUP('Données projet'!$B$9,Paramètres!$A$1:$I$89,3,0)*VLOOKUP('Données projet'!$B$9,Paramètres!$A$1:$I$89,5,0)</f>
        <v>-3.3992364478763198E-14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232.5902129145469</v>
      </c>
      <c r="T189" s="59">
        <f t="shared" si="142"/>
        <v>340.94590122751879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11.884021232018901</v>
      </c>
      <c r="AA189" s="21">
        <f>EXP(-LN(2)/25)*AA188+(1-EXP(-LN(2)/25))/(LN(2)/25)*Calculateur!V189*Calculateur!X189*VLOOKUP('Données projet'!$B$9,Paramètres!$A$1:$I$89,3,0)*0.475*44/12</f>
        <v>0.42898464481444665</v>
      </c>
      <c r="AB189" s="21">
        <f>EXP(-LN(2)/2)*AB188+(1-EXP(-LN(2)/2))/(LN(2)/2)*V189*Y189*VLOOKUP('Données projet'!$B$9,Paramètres!$A$1:$I$89,3,0)*0.475*44/12</f>
        <v>8.209714659775575E-21</v>
      </c>
      <c r="AC189" s="22">
        <f t="shared" si="163"/>
        <v>12.313005876833348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0</v>
      </c>
      <c r="AJ189" s="13" t="e">
        <f>AI189*VLOOKUP('Données projet'!$B$10,Paramètres!$A$1:$I$89,3,0)*VLOOKUP('Données projet'!$B$10,Paramètres!$A$1:$I$89,5,0)</f>
        <v>#N/A</v>
      </c>
      <c r="AK189" s="13" t="e">
        <f t="shared" si="164"/>
        <v>#N/A</v>
      </c>
      <c r="AL189" s="20" t="e">
        <f t="shared" si="165"/>
        <v>#N/A</v>
      </c>
      <c r="AM189" s="59" t="e">
        <f t="shared" si="113"/>
        <v>#N/A</v>
      </c>
      <c r="AN189" s="59" t="e">
        <f ca="1">AVERAGE(OFFSET($AM$3,0,0,'Données projet'!$E$10+1,1))-AVERAGE(OFFSET($H$3,0,0,'Données projet'!$E$10+1,1))</f>
        <v>#N/A</v>
      </c>
      <c r="AO189" s="59" t="e">
        <f t="shared" si="144"/>
        <v>#N/A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 t="e">
        <f>EXP(-LN(2)/35)*AU188+(1-EXP(-LN(2)/35))/(LN(2)/35)*AQ189*AR189*VLOOKUP('Données projet'!$B$10,Paramètres!$A$1:$I$89,3,0)*0.475*44/12</f>
        <v>#N/A</v>
      </c>
      <c r="AV189" s="21" t="e">
        <f>EXP(-LN(2)/25)*AV188+(1-EXP(-LN(2)/25))/(LN(2)/25)*Calculateur!AQ189*Calculateur!AS189*VLOOKUP('Données projet'!$B$10,Paramètres!$A$1:$I$89,3,0)*0.475*44/12</f>
        <v>#N/A</v>
      </c>
      <c r="AW189" s="21" t="e">
        <f>EXP(-LN(2)/2)*AW188+(1-EXP(-LN(2)/2))/(LN(2)/2)*AQ189*AT189*VLOOKUP('Données projet'!$B$10,Paramètres!$A$1:$I$89,3,0)*0.475*44/12</f>
        <v>#N/A</v>
      </c>
      <c r="AX189" s="21" t="e">
        <f t="shared" si="166"/>
        <v>#N/A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2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111.82599999999985</v>
      </c>
      <c r="D190" s="11">
        <f t="shared" si="140"/>
        <v>29.760791316122987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1092.9506698086675</v>
      </c>
      <c r="H190" s="67">
        <f t="shared" si="110"/>
        <v>539.93032820891392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-5.6843418860808015E-14</v>
      </c>
      <c r="O190" s="13">
        <f>N190*VLOOKUP('Données projet'!$B$9,Paramètres!$A$1:$I$89,3,0)*VLOOKUP('Données projet'!$B$9,Paramètres!$A$1:$I$89,5,0)</f>
        <v>-3.3992364478763198E-14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232.5902129145469</v>
      </c>
      <c r="T190" s="59">
        <f t="shared" si="142"/>
        <v>340.94590122751879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11.650982824196229</v>
      </c>
      <c r="AA190" s="21">
        <f>EXP(-LN(2)/25)*AA189+(1-EXP(-LN(2)/25))/(LN(2)/25)*Calculateur!V190*Calculateur!X190*VLOOKUP('Données projet'!$B$9,Paramètres!$A$1:$I$89,3,0)*0.475*44/12</f>
        <v>0.41725403714267362</v>
      </c>
      <c r="AB190" s="21">
        <f>EXP(-LN(2)/2)*AB189+(1-EXP(-LN(2)/2))/(LN(2)/2)*V190*Y190*VLOOKUP('Données projet'!$B$9,Paramètres!$A$1:$I$89,3,0)*0.475*44/12</f>
        <v>5.8051449075339191E-21</v>
      </c>
      <c r="AC190" s="22">
        <f t="shared" si="163"/>
        <v>12.068236861338903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0</v>
      </c>
      <c r="AJ190" s="13" t="e">
        <f>AI190*VLOOKUP('Données projet'!$B$10,Paramètres!$A$1:$I$89,3,0)*VLOOKUP('Données projet'!$B$10,Paramètres!$A$1:$I$89,5,0)</f>
        <v>#N/A</v>
      </c>
      <c r="AK190" s="13" t="e">
        <f t="shared" si="164"/>
        <v>#N/A</v>
      </c>
      <c r="AL190" s="20" t="e">
        <f t="shared" si="165"/>
        <v>#N/A</v>
      </c>
      <c r="AM190" s="59" t="e">
        <f t="shared" si="113"/>
        <v>#N/A</v>
      </c>
      <c r="AN190" s="59" t="e">
        <f ca="1">AVERAGE(OFFSET($AM$3,0,0,'Données projet'!$E$10+1,1))-AVERAGE(OFFSET($H$3,0,0,'Données projet'!$E$10+1,1))</f>
        <v>#N/A</v>
      </c>
      <c r="AO190" s="59" t="e">
        <f t="shared" si="144"/>
        <v>#N/A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 t="e">
        <f>EXP(-LN(2)/35)*AU189+(1-EXP(-LN(2)/35))/(LN(2)/35)*AQ190*AR190*VLOOKUP('Données projet'!$B$10,Paramètres!$A$1:$I$89,3,0)*0.475*44/12</f>
        <v>#N/A</v>
      </c>
      <c r="AV190" s="21" t="e">
        <f>EXP(-LN(2)/25)*AV189+(1-EXP(-LN(2)/25))/(LN(2)/25)*Calculateur!AQ190*Calculateur!AS190*VLOOKUP('Données projet'!$B$10,Paramètres!$A$1:$I$89,3,0)*0.475*44/12</f>
        <v>#N/A</v>
      </c>
      <c r="AW190" s="21" t="e">
        <f>EXP(-LN(2)/2)*AW189+(1-EXP(-LN(2)/2))/(LN(2)/2)*AQ190*AT190*VLOOKUP('Données projet'!$B$10,Paramètres!$A$1:$I$89,3,0)*0.475*44/12</f>
        <v>#N/A</v>
      </c>
      <c r="AX190" s="21" t="e">
        <f t="shared" si="166"/>
        <v>#N/A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2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112.42399999999985</v>
      </c>
      <c r="D191" s="11">
        <f t="shared" si="140"/>
        <v>29.901371354345098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1098.6519894019611</v>
      </c>
      <c r="H191" s="67">
        <f t="shared" si="110"/>
        <v>541.21668844215083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-5.6843418860808015E-14</v>
      </c>
      <c r="O191" s="13">
        <f>N191*VLOOKUP('Données projet'!$B$9,Paramètres!$A$1:$I$89,3,0)*VLOOKUP('Données projet'!$B$9,Paramètres!$A$1:$I$89,5,0)</f>
        <v>-3.3992364478763198E-14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232.5902129145469</v>
      </c>
      <c r="T191" s="59">
        <f t="shared" si="142"/>
        <v>340.94590122751879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11.422514157411564</v>
      </c>
      <c r="AA191" s="21">
        <f>EXP(-LN(2)/25)*AA190+(1-EXP(-LN(2)/25))/(LN(2)/25)*Calculateur!V191*Calculateur!X191*VLOOKUP('Données projet'!$B$9,Paramètres!$A$1:$I$89,3,0)*0.475*44/12</f>
        <v>0.40584420355457101</v>
      </c>
      <c r="AB191" s="21">
        <f>EXP(-LN(2)/2)*AB190+(1-EXP(-LN(2)/2))/(LN(2)/2)*V191*Y191*VLOOKUP('Données projet'!$B$9,Paramètres!$A$1:$I$89,3,0)*0.475*44/12</f>
        <v>4.1048573298877875E-21</v>
      </c>
      <c r="AC191" s="22">
        <f t="shared" si="163"/>
        <v>11.828358360966135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0</v>
      </c>
      <c r="AJ191" s="13" t="e">
        <f>AI191*VLOOKUP('Données projet'!$B$10,Paramètres!$A$1:$I$89,3,0)*VLOOKUP('Données projet'!$B$10,Paramètres!$A$1:$I$89,5,0)</f>
        <v>#N/A</v>
      </c>
      <c r="AK191" s="13" t="e">
        <f t="shared" si="164"/>
        <v>#N/A</v>
      </c>
      <c r="AL191" s="20" t="e">
        <f t="shared" si="165"/>
        <v>#N/A</v>
      </c>
      <c r="AM191" s="59" t="e">
        <f t="shared" si="113"/>
        <v>#N/A</v>
      </c>
      <c r="AN191" s="59" t="e">
        <f ca="1">AVERAGE(OFFSET($AM$3,0,0,'Données projet'!$E$10+1,1))-AVERAGE(OFFSET($H$3,0,0,'Données projet'!$E$10+1,1))</f>
        <v>#N/A</v>
      </c>
      <c r="AO191" s="59" t="e">
        <f t="shared" si="144"/>
        <v>#N/A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 t="e">
        <f>EXP(-LN(2)/35)*AU190+(1-EXP(-LN(2)/35))/(LN(2)/35)*AQ191*AR191*VLOOKUP('Données projet'!$B$10,Paramètres!$A$1:$I$89,3,0)*0.475*44/12</f>
        <v>#N/A</v>
      </c>
      <c r="AV191" s="21" t="e">
        <f>EXP(-LN(2)/25)*AV190+(1-EXP(-LN(2)/25))/(LN(2)/25)*Calculateur!AQ191*Calculateur!AS191*VLOOKUP('Données projet'!$B$10,Paramètres!$A$1:$I$89,3,0)*0.475*44/12</f>
        <v>#N/A</v>
      </c>
      <c r="AW191" s="21" t="e">
        <f>EXP(-LN(2)/2)*AW190+(1-EXP(-LN(2)/2))/(LN(2)/2)*AQ191*AT191*VLOOKUP('Données projet'!$B$10,Paramètres!$A$1:$I$89,3,0)*0.475*44/12</f>
        <v>#N/A</v>
      </c>
      <c r="AX191" s="21" t="e">
        <f t="shared" si="166"/>
        <v>#N/A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2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113.02199999999985</v>
      </c>
      <c r="D192" s="11">
        <f t="shared" si="140"/>
        <v>30.041864379091798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1104.3526373122866</v>
      </c>
      <c r="H192" s="67">
        <f t="shared" si="110"/>
        <v>542.50289712691801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-5.6843418860808015E-14</v>
      </c>
      <c r="O192" s="13">
        <f>N192*VLOOKUP('Données projet'!$B$9,Paramètres!$A$1:$I$89,3,0)*VLOOKUP('Données projet'!$B$9,Paramètres!$A$1:$I$89,5,0)</f>
        <v>-3.3992364478763198E-14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232.5902129145469</v>
      </c>
      <c r="T192" s="59">
        <f t="shared" si="142"/>
        <v>340.94590122751879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11.19852562183042</v>
      </c>
      <c r="AA192" s="21">
        <f>EXP(-LN(2)/25)*AA191+(1-EXP(-LN(2)/25))/(LN(2)/25)*Calculateur!V192*Calculateur!X192*VLOOKUP('Données projet'!$B$9,Paramètres!$A$1:$I$89,3,0)*0.475*44/12</f>
        <v>0.39474637246595218</v>
      </c>
      <c r="AB192" s="21">
        <f>EXP(-LN(2)/2)*AB191+(1-EXP(-LN(2)/2))/(LN(2)/2)*V192*Y192*VLOOKUP('Données projet'!$B$9,Paramètres!$A$1:$I$89,3,0)*0.475*44/12</f>
        <v>2.9025724537669595E-21</v>
      </c>
      <c r="AC192" s="22">
        <f t="shared" si="163"/>
        <v>11.593271994296373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0</v>
      </c>
      <c r="AJ192" s="13" t="e">
        <f>AI192*VLOOKUP('Données projet'!$B$10,Paramètres!$A$1:$I$89,3,0)*VLOOKUP('Données projet'!$B$10,Paramètres!$A$1:$I$89,5,0)</f>
        <v>#N/A</v>
      </c>
      <c r="AK192" s="13" t="e">
        <f t="shared" si="164"/>
        <v>#N/A</v>
      </c>
      <c r="AL192" s="20" t="e">
        <f t="shared" si="165"/>
        <v>#N/A</v>
      </c>
      <c r="AM192" s="59" t="e">
        <f t="shared" si="113"/>
        <v>#N/A</v>
      </c>
      <c r="AN192" s="59" t="e">
        <f ca="1">AVERAGE(OFFSET($AM$3,0,0,'Données projet'!$E$10+1,1))-AVERAGE(OFFSET($H$3,0,0,'Données projet'!$E$10+1,1))</f>
        <v>#N/A</v>
      </c>
      <c r="AO192" s="59" t="e">
        <f t="shared" si="144"/>
        <v>#N/A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 t="e">
        <f>EXP(-LN(2)/35)*AU191+(1-EXP(-LN(2)/35))/(LN(2)/35)*AQ192*AR192*VLOOKUP('Données projet'!$B$10,Paramètres!$A$1:$I$89,3,0)*0.475*44/12</f>
        <v>#N/A</v>
      </c>
      <c r="AV192" s="21" t="e">
        <f>EXP(-LN(2)/25)*AV191+(1-EXP(-LN(2)/25))/(LN(2)/25)*Calculateur!AQ192*Calculateur!AS192*VLOOKUP('Données projet'!$B$10,Paramètres!$A$1:$I$89,3,0)*0.475*44/12</f>
        <v>#N/A</v>
      </c>
      <c r="AW192" s="21" t="e">
        <f>EXP(-LN(2)/2)*AW191+(1-EXP(-LN(2)/2))/(LN(2)/2)*AQ192*AT192*VLOOKUP('Données projet'!$B$10,Paramètres!$A$1:$I$89,3,0)*0.475*44/12</f>
        <v>#N/A</v>
      </c>
      <c r="AX192" s="21" t="e">
        <f t="shared" si="166"/>
        <v>#N/A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2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113.61999999999985</v>
      </c>
      <c r="D193" s="11">
        <f t="shared" si="140"/>
        <v>30.182270904187739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1110.0526175060095</v>
      </c>
      <c r="H193" s="67">
        <f t="shared" si="110"/>
        <v>543.78895515812667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-5.6843418860808015E-14</v>
      </c>
      <c r="O193" s="13">
        <f>N193*VLOOKUP('Données projet'!$B$9,Paramètres!$A$1:$I$89,3,0)*VLOOKUP('Données projet'!$B$9,Paramètres!$A$1:$I$89,5,0)</f>
        <v>-3.3992364478763198E-14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232.5902129145469</v>
      </c>
      <c r="T193" s="59">
        <f t="shared" si="142"/>
        <v>340.94590122751879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10.978929364812506</v>
      </c>
      <c r="AA193" s="21">
        <f>EXP(-LN(2)/25)*AA192+(1-EXP(-LN(2)/25))/(LN(2)/25)*Calculateur!V193*Calculateur!X193*VLOOKUP('Données projet'!$B$9,Paramètres!$A$1:$I$89,3,0)*0.475*44/12</f>
        <v>0.38395201215206121</v>
      </c>
      <c r="AB193" s="21">
        <f>EXP(-LN(2)/2)*AB192+(1-EXP(-LN(2)/2))/(LN(2)/2)*V193*Y193*VLOOKUP('Données projet'!$B$9,Paramètres!$A$1:$I$89,3,0)*0.475*44/12</f>
        <v>2.0524286649438937E-21</v>
      </c>
      <c r="AC193" s="22">
        <f t="shared" si="163"/>
        <v>11.362881376964568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0</v>
      </c>
      <c r="AJ193" s="13" t="e">
        <f>AI193*VLOOKUP('Données projet'!$B$10,Paramètres!$A$1:$I$89,3,0)*VLOOKUP('Données projet'!$B$10,Paramètres!$A$1:$I$89,5,0)</f>
        <v>#N/A</v>
      </c>
      <c r="AK193" s="13" t="e">
        <f t="shared" si="164"/>
        <v>#N/A</v>
      </c>
      <c r="AL193" s="20" t="e">
        <f t="shared" si="165"/>
        <v>#N/A</v>
      </c>
      <c r="AM193" s="59" t="e">
        <f t="shared" si="113"/>
        <v>#N/A</v>
      </c>
      <c r="AN193" s="59" t="e">
        <f ca="1">AVERAGE(OFFSET($AM$3,0,0,'Données projet'!$E$10+1,1))-AVERAGE(OFFSET($H$3,0,0,'Données projet'!$E$10+1,1))</f>
        <v>#N/A</v>
      </c>
      <c r="AO193" s="59" t="e">
        <f t="shared" si="144"/>
        <v>#N/A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 t="e">
        <f>EXP(-LN(2)/35)*AU192+(1-EXP(-LN(2)/35))/(LN(2)/35)*AQ193*AR193*VLOOKUP('Données projet'!$B$10,Paramètres!$A$1:$I$89,3,0)*0.475*44/12</f>
        <v>#N/A</v>
      </c>
      <c r="AV193" s="21" t="e">
        <f>EXP(-LN(2)/25)*AV192+(1-EXP(-LN(2)/25))/(LN(2)/25)*Calculateur!AQ193*Calculateur!AS193*VLOOKUP('Données projet'!$B$10,Paramètres!$A$1:$I$89,3,0)*0.475*44/12</f>
        <v>#N/A</v>
      </c>
      <c r="AW193" s="21" t="e">
        <f>EXP(-LN(2)/2)*AW192+(1-EXP(-LN(2)/2))/(LN(2)/2)*AQ193*AT193*VLOOKUP('Données projet'!$B$10,Paramètres!$A$1:$I$89,3,0)*0.475*44/12</f>
        <v>#N/A</v>
      </c>
      <c r="AX193" s="21" t="e">
        <f t="shared" si="166"/>
        <v>#N/A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2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114.21799999999985</v>
      </c>
      <c r="D194" s="11">
        <f t="shared" si="140"/>
        <v>30.322591437735614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1115.7519339053265</v>
      </c>
      <c r="H194" s="67">
        <f t="shared" si="110"/>
        <v>545.07486342072252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-5.6843418860808015E-14</v>
      </c>
      <c r="O194" s="13">
        <f>N194*VLOOKUP('Données projet'!$B$9,Paramètres!$A$1:$I$89,3,0)*VLOOKUP('Données projet'!$B$9,Paramètres!$A$1:$I$89,5,0)</f>
        <v>-3.3992364478763198E-14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232.5902129145469</v>
      </c>
      <c r="T194" s="59">
        <f t="shared" si="142"/>
        <v>340.94590122751879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10.763639256454223</v>
      </c>
      <c r="AA194" s="21">
        <f>EXP(-LN(2)/25)*AA193+(1-EXP(-LN(2)/25))/(LN(2)/25)*Calculateur!V194*Calculateur!X194*VLOOKUP('Données projet'!$B$9,Paramètres!$A$1:$I$89,3,0)*0.475*44/12</f>
        <v>0.37345282418860432</v>
      </c>
      <c r="AB194" s="21">
        <f>EXP(-LN(2)/2)*AB193+(1-EXP(-LN(2)/2))/(LN(2)/2)*V194*Y194*VLOOKUP('Données projet'!$B$9,Paramètres!$A$1:$I$89,3,0)*0.475*44/12</f>
        <v>1.4512862268834798E-21</v>
      </c>
      <c r="AC194" s="22">
        <f t="shared" si="163"/>
        <v>11.137092080642827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0</v>
      </c>
      <c r="AJ194" s="13" t="e">
        <f>AI194*VLOOKUP('Données projet'!$B$10,Paramètres!$A$1:$I$89,3,0)*VLOOKUP('Données projet'!$B$10,Paramètres!$A$1:$I$89,5,0)</f>
        <v>#N/A</v>
      </c>
      <c r="AK194" s="13" t="e">
        <f t="shared" si="164"/>
        <v>#N/A</v>
      </c>
      <c r="AL194" s="20" t="e">
        <f t="shared" si="165"/>
        <v>#N/A</v>
      </c>
      <c r="AM194" s="59" t="e">
        <f t="shared" si="113"/>
        <v>#N/A</v>
      </c>
      <c r="AN194" s="59" t="e">
        <f ca="1">AVERAGE(OFFSET($AM$3,0,0,'Données projet'!$E$10+1,1))-AVERAGE(OFFSET($H$3,0,0,'Données projet'!$E$10+1,1))</f>
        <v>#N/A</v>
      </c>
      <c r="AO194" s="59" t="e">
        <f t="shared" si="144"/>
        <v>#N/A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 t="e">
        <f>EXP(-LN(2)/35)*AU193+(1-EXP(-LN(2)/35))/(LN(2)/35)*AQ194*AR194*VLOOKUP('Données projet'!$B$10,Paramètres!$A$1:$I$89,3,0)*0.475*44/12</f>
        <v>#N/A</v>
      </c>
      <c r="AV194" s="21" t="e">
        <f>EXP(-LN(2)/25)*AV193+(1-EXP(-LN(2)/25))/(LN(2)/25)*Calculateur!AQ194*Calculateur!AS194*VLOOKUP('Données projet'!$B$10,Paramètres!$A$1:$I$89,3,0)*0.475*44/12</f>
        <v>#N/A</v>
      </c>
      <c r="AW194" s="21" t="e">
        <f>EXP(-LN(2)/2)*AW193+(1-EXP(-LN(2)/2))/(LN(2)/2)*AQ194*AT194*VLOOKUP('Données projet'!$B$10,Paramètres!$A$1:$I$89,3,0)*0.475*44/12</f>
        <v>#N/A</v>
      </c>
      <c r="AX194" s="21" t="e">
        <f t="shared" si="166"/>
        <v>#N/A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2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114.81599999999985</v>
      </c>
      <c r="D195" s="11">
        <f t="shared" si="140"/>
        <v>30.462826482209802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1121.4505903889867</v>
      </c>
      <c r="H195" s="67">
        <f t="shared" si="110"/>
        <v>546.36062278984843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-5.6843418860808015E-14</v>
      </c>
      <c r="O195" s="13">
        <f>N195*VLOOKUP('Données projet'!$B$9,Paramètres!$A$1:$I$89,3,0)*VLOOKUP('Données projet'!$B$9,Paramètres!$A$1:$I$89,5,0)</f>
        <v>-3.3992364478763198E-14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232.5902129145469</v>
      </c>
      <c r="T195" s="59">
        <f t="shared" si="142"/>
        <v>340.94590122751879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10.552570855806845</v>
      </c>
      <c r="AA195" s="21">
        <f>EXP(-LN(2)/25)*AA194+(1-EXP(-LN(2)/25))/(LN(2)/25)*Calculateur!V195*Calculateur!X195*VLOOKUP('Données projet'!$B$9,Paramètres!$A$1:$I$89,3,0)*0.475*44/12</f>
        <v>0.36324073707213644</v>
      </c>
      <c r="AB195" s="21">
        <f>EXP(-LN(2)/2)*AB194+(1-EXP(-LN(2)/2))/(LN(2)/2)*V195*Y195*VLOOKUP('Données projet'!$B$9,Paramètres!$A$1:$I$89,3,0)*0.475*44/12</f>
        <v>1.0262143324719469E-21</v>
      </c>
      <c r="AC195" s="22">
        <f t="shared" si="163"/>
        <v>10.915811592878981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0</v>
      </c>
      <c r="AJ195" s="13" t="e">
        <f>AI195*VLOOKUP('Données projet'!$B$10,Paramètres!$A$1:$I$89,3,0)*VLOOKUP('Données projet'!$B$10,Paramètres!$A$1:$I$89,5,0)</f>
        <v>#N/A</v>
      </c>
      <c r="AK195" s="13" t="e">
        <f t="shared" si="164"/>
        <v>#N/A</v>
      </c>
      <c r="AL195" s="20" t="e">
        <f t="shared" si="165"/>
        <v>#N/A</v>
      </c>
      <c r="AM195" s="59" t="e">
        <f t="shared" si="113"/>
        <v>#N/A</v>
      </c>
      <c r="AN195" s="59" t="e">
        <f ca="1">AVERAGE(OFFSET($AM$3,0,0,'Données projet'!$E$10+1,1))-AVERAGE(OFFSET($H$3,0,0,'Données projet'!$E$10+1,1))</f>
        <v>#N/A</v>
      </c>
      <c r="AO195" s="59" t="e">
        <f t="shared" si="144"/>
        <v>#N/A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 t="e">
        <f>EXP(-LN(2)/35)*AU194+(1-EXP(-LN(2)/35))/(LN(2)/35)*AQ195*AR195*VLOOKUP('Données projet'!$B$10,Paramètres!$A$1:$I$89,3,0)*0.475*44/12</f>
        <v>#N/A</v>
      </c>
      <c r="AV195" s="21" t="e">
        <f>EXP(-LN(2)/25)*AV194+(1-EXP(-LN(2)/25))/(LN(2)/25)*Calculateur!AQ195*Calculateur!AS195*VLOOKUP('Données projet'!$B$10,Paramètres!$A$1:$I$89,3,0)*0.475*44/12</f>
        <v>#N/A</v>
      </c>
      <c r="AW195" s="21" t="e">
        <f>EXP(-LN(2)/2)*AW194+(1-EXP(-LN(2)/2))/(LN(2)/2)*AQ195*AT195*VLOOKUP('Données projet'!$B$10,Paramètres!$A$1:$I$89,3,0)*0.475*44/12</f>
        <v>#N/A</v>
      </c>
      <c r="AX195" s="21" t="e">
        <f t="shared" si="166"/>
        <v>#N/A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2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115.41399999999985</v>
      </c>
      <c r="D196" s="11">
        <f t="shared" si="140"/>
        <v>30.602976534547494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1127.1485907929971</v>
      </c>
      <c r="H196" s="67">
        <f t="shared" ref="H196:H203" si="192">(B196+E196+F196)*44/12+(C196+D196)*0.475*44/12</f>
        <v>547.64623413100321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-5.6843418860808015E-14</v>
      </c>
      <c r="O196" s="13">
        <f>N196*VLOOKUP('Données projet'!$B$9,Paramètres!$A$1:$I$89,3,0)*VLOOKUP('Données projet'!$B$9,Paramètres!$A$1:$I$89,5,0)</f>
        <v>-3.3992364478763198E-14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232.5902129145469</v>
      </c>
      <c r="T196" s="59">
        <f t="shared" si="142"/>
        <v>340.94590122751879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10.345641377757151</v>
      </c>
      <c r="AA196" s="21">
        <f>EXP(-LN(2)/25)*AA195+(1-EXP(-LN(2)/25))/(LN(2)/25)*Calculateur!V196*Calculateur!X196*VLOOKUP('Données projet'!$B$9,Paramètres!$A$1:$I$89,3,0)*0.475*44/12</f>
        <v>0.3533079000148987</v>
      </c>
      <c r="AB196" s="21">
        <f>EXP(-LN(2)/2)*AB195+(1-EXP(-LN(2)/2))/(LN(2)/2)*V196*Y196*VLOOKUP('Données projet'!$B$9,Paramètres!$A$1:$I$89,3,0)*0.475*44/12</f>
        <v>7.2564311344173988E-22</v>
      </c>
      <c r="AC196" s="22">
        <f t="shared" si="163"/>
        <v>10.69894927777205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0</v>
      </c>
      <c r="AJ196" s="13" t="e">
        <f>AI196*VLOOKUP('Données projet'!$B$10,Paramètres!$A$1:$I$89,3,0)*VLOOKUP('Données projet'!$B$10,Paramètres!$A$1:$I$89,5,0)</f>
        <v>#N/A</v>
      </c>
      <c r="AK196" s="13" t="e">
        <f t="shared" si="164"/>
        <v>#N/A</v>
      </c>
      <c r="AL196" s="20" t="e">
        <f t="shared" si="165"/>
        <v>#N/A</v>
      </c>
      <c r="AM196" s="59" t="e">
        <f t="shared" ref="AM196:AM203" si="193">AL196+(AD196+AE196)*44/12</f>
        <v>#N/A</v>
      </c>
      <c r="AN196" s="59" t="e">
        <f ca="1">AVERAGE(OFFSET($AM$3,0,0,'Données projet'!$E$10+1,1))-AVERAGE(OFFSET($H$3,0,0,'Données projet'!$E$10+1,1))</f>
        <v>#N/A</v>
      </c>
      <c r="AO196" s="59" t="e">
        <f t="shared" si="144"/>
        <v>#N/A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 t="e">
        <f>EXP(-LN(2)/35)*AU195+(1-EXP(-LN(2)/35))/(LN(2)/35)*AQ196*AR196*VLOOKUP('Données projet'!$B$10,Paramètres!$A$1:$I$89,3,0)*0.475*44/12</f>
        <v>#N/A</v>
      </c>
      <c r="AV196" s="21" t="e">
        <f>EXP(-LN(2)/25)*AV195+(1-EXP(-LN(2)/25))/(LN(2)/25)*Calculateur!AQ196*Calculateur!AS196*VLOOKUP('Données projet'!$B$10,Paramètres!$A$1:$I$89,3,0)*0.475*44/12</f>
        <v>#N/A</v>
      </c>
      <c r="AW196" s="21" t="e">
        <f>EXP(-LN(2)/2)*AW195+(1-EXP(-LN(2)/2))/(LN(2)/2)*AQ196*AT196*VLOOKUP('Données projet'!$B$10,Paramètres!$A$1:$I$89,3,0)*0.475*44/12</f>
        <v>#N/A</v>
      </c>
      <c r="AX196" s="21" t="e">
        <f t="shared" si="166"/>
        <v>#N/A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2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116.01199999999984</v>
      </c>
      <c r="D197" s="11">
        <f t="shared" ref="D197:D203" si="202">IFERROR(EXP(-1.0587+0.8836*LN(C197)+0.284),0)</f>
        <v>30.743042086238148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1132.8459389113111</v>
      </c>
      <c r="H197" s="67">
        <f t="shared" si="192"/>
        <v>548.93169830019781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-5.6843418860808015E-14</v>
      </c>
      <c r="O197" s="13">
        <f>N197*VLOOKUP('Données projet'!$B$9,Paramètres!$A$1:$I$89,3,0)*VLOOKUP('Données projet'!$B$9,Paramètres!$A$1:$I$89,5,0)</f>
        <v>-3.3992364478763198E-14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232.5902129145469</v>
      </c>
      <c r="T197" s="59">
        <f t="shared" ref="T197:T203" si="204">$T$3</f>
        <v>340.94590122751879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10.142769660557491</v>
      </c>
      <c r="AA197" s="21">
        <f>EXP(-LN(2)/25)*AA196+(1-EXP(-LN(2)/25))/(LN(2)/25)*Calculateur!V197*Calculateur!X197*VLOOKUP('Données projet'!$B$9,Paramètres!$A$1:$I$89,3,0)*0.475*44/12</f>
        <v>0.34364667690933631</v>
      </c>
      <c r="AB197" s="21">
        <f>EXP(-LN(2)/2)*AB196+(1-EXP(-LN(2)/2))/(LN(2)/2)*V197*Y197*VLOOKUP('Données projet'!$B$9,Paramètres!$A$1:$I$89,3,0)*0.475*44/12</f>
        <v>5.1310716623597343E-22</v>
      </c>
      <c r="AC197" s="22">
        <f t="shared" si="163"/>
        <v>10.486416337466828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0</v>
      </c>
      <c r="AJ197" s="13" t="e">
        <f>AI197*VLOOKUP('Données projet'!$B$10,Paramètres!$A$1:$I$89,3,0)*VLOOKUP('Données projet'!$B$10,Paramètres!$A$1:$I$89,5,0)</f>
        <v>#N/A</v>
      </c>
      <c r="AK197" s="13" t="e">
        <f t="shared" si="164"/>
        <v>#N/A</v>
      </c>
      <c r="AL197" s="20" t="e">
        <f t="shared" si="165"/>
        <v>#N/A</v>
      </c>
      <c r="AM197" s="59" t="e">
        <f t="shared" si="193"/>
        <v>#N/A</v>
      </c>
      <c r="AN197" s="59" t="e">
        <f ca="1">AVERAGE(OFFSET($AM$3,0,0,'Données projet'!$E$10+1,1))-AVERAGE(OFFSET($H$3,0,0,'Données projet'!$E$10+1,1))</f>
        <v>#N/A</v>
      </c>
      <c r="AO197" s="59" t="e">
        <f t="shared" ref="AO197:AO203" si="205">$AO$3</f>
        <v>#N/A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 t="e">
        <f>EXP(-LN(2)/35)*AU196+(1-EXP(-LN(2)/35))/(LN(2)/35)*AQ197*AR197*VLOOKUP('Données projet'!$B$10,Paramètres!$A$1:$I$89,3,0)*0.475*44/12</f>
        <v>#N/A</v>
      </c>
      <c r="AV197" s="21" t="e">
        <f>EXP(-LN(2)/25)*AV196+(1-EXP(-LN(2)/25))/(LN(2)/25)*Calculateur!AQ197*Calculateur!AS197*VLOOKUP('Données projet'!$B$10,Paramètres!$A$1:$I$89,3,0)*0.475*44/12</f>
        <v>#N/A</v>
      </c>
      <c r="AW197" s="21" t="e">
        <f>EXP(-LN(2)/2)*AW196+(1-EXP(-LN(2)/2))/(LN(2)/2)*AQ197*AT197*VLOOKUP('Données projet'!$B$10,Paramètres!$A$1:$I$89,3,0)*0.475*44/12</f>
        <v>#N/A</v>
      </c>
      <c r="AX197" s="21" t="e">
        <f t="shared" si="166"/>
        <v>#N/A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2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116.60999999999984</v>
      </c>
      <c r="D198" s="11">
        <f t="shared" si="202"/>
        <v>30.883023623410974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1138.5426384965047</v>
      </c>
      <c r="H198" s="67">
        <f t="shared" si="192"/>
        <v>550.21701614410711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-5.6843418860808015E-14</v>
      </c>
      <c r="O198" s="13">
        <f>N198*VLOOKUP('Données projet'!$B$9,Paramètres!$A$1:$I$89,3,0)*VLOOKUP('Données projet'!$B$9,Paramètres!$A$1:$I$89,5,0)</f>
        <v>-3.3992364478763198E-14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232.5902129145469</v>
      </c>
      <c r="T198" s="59">
        <f t="shared" si="204"/>
        <v>340.94590122751879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9.9438761339925872</v>
      </c>
      <c r="AA198" s="21">
        <f>EXP(-LN(2)/25)*AA197+(1-EXP(-LN(2)/25))/(LN(2)/25)*Calculateur!V198*Calculateur!X198*VLOOKUP('Données projet'!$B$9,Paramètres!$A$1:$I$89,3,0)*0.475*44/12</f>
        <v>0.3342496404576572</v>
      </c>
      <c r="AB198" s="21">
        <f>EXP(-LN(2)/2)*AB197+(1-EXP(-LN(2)/2))/(LN(2)/2)*V198*Y198*VLOOKUP('Données projet'!$B$9,Paramètres!$A$1:$I$89,3,0)*0.475*44/12</f>
        <v>3.6282155672086994E-22</v>
      </c>
      <c r="AC198" s="22">
        <f t="shared" si="163"/>
        <v>10.278125774450244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0</v>
      </c>
      <c r="AJ198" s="13" t="e">
        <f>AI198*VLOOKUP('Données projet'!$B$10,Paramètres!$A$1:$I$89,3,0)*VLOOKUP('Données projet'!$B$10,Paramètres!$A$1:$I$89,5,0)</f>
        <v>#N/A</v>
      </c>
      <c r="AK198" s="13" t="e">
        <f t="shared" si="164"/>
        <v>#N/A</v>
      </c>
      <c r="AL198" s="20" t="e">
        <f t="shared" si="165"/>
        <v>#N/A</v>
      </c>
      <c r="AM198" s="59" t="e">
        <f t="shared" si="193"/>
        <v>#N/A</v>
      </c>
      <c r="AN198" s="59" t="e">
        <f ca="1">AVERAGE(OFFSET($AM$3,0,0,'Données projet'!$E$10+1,1))-AVERAGE(OFFSET($H$3,0,0,'Données projet'!$E$10+1,1))</f>
        <v>#N/A</v>
      </c>
      <c r="AO198" s="59" t="e">
        <f t="shared" si="205"/>
        <v>#N/A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 t="e">
        <f>EXP(-LN(2)/35)*AU197+(1-EXP(-LN(2)/35))/(LN(2)/35)*AQ198*AR198*VLOOKUP('Données projet'!$B$10,Paramètres!$A$1:$I$89,3,0)*0.475*44/12</f>
        <v>#N/A</v>
      </c>
      <c r="AV198" s="21" t="e">
        <f>EXP(-LN(2)/25)*AV197+(1-EXP(-LN(2)/25))/(LN(2)/25)*Calculateur!AQ198*Calculateur!AS198*VLOOKUP('Données projet'!$B$10,Paramètres!$A$1:$I$89,3,0)*0.475*44/12</f>
        <v>#N/A</v>
      </c>
      <c r="AW198" s="21" t="e">
        <f>EXP(-LN(2)/2)*AW197+(1-EXP(-LN(2)/2))/(LN(2)/2)*AQ198*AT198*VLOOKUP('Données projet'!$B$10,Paramètres!$A$1:$I$89,3,0)*0.475*44/12</f>
        <v>#N/A</v>
      </c>
      <c r="AX198" s="21" t="e">
        <f t="shared" si="166"/>
        <v>#N/A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2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117.20799999999984</v>
      </c>
      <c r="D199" s="11">
        <f t="shared" si="202"/>
        <v>31.022921626920507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1144.2386932604379</v>
      </c>
      <c r="H199" s="67">
        <f t="shared" si="192"/>
        <v>551.50218850021952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-5.6843418860808015E-14</v>
      </c>
      <c r="O199" s="13">
        <f>N199*VLOOKUP('Données projet'!$B$9,Paramètres!$A$1:$I$89,3,0)*VLOOKUP('Données projet'!$B$9,Paramètres!$A$1:$I$89,5,0)</f>
        <v>-3.3992364478763198E-14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232.5902129145469</v>
      </c>
      <c r="T199" s="59">
        <f t="shared" si="204"/>
        <v>340.94590122751879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9.7488827881705493</v>
      </c>
      <c r="AA199" s="21">
        <f>EXP(-LN(2)/25)*AA198+(1-EXP(-LN(2)/25))/(LN(2)/25)*Calculateur!V199*Calculateur!X199*VLOOKUP('Données projet'!$B$9,Paramètres!$A$1:$I$89,3,0)*0.475*44/12</f>
        <v>0.32510956646191791</v>
      </c>
      <c r="AB199" s="21">
        <f>EXP(-LN(2)/2)*AB198+(1-EXP(-LN(2)/2))/(LN(2)/2)*V199*Y199*VLOOKUP('Données projet'!$B$9,Paramètres!$A$1:$I$89,3,0)*0.475*44/12</f>
        <v>2.5655358311798672E-22</v>
      </c>
      <c r="AC199" s="22">
        <f t="shared" si="163"/>
        <v>10.073992354632468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0</v>
      </c>
      <c r="AJ199" s="13" t="e">
        <f>AI199*VLOOKUP('Données projet'!$B$10,Paramètres!$A$1:$I$89,3,0)*VLOOKUP('Données projet'!$B$10,Paramètres!$A$1:$I$89,5,0)</f>
        <v>#N/A</v>
      </c>
      <c r="AK199" s="13" t="e">
        <f t="shared" si="164"/>
        <v>#N/A</v>
      </c>
      <c r="AL199" s="20" t="e">
        <f t="shared" si="165"/>
        <v>#N/A</v>
      </c>
      <c r="AM199" s="59" t="e">
        <f t="shared" si="193"/>
        <v>#N/A</v>
      </c>
      <c r="AN199" s="59" t="e">
        <f ca="1">AVERAGE(OFFSET($AM$3,0,0,'Données projet'!$E$10+1,1))-AVERAGE(OFFSET($H$3,0,0,'Données projet'!$E$10+1,1))</f>
        <v>#N/A</v>
      </c>
      <c r="AO199" s="59" t="e">
        <f t="shared" si="205"/>
        <v>#N/A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 t="e">
        <f>EXP(-LN(2)/35)*AU198+(1-EXP(-LN(2)/35))/(LN(2)/35)*AQ199*AR199*VLOOKUP('Données projet'!$B$10,Paramètres!$A$1:$I$89,3,0)*0.475*44/12</f>
        <v>#N/A</v>
      </c>
      <c r="AV199" s="21" t="e">
        <f>EXP(-LN(2)/25)*AV198+(1-EXP(-LN(2)/25))/(LN(2)/25)*Calculateur!AQ199*Calculateur!AS199*VLOOKUP('Données projet'!$B$10,Paramètres!$A$1:$I$89,3,0)*0.475*44/12</f>
        <v>#N/A</v>
      </c>
      <c r="AW199" s="21" t="e">
        <f>EXP(-LN(2)/2)*AW198+(1-EXP(-LN(2)/2))/(LN(2)/2)*AQ199*AT199*VLOOKUP('Données projet'!$B$10,Paramètres!$A$1:$I$89,3,0)*0.475*44/12</f>
        <v>#N/A</v>
      </c>
      <c r="AX199" s="21" t="e">
        <f t="shared" si="166"/>
        <v>#N/A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2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117.80599999999984</v>
      </c>
      <c r="D200" s="11">
        <f t="shared" si="202"/>
        <v>31.162736572430603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1149.9341068749018</v>
      </c>
      <c r="H200" s="67">
        <f t="shared" si="192"/>
        <v>552.78721619698297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-5.6843418860808015E-14</v>
      </c>
      <c r="O200" s="13">
        <f>N200*VLOOKUP('Données projet'!$B$9,Paramètres!$A$1:$I$89,3,0)*VLOOKUP('Données projet'!$B$9,Paramètres!$A$1:$I$89,5,0)</f>
        <v>-3.3992364478763198E-14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232.5902129145469</v>
      </c>
      <c r="T200" s="59">
        <f t="shared" si="204"/>
        <v>340.94590122751879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9.5577131429258841</v>
      </c>
      <c r="AA200" s="21">
        <f>EXP(-LN(2)/25)*AA199+(1-EXP(-LN(2)/25))/(LN(2)/25)*Calculateur!V200*Calculateur!X200*VLOOKUP('Données projet'!$B$9,Paramètres!$A$1:$I$89,3,0)*0.475*44/12</f>
        <v>0.31621942827024774</v>
      </c>
      <c r="AB200" s="21">
        <f>EXP(-LN(2)/2)*AB199+(1-EXP(-LN(2)/2))/(LN(2)/2)*V200*Y200*VLOOKUP('Données projet'!$B$9,Paramètres!$A$1:$I$89,3,0)*0.475*44/12</f>
        <v>1.8141077836043497E-22</v>
      </c>
      <c r="AC200" s="22">
        <f t="shared" si="163"/>
        <v>9.8739325711961321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0</v>
      </c>
      <c r="AJ200" s="13" t="e">
        <f>AI200*VLOOKUP('Données projet'!$B$10,Paramètres!$A$1:$I$89,3,0)*VLOOKUP('Données projet'!$B$10,Paramètres!$A$1:$I$89,5,0)</f>
        <v>#N/A</v>
      </c>
      <c r="AK200" s="13" t="e">
        <f t="shared" si="164"/>
        <v>#N/A</v>
      </c>
      <c r="AL200" s="20" t="e">
        <f t="shared" si="165"/>
        <v>#N/A</v>
      </c>
      <c r="AM200" s="59" t="e">
        <f t="shared" si="193"/>
        <v>#N/A</v>
      </c>
      <c r="AN200" s="59" t="e">
        <f ca="1">AVERAGE(OFFSET($AM$3,0,0,'Données projet'!$E$10+1,1))-AVERAGE(OFFSET($H$3,0,0,'Données projet'!$E$10+1,1))</f>
        <v>#N/A</v>
      </c>
      <c r="AO200" s="59" t="e">
        <f t="shared" si="205"/>
        <v>#N/A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 t="e">
        <f>EXP(-LN(2)/35)*AU199+(1-EXP(-LN(2)/35))/(LN(2)/35)*AQ200*AR200*VLOOKUP('Données projet'!$B$10,Paramètres!$A$1:$I$89,3,0)*0.475*44/12</f>
        <v>#N/A</v>
      </c>
      <c r="AV200" s="21" t="e">
        <f>EXP(-LN(2)/25)*AV199+(1-EXP(-LN(2)/25))/(LN(2)/25)*Calculateur!AQ200*Calculateur!AS200*VLOOKUP('Données projet'!$B$10,Paramètres!$A$1:$I$89,3,0)*0.475*44/12</f>
        <v>#N/A</v>
      </c>
      <c r="AW200" s="21" t="e">
        <f>EXP(-LN(2)/2)*AW199+(1-EXP(-LN(2)/2))/(LN(2)/2)*AQ200*AT200*VLOOKUP('Données projet'!$B$10,Paramètres!$A$1:$I$89,3,0)*0.475*44/12</f>
        <v>#N/A</v>
      </c>
      <c r="AX200" s="21" t="e">
        <f t="shared" si="166"/>
        <v>#N/A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2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118.40399999999984</v>
      </c>
      <c r="D201" s="11">
        <f t="shared" si="202"/>
        <v>31.302468930496392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1155.6288829722516</v>
      </c>
      <c r="H201" s="67">
        <f t="shared" si="192"/>
        <v>554.07210005394757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-5.6843418860808015E-14</v>
      </c>
      <c r="O201" s="13">
        <f>N201*VLOOKUP('Données projet'!$B$9,Paramètres!$A$1:$I$89,3,0)*VLOOKUP('Données projet'!$B$9,Paramètres!$A$1:$I$89,5,0)</f>
        <v>-3.3992364478763198E-14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232.5902129145469</v>
      </c>
      <c r="T201" s="59">
        <f t="shared" si="204"/>
        <v>340.94590122751879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9.370292217822497</v>
      </c>
      <c r="AA201" s="21">
        <f>EXP(-LN(2)/25)*AA200+(1-EXP(-LN(2)/25))/(LN(2)/25)*Calculateur!V201*Calculateur!X201*VLOOKUP('Données projet'!$B$9,Paramètres!$A$1:$I$89,3,0)*0.475*44/12</f>
        <v>0.3075723913749408</v>
      </c>
      <c r="AB201" s="21">
        <f>EXP(-LN(2)/2)*AB200+(1-EXP(-LN(2)/2))/(LN(2)/2)*V201*Y201*VLOOKUP('Données projet'!$B$9,Paramètres!$A$1:$I$89,3,0)*0.475*44/12</f>
        <v>1.2827679155899336E-22</v>
      </c>
      <c r="AC201" s="22">
        <f t="shared" si="163"/>
        <v>9.677864609197437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0</v>
      </c>
      <c r="AJ201" s="13" t="e">
        <f>AI201*VLOOKUP('Données projet'!$B$10,Paramètres!$A$1:$I$89,3,0)*VLOOKUP('Données projet'!$B$10,Paramètres!$A$1:$I$89,5,0)</f>
        <v>#N/A</v>
      </c>
      <c r="AK201" s="13" t="e">
        <f t="shared" si="164"/>
        <v>#N/A</v>
      </c>
      <c r="AL201" s="20" t="e">
        <f t="shared" si="165"/>
        <v>#N/A</v>
      </c>
      <c r="AM201" s="59" t="e">
        <f t="shared" si="193"/>
        <v>#N/A</v>
      </c>
      <c r="AN201" s="59" t="e">
        <f ca="1">AVERAGE(OFFSET($AM$3,0,0,'Données projet'!$E$10+1,1))-AVERAGE(OFFSET($H$3,0,0,'Données projet'!$E$10+1,1))</f>
        <v>#N/A</v>
      </c>
      <c r="AO201" s="59" t="e">
        <f t="shared" si="205"/>
        <v>#N/A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 t="e">
        <f>EXP(-LN(2)/35)*AU200+(1-EXP(-LN(2)/35))/(LN(2)/35)*AQ201*AR201*VLOOKUP('Données projet'!$B$10,Paramètres!$A$1:$I$89,3,0)*0.475*44/12</f>
        <v>#N/A</v>
      </c>
      <c r="AV201" s="21" t="e">
        <f>EXP(-LN(2)/25)*AV200+(1-EXP(-LN(2)/25))/(LN(2)/25)*Calculateur!AQ201*Calculateur!AS201*VLOOKUP('Données projet'!$B$10,Paramètres!$A$1:$I$89,3,0)*0.475*44/12</f>
        <v>#N/A</v>
      </c>
      <c r="AW201" s="21" t="e">
        <f>EXP(-LN(2)/2)*AW200+(1-EXP(-LN(2)/2))/(LN(2)/2)*AQ201*AT201*VLOOKUP('Données projet'!$B$10,Paramètres!$A$1:$I$89,3,0)*0.475*44/12</f>
        <v>#N/A</v>
      </c>
      <c r="AX201" s="21" t="e">
        <f t="shared" si="166"/>
        <v>#N/A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2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119.00199999999984</v>
      </c>
      <c r="D202" s="11">
        <f t="shared" si="202"/>
        <v>31.442119166644662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1161.3230251460277</v>
      </c>
      <c r="H202" s="67">
        <f t="shared" si="192"/>
        <v>555.35684088190578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-5.6843418860808015E-14</v>
      </c>
      <c r="O202" s="13">
        <f>N202*VLOOKUP('Données projet'!$B$9,Paramètres!$A$1:$I$89,3,0)*VLOOKUP('Données projet'!$B$9,Paramètres!$A$1:$I$89,5,0)</f>
        <v>-3.3992364478763198E-14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232.5902129145469</v>
      </c>
      <c r="T202" s="59">
        <f t="shared" si="204"/>
        <v>340.94590122751879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9.1865465027449105</v>
      </c>
      <c r="AA202" s="21">
        <f>EXP(-LN(2)/25)*AA201+(1-EXP(-LN(2)/25))/(LN(2)/25)*Calculateur!V202*Calculateur!X202*VLOOKUP('Données projet'!$B$9,Paramètres!$A$1:$I$89,3,0)*0.475*44/12</f>
        <v>0.29916180815826393</v>
      </c>
      <c r="AB202" s="21">
        <f>EXP(-LN(2)/2)*AB201+(1-EXP(-LN(2)/2))/(LN(2)/2)*V202*Y202*VLOOKUP('Données projet'!$B$9,Paramètres!$A$1:$I$89,3,0)*0.475*44/12</f>
        <v>9.0705389180217485E-23</v>
      </c>
      <c r="AC202" s="22">
        <f t="shared" si="163"/>
        <v>9.4857083109031741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0</v>
      </c>
      <c r="AJ202" s="13" t="e">
        <f>AI202*VLOOKUP('Données projet'!$B$10,Paramètres!$A$1:$I$89,3,0)*VLOOKUP('Données projet'!$B$10,Paramètres!$A$1:$I$89,5,0)</f>
        <v>#N/A</v>
      </c>
      <c r="AK202" s="13" t="e">
        <f t="shared" si="164"/>
        <v>#N/A</v>
      </c>
      <c r="AL202" s="20" t="e">
        <f t="shared" si="165"/>
        <v>#N/A</v>
      </c>
      <c r="AM202" s="59" t="e">
        <f t="shared" si="193"/>
        <v>#N/A</v>
      </c>
      <c r="AN202" s="59" t="e">
        <f ca="1">AVERAGE(OFFSET($AM$3,0,0,'Données projet'!$E$10+1,1))-AVERAGE(OFFSET($H$3,0,0,'Données projet'!$E$10+1,1))</f>
        <v>#N/A</v>
      </c>
      <c r="AO202" s="59" t="e">
        <f t="shared" si="205"/>
        <v>#N/A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 t="e">
        <f>EXP(-LN(2)/35)*AU201+(1-EXP(-LN(2)/35))/(LN(2)/35)*AQ202*AR202*VLOOKUP('Données projet'!$B$10,Paramètres!$A$1:$I$89,3,0)*0.475*44/12</f>
        <v>#N/A</v>
      </c>
      <c r="AV202" s="21" t="e">
        <f>EXP(-LN(2)/25)*AV201+(1-EXP(-LN(2)/25))/(LN(2)/25)*Calculateur!AQ202*Calculateur!AS202*VLOOKUP('Données projet'!$B$10,Paramètres!$A$1:$I$89,3,0)*0.475*44/12</f>
        <v>#N/A</v>
      </c>
      <c r="AW202" s="21" t="e">
        <f>EXP(-LN(2)/2)*AW201+(1-EXP(-LN(2)/2))/(LN(2)/2)*AQ202*AT202*VLOOKUP('Données projet'!$B$10,Paramètres!$A$1:$I$89,3,0)*0.475*44/12</f>
        <v>#N/A</v>
      </c>
      <c r="AX202" s="21" t="e">
        <f t="shared" si="166"/>
        <v>#N/A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6" thickBot="1" x14ac:dyDescent="0.2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119.59999999999984</v>
      </c>
      <c r="D203" s="11">
        <f t="shared" si="202"/>
        <v>31.581687741452679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1167.0165369515635</v>
      </c>
      <c r="H203" s="67">
        <f t="shared" si="192"/>
        <v>556.64143948302979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-5.6843418860808015E-14</v>
      </c>
      <c r="O203" s="13">
        <f>N203*VLOOKUP('Données projet'!$B$9,Paramètres!$A$1:$I$89,3,0)*VLOOKUP('Données projet'!$B$9,Paramètres!$A$1:$I$89,5,0)</f>
        <v>-3.3992364478763198E-14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232.5902129145469</v>
      </c>
      <c r="T203" s="59">
        <f t="shared" si="204"/>
        <v>340.94590122751879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9.0064039290661757</v>
      </c>
      <c r="AA203" s="21">
        <f>EXP(-LN(2)/25)*AA202+(1-EXP(-LN(2)/25))/(LN(2)/25)*Calculateur!V203*Calculateur!X203*VLOOKUP('Données projet'!$B$9,Paramètres!$A$1:$I$89,3,0)*0.475*44/12</f>
        <v>0.29098121278194045</v>
      </c>
      <c r="AB203" s="21">
        <f>EXP(-LN(2)/2)*AB202+(1-EXP(-LN(2)/2))/(LN(2)/2)*V203*Y203*VLOOKUP('Données projet'!$B$9,Paramètres!$A$1:$I$89,3,0)*0.475*44/12</f>
        <v>6.4138395779496679E-23</v>
      </c>
      <c r="AC203" s="22">
        <f t="shared" si="163"/>
        <v>9.2973851418481157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0</v>
      </c>
      <c r="AJ203" s="13" t="e">
        <f>AI203*VLOOKUP('Données projet'!$B$10,Paramètres!$A$1:$I$89,3,0)*VLOOKUP('Données projet'!$B$10,Paramètres!$A$1:$I$89,5,0)</f>
        <v>#N/A</v>
      </c>
      <c r="AK203" s="13" t="e">
        <f t="shared" si="164"/>
        <v>#N/A</v>
      </c>
      <c r="AL203" s="20" t="e">
        <f t="shared" si="165"/>
        <v>#N/A</v>
      </c>
      <c r="AM203" s="59" t="e">
        <f t="shared" si="193"/>
        <v>#N/A</v>
      </c>
      <c r="AN203" s="59" t="e">
        <f ca="1">AVERAGE(OFFSET($AM$3,0,0,'Données projet'!$E$10+1,1))-AVERAGE(OFFSET($H$3,0,0,'Données projet'!$E$10+1,1))</f>
        <v>#N/A</v>
      </c>
      <c r="AO203" s="59" t="e">
        <f t="shared" si="205"/>
        <v>#N/A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 t="e">
        <f>EXP(-LN(2)/35)*AU202+(1-EXP(-LN(2)/35))/(LN(2)/35)*AQ203*AR203*VLOOKUP('Données projet'!$B$10,Paramètres!$A$1:$I$89,3,0)*0.475*44/12</f>
        <v>#N/A</v>
      </c>
      <c r="AV203" s="21" t="e">
        <f>EXP(-LN(2)/25)*AV202+(1-EXP(-LN(2)/25))/(LN(2)/25)*Calculateur!AQ203*Calculateur!AS203*VLOOKUP('Données projet'!$B$10,Paramètres!$A$1:$I$89,3,0)*0.475*44/12</f>
        <v>#N/A</v>
      </c>
      <c r="AW203" s="21" t="e">
        <f>EXP(-LN(2)/2)*AW202+(1-EXP(-LN(2)/2))/(LN(2)/2)*AQ203*AT203*VLOOKUP('Données projet'!$B$10,Paramètres!$A$1:$I$89,3,0)*0.475*44/12</f>
        <v>#N/A</v>
      </c>
      <c r="AX203" s="21" t="e">
        <f t="shared" si="166"/>
        <v>#N/A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7" thickBot="1" x14ac:dyDescent="0.2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6" thickBot="1" x14ac:dyDescent="0.2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1.4203093782835541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 t="e">
        <f>EXP(LN('Données projet'!B62)/'Données projet'!A62)</f>
        <v>#NUM!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5" defaultRowHeight="15" x14ac:dyDescent="0.2"/>
  <cols>
    <col min="1" max="1" width="23.5" style="4" bestFit="1" customWidth="1"/>
    <col min="2" max="2" width="27.6640625" style="4" bestFit="1" customWidth="1"/>
    <col min="3" max="3" width="11.83203125" style="4" bestFit="1" customWidth="1"/>
    <col min="4" max="4" width="40" style="4" bestFit="1" customWidth="1"/>
    <col min="5" max="5" width="11.83203125" style="4" bestFit="1" customWidth="1"/>
    <col min="6" max="6" width="13.6640625" style="4" bestFit="1" customWidth="1"/>
    <col min="7" max="7" width="11.5" style="4" bestFit="1" customWidth="1"/>
    <col min="8" max="8" width="39" style="4" bestFit="1" customWidth="1"/>
    <col min="9" max="9" width="16.6640625" style="4" customWidth="1"/>
    <col min="10" max="14" width="11.5" style="4"/>
    <col min="15" max="15" width="23.5" style="4" bestFit="1" customWidth="1"/>
    <col min="16" max="16384" width="11.5" style="4"/>
  </cols>
  <sheetData>
    <row r="1" spans="1:16" ht="49" thickBot="1" x14ac:dyDescent="0.2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2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2" t="s">
        <v>238</v>
      </c>
      <c r="P2" s="121">
        <v>0</v>
      </c>
    </row>
    <row r="3" spans="1:16" ht="16" thickBot="1" x14ac:dyDescent="0.2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3"/>
      <c r="P3" s="128">
        <v>0.2</v>
      </c>
    </row>
    <row r="4" spans="1:16" ht="16" thickBot="1" x14ac:dyDescent="0.2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2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2" t="s">
        <v>237</v>
      </c>
      <c r="P5" s="121">
        <v>0</v>
      </c>
    </row>
    <row r="6" spans="1:16" x14ac:dyDescent="0.2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4"/>
      <c r="P6" s="129">
        <v>0.05</v>
      </c>
    </row>
    <row r="7" spans="1:16" x14ac:dyDescent="0.2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4"/>
      <c r="P7" s="129">
        <v>0.1</v>
      </c>
    </row>
    <row r="8" spans="1:16" ht="16" thickBot="1" x14ac:dyDescent="0.2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3"/>
      <c r="P8" s="128">
        <v>0.15</v>
      </c>
    </row>
    <row r="9" spans="1:16" ht="16" thickBot="1" x14ac:dyDescent="0.2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2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2" t="s">
        <v>236</v>
      </c>
      <c r="P10" s="121">
        <v>0</v>
      </c>
    </row>
    <row r="11" spans="1:16" ht="16" thickBot="1" x14ac:dyDescent="0.2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3"/>
      <c r="P11" s="128">
        <v>0.1</v>
      </c>
    </row>
    <row r="12" spans="1:16" x14ac:dyDescent="0.2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2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2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2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2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2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2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2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2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2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2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2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2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2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2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2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2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2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2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2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2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2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2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2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2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2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2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2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2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2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2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2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2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2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2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2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2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2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2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2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2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2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2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2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2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2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2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2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2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2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2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2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2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2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2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2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2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2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2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2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2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2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2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2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2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2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2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2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2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2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2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2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2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2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2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2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2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6" thickBot="1" x14ac:dyDescent="0.2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2">
      <c r="A93" s="122" t="s">
        <v>208</v>
      </c>
    </row>
    <row r="94" spans="1:14" x14ac:dyDescent="0.2">
      <c r="A94" s="122" t="s">
        <v>209</v>
      </c>
    </row>
    <row r="95" spans="1:14" x14ac:dyDescent="0.2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>
    <pageSetUpPr fitToPage="1"/>
  </sheetPr>
  <dimension ref="A1:BJ357"/>
  <sheetViews>
    <sheetView zoomScale="70" zoomScaleNormal="70" workbookViewId="0">
      <selection activeCell="P23" sqref="P23"/>
    </sheetView>
  </sheetViews>
  <sheetFormatPr baseColWidth="10" defaultColWidth="11.5" defaultRowHeight="15" x14ac:dyDescent="0.2"/>
  <cols>
    <col min="1" max="1" width="22.83203125" style="1" bestFit="1" customWidth="1"/>
    <col min="2" max="2" width="10.5" style="1" bestFit="1" customWidth="1"/>
    <col min="3" max="3" width="15.5" style="1" bestFit="1" customWidth="1"/>
    <col min="4" max="4" width="13.5" style="1" bestFit="1" customWidth="1"/>
    <col min="5" max="8" width="11.5" style="1"/>
    <col min="9" max="13" width="11.5" style="62"/>
    <col min="14" max="15" width="11.5" style="1"/>
    <col min="16" max="17" width="13.5" style="1" customWidth="1"/>
    <col min="18" max="16384" width="11.5" style="1"/>
  </cols>
  <sheetData>
    <row r="1" spans="1:6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7" thickBot="1" x14ac:dyDescent="0.35">
      <c r="A2" s="273" t="s">
        <v>271</v>
      </c>
      <c r="B2" s="274"/>
      <c r="C2" s="274"/>
      <c r="D2" s="274"/>
      <c r="E2" s="274"/>
      <c r="F2" s="274"/>
      <c r="G2" s="274"/>
      <c r="H2" s="274"/>
      <c r="I2" s="274"/>
      <c r="J2" s="274"/>
      <c r="K2" s="274"/>
      <c r="L2" s="275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6" thickBot="1" x14ac:dyDescent="0.2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65" thickBot="1" x14ac:dyDescent="0.2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2">
      <c r="A6" s="145" t="str">
        <f>IF('Données projet'!$B$9="","",'Données projet'!$B$9)</f>
        <v>Pin maritime</v>
      </c>
      <c r="B6" s="146">
        <f>'Données projet'!D9</f>
        <v>6.7510000000000003</v>
      </c>
      <c r="C6" s="147">
        <f ca="1">IF(OR('Données projet'!B9="",'Données projet'!C9="",'Données projet'!C9=0%),0,Calculateur!S3)</f>
        <v>232.5902129145469</v>
      </c>
      <c r="D6" s="147">
        <f>IF(OR('Données projet'!B9="",'Données projet'!C9="",'Données projet'!C9=0%),0,Calculateur!T3)</f>
        <v>340.94590122751879</v>
      </c>
      <c r="E6" s="147">
        <f ca="1">MIN(C6,D6)</f>
        <v>232.5902129145469</v>
      </c>
      <c r="F6" s="147">
        <f ca="1">E6*B6</f>
        <v>1570.2165273861062</v>
      </c>
      <c r="G6" s="147">
        <f ca="1">F6*(100%-'Données projet'!$C$24)*(100%-'Données projet'!$C$25)*(100%-'Données projet'!$C$26)*(100%-'Données projet'!$C$27)</f>
        <v>960.97251476029714</v>
      </c>
      <c r="H6" s="148">
        <f>IF(OR('Données projet'!B9="",'Données projet'!C9="",'Données projet'!C9=0%),0,AVERAGE(Calculateur!$AC$3:$AC$33)*B6)</f>
        <v>100.92124684864206</v>
      </c>
      <c r="I6" s="149">
        <f>H6*(100%-'Données projet'!$C$24)*(100%-'Données projet'!$C$25)*(100%-'Données projet'!$C$26)*(100%-'Données projet'!$C$27)</f>
        <v>61.76380307136894</v>
      </c>
      <c r="J6" s="150">
        <f>IF(OR('Données projet'!B9="",'Données projet'!C9="",'Données projet'!C9=0%),0,SUM(Calculateur!$V$3:$V$33)*VLOOKUP('Données projet'!$B$9,Paramètres!$A$1:$I$89,9,0)*B6)</f>
        <v>616.22385389999999</v>
      </c>
      <c r="K6" s="151">
        <f>J6*(100%-'Données projet'!$C$24)*(100%-'Données projet'!$C$25)*(100%-'Données projet'!$C$26)*(100%-'Données projet'!$C$27)</f>
        <v>377.12899858680004</v>
      </c>
      <c r="L6" s="152">
        <f ca="1">G6+I6+K6</f>
        <v>1399.8653164184661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2">
      <c r="A7" s="153" t="str">
        <f>IF('Données projet'!$B$10="","",'Données projet'!$B$10)</f>
        <v/>
      </c>
      <c r="B7" s="154">
        <f>'Données projet'!D10</f>
        <v>0</v>
      </c>
      <c r="C7" s="147">
        <f>IF(OR('Données projet'!B10="",'Données projet'!C10="",'Données projet'!C10=0%),0,Calculateur!AN3)</f>
        <v>0</v>
      </c>
      <c r="D7" s="147">
        <f>IF(OR('Données projet'!B10="",'Données projet'!C10="",'Données projet'!C10=0%),0,Calculateur!AO3)</f>
        <v>0</v>
      </c>
      <c r="E7" s="147">
        <f t="shared" ref="E7:E15" si="0">MIN(C7,D7)</f>
        <v>0</v>
      </c>
      <c r="F7" s="147">
        <f t="shared" ref="F7:F15" si="1">E7*B7</f>
        <v>0</v>
      </c>
      <c r="G7" s="147">
        <f>F7*(100%-'Données projet'!$C$24)*(100%-'Données projet'!$C$25)*(100%-'Données projet'!$C$26)*(100%-'Données projet'!$C$27)</f>
        <v>0</v>
      </c>
      <c r="H7" s="155">
        <f>IF(OR('Données projet'!B10="",'Données projet'!C10="",'Données projet'!C10=0%),0,AVERAGE(Calculateur!$AX$3:$AX$33)*B7)</f>
        <v>0</v>
      </c>
      <c r="I7" s="149">
        <f>H7*(100%-'Données projet'!$C$24)*(100%-'Données projet'!$C$25)*(100%-'Données projet'!$C$26)*(100%-'Données projet'!$C$27)</f>
        <v>0</v>
      </c>
      <c r="J7" s="150">
        <f>IF(OR('Données projet'!B10="",'Données projet'!C10="",'Données projet'!C10=0%),0,SUM(Calculateur!$AQ$3:$AQ$33)*VLOOKUP('Données projet'!$B$10,Paramètres!$A$1:$I$89,9,0)*B7)</f>
        <v>0</v>
      </c>
      <c r="K7" s="151">
        <f>J7*(100%-'Données projet'!$C$24)*(100%-'Données projet'!$C$25)*(100%-'Données projet'!$C$26)*(100%-'Données projet'!$C$27)</f>
        <v>0</v>
      </c>
      <c r="L7" s="152">
        <f t="shared" ref="L7:L15" si="2">G7+I7+K7</f>
        <v>0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2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2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2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2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2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2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2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6" thickBot="1" x14ac:dyDescent="0.2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6" thickBot="1" x14ac:dyDescent="0.25">
      <c r="A16" s="209"/>
      <c r="B16" s="213"/>
      <c r="C16" s="214"/>
      <c r="D16" s="23"/>
      <c r="E16" s="23"/>
      <c r="F16" s="165">
        <f t="shared" ref="F16:L16" ca="1" si="3">SUM(F6:F15)</f>
        <v>1570.2165273861062</v>
      </c>
      <c r="G16" s="166">
        <f t="shared" ca="1" si="3"/>
        <v>960.97251476029714</v>
      </c>
      <c r="H16" s="167">
        <f t="shared" si="3"/>
        <v>100.92124684864206</v>
      </c>
      <c r="I16" s="167">
        <f t="shared" si="3"/>
        <v>61.76380307136894</v>
      </c>
      <c r="J16" s="168">
        <f t="shared" si="3"/>
        <v>616.22385389999999</v>
      </c>
      <c r="K16" s="168">
        <f t="shared" si="3"/>
        <v>377.12899858680004</v>
      </c>
      <c r="L16" s="169">
        <f t="shared" ca="1" si="3"/>
        <v>1399.8653164184661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2">
      <c r="A17" s="209"/>
      <c r="B17" s="213"/>
      <c r="C17" s="214"/>
      <c r="D17" s="23"/>
      <c r="E17" s="23"/>
      <c r="F17" s="285" t="s">
        <v>246</v>
      </c>
      <c r="G17" s="286"/>
      <c r="H17" s="286"/>
      <c r="I17" s="286"/>
      <c r="J17" s="286"/>
      <c r="K17" s="286"/>
      <c r="L17" s="286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2">
      <c r="A18" s="209"/>
      <c r="B18" s="213"/>
      <c r="C18" s="214"/>
      <c r="D18" s="23"/>
      <c r="E18" s="23"/>
      <c r="F18" s="272"/>
      <c r="G18" s="272"/>
      <c r="H18" s="272"/>
      <c r="I18" s="272"/>
      <c r="J18" s="272"/>
      <c r="K18" s="272"/>
      <c r="L18" s="272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2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6" thickBot="1" x14ac:dyDescent="0.2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6" thickBot="1" x14ac:dyDescent="0.2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2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2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2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2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2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2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2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2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2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2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2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2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2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2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2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2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6" thickBot="1" x14ac:dyDescent="0.2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6" thickBot="1" x14ac:dyDescent="0.25">
      <c r="A39" s="170" t="str">
        <f>A7</f>
        <v/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2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2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2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2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2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2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2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2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2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2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2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2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2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2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2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2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6" thickBot="1" x14ac:dyDescent="0.2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6" thickBot="1" x14ac:dyDescent="0.25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2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2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2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2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2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2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2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2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2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2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2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2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2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2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2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2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2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6" thickBot="1" x14ac:dyDescent="0.2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6" thickBot="1" x14ac:dyDescent="0.25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2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2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2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2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2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2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2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2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2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2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2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2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2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2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2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2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6" thickBot="1" x14ac:dyDescent="0.2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6" thickBot="1" x14ac:dyDescent="0.2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2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2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2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2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2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2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2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2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2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2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2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2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2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2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2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2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6" thickBot="1" x14ac:dyDescent="0.2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6" thickBot="1" x14ac:dyDescent="0.2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2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2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2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2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2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2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2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2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2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2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2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2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2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2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2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2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6" thickBot="1" x14ac:dyDescent="0.2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6" thickBot="1" x14ac:dyDescent="0.2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2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2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2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2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2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2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2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2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2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2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2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2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2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2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2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2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6" thickBot="1" x14ac:dyDescent="0.2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6" thickBot="1" x14ac:dyDescent="0.2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2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2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2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2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2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2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2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2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2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2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2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2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2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2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2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2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6" thickBot="1" x14ac:dyDescent="0.2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6" thickBot="1" x14ac:dyDescent="0.2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2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2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2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2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2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2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2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2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2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2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2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2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2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2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2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2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6" thickBot="1" x14ac:dyDescent="0.2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6" thickBot="1" x14ac:dyDescent="0.2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2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2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2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2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2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2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2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2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2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2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2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2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2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2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2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2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2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2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2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2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2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2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2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2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2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2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2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2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2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2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2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2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2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2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2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2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2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2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2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2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2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2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2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2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2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2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2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2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2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2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2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2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2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2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2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2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2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2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2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2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2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2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2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2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2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2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2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2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2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2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2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2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2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2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2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2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2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2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2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2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2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2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2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2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2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2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2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2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2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2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2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2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2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2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2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2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2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2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2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2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2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2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2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2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2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2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2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2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2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2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2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2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2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2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2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2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2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2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2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2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2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2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2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2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2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2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2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2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2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2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2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2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2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2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2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2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2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2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2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2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2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2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2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2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2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2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2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2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2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2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2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2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2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2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2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2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2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2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2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2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2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2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2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2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2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2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2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2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2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2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2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2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2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scale="24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abSelected="1" topLeftCell="A3" zoomScale="80" zoomScaleNormal="80" workbookViewId="0">
      <selection activeCell="G26" sqref="G26"/>
    </sheetView>
  </sheetViews>
  <sheetFormatPr baseColWidth="10" defaultColWidth="11.5" defaultRowHeight="15" x14ac:dyDescent="0.2"/>
  <cols>
    <col min="1" max="1" width="11.5" style="1"/>
    <col min="2" max="2" width="30.83203125" style="1" bestFit="1" customWidth="1"/>
    <col min="3" max="3" width="18.1640625" style="1" bestFit="1" customWidth="1"/>
    <col min="4" max="5" width="11.5" style="1"/>
    <col min="6" max="6" width="14" style="1" customWidth="1"/>
    <col min="7" max="7" width="17.5" style="1" customWidth="1"/>
    <col min="8" max="8" width="21.6640625" style="1" customWidth="1"/>
    <col min="9" max="9" width="37" style="1" customWidth="1"/>
    <col min="10" max="10" width="11.5" style="1"/>
    <col min="11" max="11" width="8.83203125" style="1" customWidth="1"/>
    <col min="12" max="12" width="11.5" style="1"/>
    <col min="13" max="13" width="21" style="1" customWidth="1"/>
    <col min="14" max="16" width="11.5" style="1"/>
    <col min="17" max="17" width="8" style="1" customWidth="1"/>
    <col min="18" max="18" width="11.5" style="1"/>
    <col min="19" max="19" width="31" style="1" customWidth="1"/>
    <col min="20" max="20" width="18.1640625" style="1" customWidth="1"/>
    <col min="21" max="21" width="16.5" style="1" customWidth="1"/>
    <col min="22" max="22" width="17.83203125" style="1" customWidth="1"/>
    <col min="23" max="16384" width="11.5" style="1"/>
  </cols>
  <sheetData>
    <row r="1" spans="1:42" ht="16" thickBot="1" x14ac:dyDescent="0.2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7" thickBot="1" x14ac:dyDescent="0.35">
      <c r="A2" s="4"/>
      <c r="B2" s="273" t="s">
        <v>272</v>
      </c>
      <c r="C2" s="274"/>
      <c r="D2" s="274"/>
      <c r="E2" s="274"/>
      <c r="F2" s="274"/>
      <c r="G2" s="274"/>
      <c r="H2" s="274"/>
      <c r="I2" s="274"/>
      <c r="J2" s="274"/>
      <c r="K2" s="274"/>
      <c r="L2" s="274"/>
      <c r="M2" s="274"/>
      <c r="N2" s="274"/>
      <c r="O2" s="274"/>
      <c r="P2" s="275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2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2">
      <c r="A4" s="4"/>
      <c r="B4" s="4"/>
      <c r="C4" s="4"/>
      <c r="D4" s="4"/>
      <c r="E4" s="4"/>
      <c r="G4" s="4"/>
      <c r="H4" s="263" t="s">
        <v>315</v>
      </c>
      <c r="I4" s="263"/>
      <c r="K4" s="287" t="s">
        <v>253</v>
      </c>
      <c r="L4" s="288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2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6" thickBot="1" x14ac:dyDescent="0.2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3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7" t="s">
        <v>310</v>
      </c>
      <c r="S7" s="298"/>
      <c r="T7" s="298"/>
      <c r="U7" s="298"/>
      <c r="V7" s="299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2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2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2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0</v>
      </c>
      <c r="U10" s="178">
        <f>'Données projet'!D9</f>
        <v>6.7510000000000003</v>
      </c>
      <c r="V10" s="177">
        <f>U10*T10</f>
        <v>0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2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/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0</v>
      </c>
      <c r="U11" s="178">
        <f>'Données projet'!D10</f>
        <v>0</v>
      </c>
      <c r="V11" s="177">
        <f t="shared" ref="V11" si="0">U11*T11</f>
        <v>0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2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2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2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2">
      <c r="A15" s="4"/>
      <c r="B15" s="4"/>
      <c r="C15" s="4"/>
      <c r="D15" s="4"/>
      <c r="E15" s="4"/>
      <c r="F15" s="230"/>
      <c r="G15" s="290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2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90"/>
      <c r="H16" s="190"/>
      <c r="I16" s="191"/>
      <c r="J16" s="202"/>
      <c r="K16" s="208"/>
      <c r="L16" s="287" t="s">
        <v>254</v>
      </c>
      <c r="M16" s="288"/>
      <c r="N16" s="2"/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ht="16" x14ac:dyDescent="0.2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90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0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ht="16" x14ac:dyDescent="0.2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90"/>
      <c r="J18" s="202"/>
      <c r="K18" s="208"/>
      <c r="L18" s="260" t="s">
        <v>255</v>
      </c>
      <c r="M18" s="262"/>
      <c r="N18" s="192"/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2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90"/>
      <c r="H19" s="212" t="s">
        <v>178</v>
      </c>
      <c r="I19" s="212" t="s">
        <v>287</v>
      </c>
      <c r="J19" s="93"/>
      <c r="K19" s="173"/>
      <c r="L19" s="287" t="s">
        <v>288</v>
      </c>
      <c r="M19" s="288"/>
      <c r="N19" s="179">
        <f>N17*N18</f>
        <v>0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ht="16" x14ac:dyDescent="0.2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90"/>
      <c r="H20" s="190"/>
      <c r="I20" s="191"/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ht="16" x14ac:dyDescent="0.2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/>
      <c r="I21" s="191"/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2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/>
      <c r="I22" s="191"/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2">
      <c r="A23" s="180">
        <f>'Données projet'!A36</f>
        <v>12</v>
      </c>
      <c r="B23" s="181">
        <f>'Données projet'!D36</f>
        <v>0</v>
      </c>
      <c r="C23" s="193"/>
      <c r="D23" s="182">
        <f>B23*C23</f>
        <v>0</v>
      </c>
      <c r="E23" s="193"/>
      <c r="F23" s="230"/>
      <c r="H23" s="190"/>
      <c r="I23" s="191"/>
      <c r="K23" s="208"/>
      <c r="L23" s="289" t="s">
        <v>260</v>
      </c>
      <c r="M23" s="289"/>
      <c r="N23" s="289"/>
      <c r="O23" s="23"/>
      <c r="P23" s="23"/>
      <c r="Q23" s="234"/>
      <c r="R23" s="23"/>
      <c r="S23" s="36" t="s">
        <v>264</v>
      </c>
      <c r="T23" s="302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0</v>
      </c>
      <c r="U23" s="302"/>
      <c r="V23" s="302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2">
      <c r="A24" s="180">
        <f>'Données projet'!A37</f>
        <v>14</v>
      </c>
      <c r="B24" s="181">
        <f>'Données projet'!D37</f>
        <v>34.25</v>
      </c>
      <c r="C24" s="193"/>
      <c r="D24" s="182">
        <f t="shared" ref="D24:D42" si="2">B24*C24</f>
        <v>0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303">
        <f ca="1">'Scénario référence'!$B$8*$M$30*'Données projet'!$C$5+('Scénario référence'!B9+'Scénario référence'!B10+'Scénario référence'!F8+'Scénario référence'!F9)*$N$19/(1+M4)^N16*'Données projet'!$C$5</f>
        <v>0</v>
      </c>
      <c r="U24" s="303"/>
      <c r="V24" s="303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2">
      <c r="A25" s="180">
        <f>'Données projet'!A38</f>
        <v>19</v>
      </c>
      <c r="B25" s="181">
        <f>'Données projet'!D38</f>
        <v>59.5</v>
      </c>
      <c r="C25" s="193"/>
      <c r="D25" s="182">
        <f t="shared" si="2"/>
        <v>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4">
        <f ca="1">T23-T24</f>
        <v>0</v>
      </c>
      <c r="U25" s="304"/>
      <c r="V25" s="30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2">
      <c r="A26" s="180">
        <f>'Données projet'!A39</f>
        <v>20</v>
      </c>
      <c r="B26" s="181">
        <f>'Données projet'!D39</f>
        <v>0</v>
      </c>
      <c r="C26" s="193"/>
      <c r="D26" s="182">
        <f t="shared" si="2"/>
        <v>0</v>
      </c>
      <c r="E26" s="193"/>
      <c r="F26" s="233"/>
      <c r="G26" s="229"/>
      <c r="H26" s="190"/>
      <c r="I26" s="191"/>
      <c r="K26" s="208"/>
      <c r="L26" s="291" t="s">
        <v>258</v>
      </c>
      <c r="M26" s="292"/>
      <c r="N26" s="292"/>
      <c r="O26" s="292"/>
      <c r="P26" s="293"/>
      <c r="Q26" s="234"/>
      <c r="R26" s="23"/>
      <c r="S26" s="186" t="s">
        <v>265</v>
      </c>
      <c r="T26" s="301" t="str">
        <f ca="1">IF(T25&lt;0,"Votre projet est additionnel","Votre projet n'est pas additionnel")</f>
        <v>Votre projet n'est pas additionnel</v>
      </c>
      <c r="U26" s="301"/>
      <c r="V26" s="301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2">
      <c r="A27" s="180">
        <f>'Données projet'!A40</f>
        <v>25</v>
      </c>
      <c r="B27" s="181">
        <f>'Données projet'!D40</f>
        <v>60.96</v>
      </c>
      <c r="C27" s="193"/>
      <c r="D27" s="182">
        <f t="shared" si="2"/>
        <v>0</v>
      </c>
      <c r="E27" s="193"/>
      <c r="F27" s="233"/>
      <c r="G27" s="229"/>
      <c r="H27" s="190"/>
      <c r="I27" s="191"/>
      <c r="K27" s="208"/>
      <c r="L27" s="294"/>
      <c r="M27" s="295"/>
      <c r="N27" s="295"/>
      <c r="O27" s="295"/>
      <c r="P27" s="296"/>
      <c r="Q27" s="234"/>
      <c r="R27" s="23"/>
      <c r="S27" s="300" t="s">
        <v>267</v>
      </c>
      <c r="T27" s="300"/>
      <c r="U27" s="300"/>
      <c r="V27" s="300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2">
      <c r="A28" s="180">
        <f>'Données projet'!A41</f>
        <v>29</v>
      </c>
      <c r="B28" s="181">
        <f>'Données projet'!D41</f>
        <v>0</v>
      </c>
      <c r="C28" s="193"/>
      <c r="D28" s="182">
        <f t="shared" si="2"/>
        <v>0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2">
      <c r="A29" s="180">
        <f>'Données projet'!A42</f>
        <v>32</v>
      </c>
      <c r="B29" s="181">
        <f>'Données projet'!D42</f>
        <v>76.42</v>
      </c>
      <c r="C29" s="193"/>
      <c r="D29" s="182">
        <f t="shared" si="2"/>
        <v>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2">
      <c r="A30" s="180">
        <f>'Données projet'!A43</f>
        <v>38</v>
      </c>
      <c r="B30" s="181">
        <f>'Données projet'!D43</f>
        <v>0</v>
      </c>
      <c r="C30" s="193"/>
      <c r="D30" s="182">
        <f t="shared" si="2"/>
        <v>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2">
      <c r="A31" s="180">
        <f>'Données projet'!A44</f>
        <v>45</v>
      </c>
      <c r="B31" s="181">
        <f>'Données projet'!D44</f>
        <v>503.89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2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2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2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2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2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2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2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2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2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2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2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2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2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2">
      <c r="A45" s="46" t="s">
        <v>166</v>
      </c>
      <c r="B45" s="174" t="str">
        <f>IF('Données projet'!$B$10="","",'Données projet'!$B$10)</f>
        <v/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2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2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ht="16" x14ac:dyDescent="0.2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2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ht="16" x14ac:dyDescent="0.2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ht="16" x14ac:dyDescent="0.2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ht="16" x14ac:dyDescent="0.2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2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2">
      <c r="A54" s="180">
        <f>'Données projet'!A62</f>
        <v>0</v>
      </c>
      <c r="B54" s="181">
        <f>'Données projet'!D62</f>
        <v>0</v>
      </c>
      <c r="C54" s="191"/>
      <c r="D54" s="179">
        <f>B54*C54</f>
        <v>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2">
      <c r="A55" s="180">
        <f>'Données projet'!A63</f>
        <v>0</v>
      </c>
      <c r="B55" s="181">
        <f>'Données projet'!D63</f>
        <v>0</v>
      </c>
      <c r="C55" s="191"/>
      <c r="D55" s="179">
        <f t="shared" ref="D55:D73" si="4">B55*C55</f>
        <v>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2">
      <c r="A56" s="180">
        <f>'Données projet'!A64</f>
        <v>0</v>
      </c>
      <c r="B56" s="181">
        <f>'Données projet'!D64</f>
        <v>0</v>
      </c>
      <c r="C56" s="191"/>
      <c r="D56" s="179">
        <f t="shared" si="4"/>
        <v>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2">
      <c r="A57" s="180">
        <f>'Données projet'!A65</f>
        <v>0</v>
      </c>
      <c r="B57" s="181">
        <f>'Données projet'!D65</f>
        <v>0</v>
      </c>
      <c r="C57" s="191"/>
      <c r="D57" s="179">
        <f t="shared" si="4"/>
        <v>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2">
      <c r="A58" s="180">
        <f>'Données projet'!A66</f>
        <v>0</v>
      </c>
      <c r="B58" s="181">
        <f>'Données projet'!D66</f>
        <v>0</v>
      </c>
      <c r="C58" s="191"/>
      <c r="D58" s="179">
        <f t="shared" si="4"/>
        <v>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2">
      <c r="A59" s="180">
        <f>'Données projet'!A67</f>
        <v>0</v>
      </c>
      <c r="B59" s="181">
        <f>'Données projet'!D67</f>
        <v>0</v>
      </c>
      <c r="C59" s="191"/>
      <c r="D59" s="179">
        <f t="shared" si="4"/>
        <v>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2">
      <c r="A60" s="180">
        <f>'Données projet'!A68</f>
        <v>0</v>
      </c>
      <c r="B60" s="181">
        <f>'Données projet'!D68</f>
        <v>0</v>
      </c>
      <c r="C60" s="191"/>
      <c r="D60" s="179">
        <f t="shared" si="4"/>
        <v>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2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2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2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2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2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2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2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2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2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2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2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2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2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2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2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2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2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ht="16" x14ac:dyDescent="0.2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ht="16" x14ac:dyDescent="0.2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 t="str">
        <f>IF(O78+1&lt;=MIN('Données projet'!$E$9:$E$18),O78+1,"STOP")</f>
        <v>STOP</v>
      </c>
      <c r="P79" s="185" t="e">
        <f t="shared" si="5"/>
        <v>#VALUE!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ht="16" x14ac:dyDescent="0.2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 t="e">
        <f>IF(O79+1&lt;=MIN('Données projet'!$E$9:$E$18),O79+1,"STOP")</f>
        <v>#VALUE!</v>
      </c>
      <c r="P80" s="185" t="e">
        <f t="shared" si="5"/>
        <v>#VALUE!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ht="16" x14ac:dyDescent="0.2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 t="e">
        <f>IF(O80+1&lt;=MIN('Données projet'!$E$9:$E$18),O80+1,"STOP")</f>
        <v>#VALUE!</v>
      </c>
      <c r="P81" s="185" t="e">
        <f t="shared" si="5"/>
        <v>#VALUE!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ht="16" x14ac:dyDescent="0.2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 t="e">
        <f>IF(O81+1&lt;=MIN('Données projet'!$E$9:$E$18),O81+1,"STOP")</f>
        <v>#VALUE!</v>
      </c>
      <c r="P82" s="185" t="e">
        <f t="shared" si="5"/>
        <v>#VALUE!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ht="16" x14ac:dyDescent="0.2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 t="e">
        <f>IF(O82+1&lt;=MIN('Données projet'!$E$9:$E$18),O82+1,"STOP")</f>
        <v>#VALUE!</v>
      </c>
      <c r="P83" s="185" t="e">
        <f t="shared" si="5"/>
        <v>#VALUE!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2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 t="e">
        <f>IF(O83+1&lt;=MIN('Données projet'!$E$9:$E$18),O83+1,"STOP")</f>
        <v>#VALUE!</v>
      </c>
      <c r="P84" s="185" t="e">
        <f t="shared" si="5"/>
        <v>#VALUE!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2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 t="e">
        <f>IF(O84+1&lt;=MIN('Données projet'!$E$9:$E$18),O84+1,"STOP")</f>
        <v>#VALUE!</v>
      </c>
      <c r="P85" s="185" t="e">
        <f t="shared" si="5"/>
        <v>#VALUE!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2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 t="e">
        <f>IF(O85+1&lt;=MIN('Données projet'!$E$9:$E$18),O85+1,"STOP")</f>
        <v>#VALUE!</v>
      </c>
      <c r="P86" s="185" t="e">
        <f t="shared" si="5"/>
        <v>#VALUE!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2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e">
        <f>IF(O86+1&lt;=MIN('Données projet'!$E$9:$E$18),O86+1,"STOP")</f>
        <v>#VALUE!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2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2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2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2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2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2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2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2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2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2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2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2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2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2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2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2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2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2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2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2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2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ht="16" x14ac:dyDescent="0.2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ht="16" x14ac:dyDescent="0.2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ht="16" x14ac:dyDescent="0.2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ht="16" x14ac:dyDescent="0.2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ht="16" x14ac:dyDescent="0.2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ht="16" x14ac:dyDescent="0.2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2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2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2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2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2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2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2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2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2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2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2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2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2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2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2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2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2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2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2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2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2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2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2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2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2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ht="16" x14ac:dyDescent="0.2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ht="16" x14ac:dyDescent="0.2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ht="16" x14ac:dyDescent="0.2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ht="16" x14ac:dyDescent="0.2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ht="16" x14ac:dyDescent="0.2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ht="16" x14ac:dyDescent="0.2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2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2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2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2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2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2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2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2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2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2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2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2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2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2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2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2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2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2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2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2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2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2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2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2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2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ht="16" x14ac:dyDescent="0.2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ht="16" x14ac:dyDescent="0.2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ht="16" x14ac:dyDescent="0.2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ht="16" x14ac:dyDescent="0.2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ht="16" x14ac:dyDescent="0.2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ht="16" x14ac:dyDescent="0.2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2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2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2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2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2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2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2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2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2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2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2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2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2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2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2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2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2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2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2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2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2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2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2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2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2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ht="16" x14ac:dyDescent="0.2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ht="16" x14ac:dyDescent="0.2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ht="16" x14ac:dyDescent="0.2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ht="16" x14ac:dyDescent="0.2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ht="16" x14ac:dyDescent="0.2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ht="16" x14ac:dyDescent="0.2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ht="16" x14ac:dyDescent="0.2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2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2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2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2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2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2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2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2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2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2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2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2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2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2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2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2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2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2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2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2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2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2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2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2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ht="16" x14ac:dyDescent="0.2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ht="16" x14ac:dyDescent="0.2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ht="16" x14ac:dyDescent="0.2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ht="16" x14ac:dyDescent="0.2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ht="16" x14ac:dyDescent="0.2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ht="16" x14ac:dyDescent="0.2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ht="16" x14ac:dyDescent="0.2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2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2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2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2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2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2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2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2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2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2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2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2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2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2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2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2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2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2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2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2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2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2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2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2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ht="16" x14ac:dyDescent="0.2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ht="16" x14ac:dyDescent="0.2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ht="16" x14ac:dyDescent="0.2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ht="16" x14ac:dyDescent="0.2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ht="16" x14ac:dyDescent="0.2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ht="16" x14ac:dyDescent="0.2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ht="16" x14ac:dyDescent="0.2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2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2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2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2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2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2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2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2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2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2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2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2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2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2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2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2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2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2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2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2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2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2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2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2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ht="16" x14ac:dyDescent="0.2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ht="16" x14ac:dyDescent="0.2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ht="16" x14ac:dyDescent="0.2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ht="16" x14ac:dyDescent="0.2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ht="16" x14ac:dyDescent="0.2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ht="16" x14ac:dyDescent="0.2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ht="16" x14ac:dyDescent="0.2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2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2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2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2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2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2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2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2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2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2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2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2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2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2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2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2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2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2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2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2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2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2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2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2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2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2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2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2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2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2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2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2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2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2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2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2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2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2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2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2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2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2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2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2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2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2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2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2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2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2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2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2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2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2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2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2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2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2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2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2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2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2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2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2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2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2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2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2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2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2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2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2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2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2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2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2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2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2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2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2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2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2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2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2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2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2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2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2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2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2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2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2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2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2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2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2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2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2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2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2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2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2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2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2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2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2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2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2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2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2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2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2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2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2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2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2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2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2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2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2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2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2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2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2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2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2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2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2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2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2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2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2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2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2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2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2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2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2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2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2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2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2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2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2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2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2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2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2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2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2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2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2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2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2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2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2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2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2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2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2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2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2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2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2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2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2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2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2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2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2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2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2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2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2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2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2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2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2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2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2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2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2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2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2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2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2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2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2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2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2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2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2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2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2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2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2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2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2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2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2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2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2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2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2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2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2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2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2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2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2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2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2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2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2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2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2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2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2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2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2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2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2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2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2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2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2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2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2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2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2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2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2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2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2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2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2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2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2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2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2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2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2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2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2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2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2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2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2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2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2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2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Microsoft Office User</cp:lastModifiedBy>
  <cp:lastPrinted>2024-10-04T08:37:22Z</cp:lastPrinted>
  <dcterms:created xsi:type="dcterms:W3CDTF">2021-02-01T08:22:39Z</dcterms:created>
  <dcterms:modified xsi:type="dcterms:W3CDTF">2025-07-24T12:52:37Z</dcterms:modified>
</cp:coreProperties>
</file>