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astets-Pyrénées\Pyrénées\NASSIET (40) M. Guy DUPOUY SWC A9\Dossier déposé le 19 02 2025\"/>
    </mc:Choice>
  </mc:AlternateContent>
  <xr:revisionPtr revIDLastSave="0" documentId="13_ncr:1_{8FBFE021-065F-43A1-BA7E-54636E6F40EA}" xr6:coauthVersionLast="36" xr6:coauthVersionMax="36" xr10:uidLastSave="{00000000-0000-0000-0000-000000000000}"/>
  <bookViews>
    <workbookView xWindow="0" yWindow="0" windowWidth="28800" windowHeight="12405" tabRatio="866" activeTab="6" xr2:uid="{00000000-000D-0000-FFFF-FFFF00000000}"/>
  </bookViews>
  <sheets>
    <sheet name="Accueil" sheetId="5" r:id="rId1"/>
    <sheet name="Données projet" sheetId="1" r:id="rId2"/>
    <sheet name="Feuil1" sheetId="8" r:id="rId3"/>
    <sheet name="Scénario référence" sheetId="7" r:id="rId4"/>
    <sheet name="Calculateur" sheetId="2" state="hidden" r:id="rId5"/>
    <sheet name="Paramètres" sheetId="3" r:id="rId6"/>
    <sheet name="REE" sheetId="4" r:id="rId7"/>
    <sheet name="VAN" sheetId="6" r:id="rId8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X107" i="2" l="1" a="1"/>
  <c r="BX107" i="2" s="1"/>
  <c r="BC68" i="2" a="1"/>
  <c r="BC68" i="2" s="1"/>
  <c r="BC58" i="2" a="1"/>
  <c r="BC58" i="2" s="1"/>
  <c r="BC34" i="2" a="1"/>
  <c r="BC34" i="2" s="1"/>
  <c r="AH19" i="2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<sst xmlns="http://schemas.openxmlformats.org/spreadsheetml/2006/main" count="1167" uniqueCount="324">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</sst>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1.9681896255192841</c:v>
                </c:pt>
                <c:pt idx="2">
                  <c:v>2.6536766249415003</c:v>
                </c:pt>
                <c:pt idx="3">
                  <c:v>3.5789134594832372</c:v>
                </c:pt>
                <c:pt idx="4">
                  <c:v>4.8280846046591135</c:v>
                </c:pt>
                <c:pt idx="5">
                  <c:v>6.5150434969647479</c:v>
                </c:pt>
                <c:pt idx="6">
                  <c:v>8.7938042990486487</c:v>
                </c:pt>
                <c:pt idx="7">
                  <c:v>11.872755437495256</c:v>
                </c:pt>
                <c:pt idx="8">
                  <c:v>16.033918911632181</c:v>
                </c:pt>
                <c:pt idx="9">
                  <c:v>21.659051594345414</c:v>
                </c:pt>
                <c:pt idx="10">
                  <c:v>29.265025786301706</c:v>
                </c:pt>
                <c:pt idx="11">
                  <c:v>39.551796621510505</c:v>
                </c:pt>
                <c:pt idx="12">
                  <c:v>53.467445739787614</c:v>
                </c:pt>
                <c:pt idx="13">
                  <c:v>72.296395636031377</c:v>
                </c:pt>
                <c:pt idx="14">
                  <c:v>97.779069087294559</c:v>
                </c:pt>
                <c:pt idx="15">
                  <c:v>132.27422942738588</c:v>
                </c:pt>
                <c:pt idx="16">
                  <c:v>178.97926076508111</c:v>
                </c:pt>
                <c:pt idx="17">
                  <c:v>242.22911402070054</c:v>
                </c:pt>
                <c:pt idx="18">
                  <c:v>327.90207364408445</c:v>
                </c:pt>
                <c:pt idx="19">
                  <c:v>443.97059655082359</c:v>
                </c:pt>
                <c:pt idx="20">
                  <c:v>601.24919866493246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4.5603227029592857</c:v>
                </c:pt>
                <c:pt idx="2">
                  <c:v>9.0132952331201093</c:v>
                </c:pt>
                <c:pt idx="3">
                  <c:v>17.838817144878906</c:v>
                </c:pt>
                <c:pt idx="4">
                  <c:v>35.352605371028027</c:v>
                </c:pt>
                <c:pt idx="5">
                  <c:v>70.149974013263474</c:v>
                </c:pt>
                <c:pt idx="6">
                  <c:v>86.557695432218452</c:v>
                </c:pt>
                <c:pt idx="7">
                  <c:v>114.79386073387418</c:v>
                </c:pt>
                <c:pt idx="8">
                  <c:v>142.85889776559074</c:v>
                </c:pt>
                <c:pt idx="9">
                  <c:v>170.79137460696464</c:v>
                </c:pt>
                <c:pt idx="10">
                  <c:v>198.61608801133966</c:v>
                </c:pt>
                <c:pt idx="11">
                  <c:v>170.79137460696464</c:v>
                </c:pt>
                <c:pt idx="12">
                  <c:v>197.83360065109466</c:v>
                </c:pt>
                <c:pt idx="13">
                  <c:v>224.78996180947172</c:v>
                </c:pt>
                <c:pt idx="14">
                  <c:v>251.67220666437959</c:v>
                </c:pt>
                <c:pt idx="15">
                  <c:v>278.48936400091264</c:v>
                </c:pt>
                <c:pt idx="16">
                  <c:v>258.28507230454863</c:v>
                </c:pt>
                <c:pt idx="17">
                  <c:v>282.75904421972086</c:v>
                </c:pt>
                <c:pt idx="18">
                  <c:v>307.18556432776853</c:v>
                </c:pt>
                <c:pt idx="19">
                  <c:v>331.56893409573678</c:v>
                </c:pt>
                <c:pt idx="20">
                  <c:v>355.91277070439497</c:v>
                </c:pt>
                <c:pt idx="21">
                  <c:v>341.23373557401311</c:v>
                </c:pt>
                <c:pt idx="22">
                  <c:v>361.31746248867267</c:v>
                </c:pt>
                <c:pt idx="23">
                  <c:v>381.37678831502052</c:v>
                </c:pt>
                <c:pt idx="24">
                  <c:v>401.41317632821421</c:v>
                </c:pt>
                <c:pt idx="25">
                  <c:v>421.42793186976093</c:v>
                </c:pt>
                <c:pt idx="26">
                  <c:v>411.03827995947972</c:v>
                </c:pt>
                <c:pt idx="27">
                  <c:v>427.58215058986383</c:v>
                </c:pt>
                <c:pt idx="28">
                  <c:v>444.11226191866245</c:v>
                </c:pt>
                <c:pt idx="29">
                  <c:v>460.62919798538474</c:v>
                </c:pt>
                <c:pt idx="30">
                  <c:v>477.13349754486762</c:v>
                </c:pt>
                <c:pt idx="31">
                  <c:v>469.45861841140714</c:v>
                </c:pt>
                <c:pt idx="32">
                  <c:v>482.88793138455003</c:v>
                </c:pt>
                <c:pt idx="33">
                  <c:v>496.30931275327697</c:v>
                </c:pt>
                <c:pt idx="34">
                  <c:v>509.72300718239177</c:v>
                </c:pt>
                <c:pt idx="35">
                  <c:v>523.12924541243819</c:v>
                </c:pt>
                <c:pt idx="36">
                  <c:v>517.76763064124987</c:v>
                </c:pt>
                <c:pt idx="37">
                  <c:v>529.6382221432558</c:v>
                </c:pt>
                <c:pt idx="38">
                  <c:v>541.50321514452014</c:v>
                </c:pt>
                <c:pt idx="39">
                  <c:v>553.36274958383854</c:v>
                </c:pt>
                <c:pt idx="40">
                  <c:v>565.21695891368074</c:v>
                </c:pt>
                <c:pt idx="41">
                  <c:v>563.30534449457025</c:v>
                </c:pt>
                <c:pt idx="42">
                  <c:v>574.77301329675208</c:v>
                </c:pt>
                <c:pt idx="43">
                  <c:v>586.23590668718805</c:v>
                </c:pt>
                <c:pt idx="44">
                  <c:v>597.6941311815882</c:v>
                </c:pt>
                <c:pt idx="45">
                  <c:v>609.14778887966042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2.0102708451666556</c:v>
                </c:pt>
                <c:pt idx="2">
                  <c:v>2.7104683401030978</c:v>
                </c:pt>
                <c:pt idx="3">
                  <c:v>3.6555785871676885</c:v>
                </c:pt>
                <c:pt idx="4">
                  <c:v>4.9316048178140299</c:v>
                </c:pt>
                <c:pt idx="5">
                  <c:v>6.654862126212346</c:v>
                </c:pt>
                <c:pt idx="6">
                  <c:v>8.9826972080963827</c:v>
                </c:pt>
                <c:pt idx="7">
                  <c:v>12.128010945112733</c:v>
                </c:pt>
                <c:pt idx="8">
                  <c:v>16.378936740030511</c:v>
                </c:pt>
                <c:pt idx="9">
                  <c:v>22.125510062023238</c:v>
                </c:pt>
                <c:pt idx="10">
                  <c:v>29.895819733157868</c:v>
                </c:pt>
                <c:pt idx="11">
                  <c:v>40.40502088327414</c:v>
                </c:pt>
                <c:pt idx="12">
                  <c:v>54.62179721063935</c:v>
                </c:pt>
                <c:pt idx="13">
                  <c:v>73.858500359867691</c:v>
                </c:pt>
                <c:pt idx="14">
                  <c:v>99.893422023552503</c:v>
                </c:pt>
                <c:pt idx="15">
                  <c:v>135.13668070862045</c:v>
                </c:pt>
                <c:pt idx="16">
                  <c:v>182.85531673387018</c:v>
                </c:pt>
                <c:pt idx="17">
                  <c:v>247.47877583005433</c:v>
                </c:pt>
                <c:pt idx="18">
                  <c:v>335.01355387311884</c:v>
                </c:pt>
                <c:pt idx="19">
                  <c:v>453.60609380292277</c:v>
                </c:pt>
                <c:pt idx="20">
                  <c:v>614.30705128706711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90" zoomScaleNormal="90" workbookViewId="0">
      <selection activeCell="D119" sqref="D11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9.01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117</v>
      </c>
      <c r="C9" s="35">
        <v>0.28000000000000003</v>
      </c>
      <c r="D9" s="36">
        <f t="shared" ref="D9:D18" si="0">C9*$C$5</f>
        <v>2.5228000000000002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44</v>
      </c>
      <c r="C10" s="35">
        <v>0.36</v>
      </c>
      <c r="D10" s="36">
        <f t="shared" si="0"/>
        <v>3.2435999999999998</v>
      </c>
      <c r="E10" s="37">
        <v>45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36</v>
      </c>
      <c r="C11" s="35">
        <v>0.09</v>
      </c>
      <c r="D11" s="36">
        <f t="shared" si="0"/>
        <v>0.81089999999999995</v>
      </c>
      <c r="E11" s="37">
        <v>30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118</v>
      </c>
      <c r="C12" s="35">
        <v>0.27</v>
      </c>
      <c r="D12" s="36">
        <f t="shared" si="0"/>
        <v>2.4327000000000001</v>
      </c>
      <c r="E12" s="37">
        <v>20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9.01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Soligo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496</v>
      </c>
      <c r="C36" s="63">
        <v>1</v>
      </c>
      <c r="D36" s="63">
        <v>496</v>
      </c>
      <c r="E36" s="54">
        <v>0.77</v>
      </c>
      <c r="F36" s="54">
        <v>0.21</v>
      </c>
      <c r="G36" s="54"/>
      <c r="H36" s="54"/>
      <c r="I36" s="52">
        <f>IFERROR(B36/A36,"")</f>
        <v>24.8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Robinier faux-acacia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5</v>
      </c>
      <c r="B62" s="63">
        <v>34</v>
      </c>
      <c r="C62" s="63">
        <v>1</v>
      </c>
      <c r="D62" s="63">
        <v>6</v>
      </c>
      <c r="E62" s="54"/>
      <c r="F62" s="54"/>
      <c r="G62" s="54"/>
      <c r="H62" s="54">
        <v>1</v>
      </c>
      <c r="I62" s="56">
        <f>IFERROR(B62/A62,"")</f>
        <v>6.8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10</v>
      </c>
      <c r="B63" s="63">
        <v>99</v>
      </c>
      <c r="C63" s="63">
        <v>2</v>
      </c>
      <c r="D63" s="63">
        <v>28</v>
      </c>
      <c r="E63" s="54"/>
      <c r="F63" s="54"/>
      <c r="G63" s="54"/>
      <c r="H63" s="54">
        <v>1</v>
      </c>
      <c r="I63" s="52">
        <f>IF(A63&lt;&gt;0,(B63-(B62-D62))/(A63-A62),"")</f>
        <v>14.2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15</v>
      </c>
      <c r="B64" s="63">
        <v>140</v>
      </c>
      <c r="C64" s="63">
        <v>3</v>
      </c>
      <c r="D64" s="63">
        <v>23</v>
      </c>
      <c r="E64" s="54"/>
      <c r="F64" s="54"/>
      <c r="G64" s="54"/>
      <c r="H64" s="54">
        <v>1</v>
      </c>
      <c r="I64" s="52">
        <f>IF(A64&lt;&gt;0,(B64-(B63-D63))/(A64-A63),"")</f>
        <v>13.8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20</v>
      </c>
      <c r="B65" s="63">
        <v>180</v>
      </c>
      <c r="C65" s="63">
        <v>4</v>
      </c>
      <c r="D65" s="63">
        <v>18</v>
      </c>
      <c r="E65" s="54"/>
      <c r="F65" s="54"/>
      <c r="G65" s="54"/>
      <c r="H65" s="54">
        <v>1</v>
      </c>
      <c r="I65" s="52">
        <f>IF(A65&lt;&gt;0,(B65-(B64-D64))/(A65-A64),"")</f>
        <v>12.6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25</v>
      </c>
      <c r="B66" s="63">
        <v>214</v>
      </c>
      <c r="C66" s="63">
        <v>5</v>
      </c>
      <c r="D66" s="63">
        <v>14</v>
      </c>
      <c r="E66" s="54"/>
      <c r="F66" s="54"/>
      <c r="G66" s="54"/>
      <c r="H66" s="54">
        <v>1</v>
      </c>
      <c r="I66" s="52">
        <f t="shared" ref="I66:I81" si="2">IF(A66&lt;&gt;0,(B66-(B65-D65))/(A66-A65),"")</f>
        <v>10.4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30</v>
      </c>
      <c r="B67" s="63">
        <v>243</v>
      </c>
      <c r="C67" s="63">
        <v>6</v>
      </c>
      <c r="D67" s="63">
        <v>11</v>
      </c>
      <c r="E67" s="54"/>
      <c r="F67" s="54"/>
      <c r="G67" s="54"/>
      <c r="H67" s="54">
        <v>1</v>
      </c>
      <c r="I67" s="52">
        <f t="shared" si="2"/>
        <v>8.6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35</v>
      </c>
      <c r="B68" s="63">
        <v>267</v>
      </c>
      <c r="C68" s="63">
        <v>7</v>
      </c>
      <c r="D68" s="63">
        <v>9</v>
      </c>
      <c r="E68" s="54"/>
      <c r="F68" s="54"/>
      <c r="G68" s="54"/>
      <c r="H68" s="54"/>
      <c r="I68" s="52">
        <f t="shared" si="2"/>
        <v>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40</v>
      </c>
      <c r="B69" s="53">
        <v>289</v>
      </c>
      <c r="C69" s="53">
        <v>8</v>
      </c>
      <c r="D69" s="53">
        <v>7</v>
      </c>
      <c r="E69" s="54"/>
      <c r="F69" s="54"/>
      <c r="G69" s="54"/>
      <c r="H69" s="54"/>
      <c r="I69" s="52">
        <f t="shared" si="2"/>
        <v>6.2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45</v>
      </c>
      <c r="B70" s="53">
        <v>312</v>
      </c>
      <c r="C70" s="53">
        <v>9</v>
      </c>
      <c r="D70" s="53">
        <v>312</v>
      </c>
      <c r="E70" s="54"/>
      <c r="F70" s="54"/>
      <c r="G70" s="54"/>
      <c r="H70" s="54"/>
      <c r="I70" s="52">
        <f t="shared" si="2"/>
        <v>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maritime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12</v>
      </c>
      <c r="B88" s="63">
        <v>106</v>
      </c>
      <c r="C88" s="63">
        <v>1</v>
      </c>
      <c r="D88" s="63">
        <v>34</v>
      </c>
      <c r="E88" s="54"/>
      <c r="F88" s="54"/>
      <c r="G88" s="54">
        <v>1</v>
      </c>
      <c r="H88" s="93"/>
      <c r="I88" s="56">
        <f>IFERROR(B88/A88,"")</f>
        <v>8.8333333333333339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17</v>
      </c>
      <c r="B89" s="63">
        <v>176</v>
      </c>
      <c r="C89" s="63">
        <v>2</v>
      </c>
      <c r="D89" s="63">
        <v>43</v>
      </c>
      <c r="E89" s="54">
        <v>0.2</v>
      </c>
      <c r="F89" s="54"/>
      <c r="G89" s="54">
        <v>0.8</v>
      </c>
      <c r="H89" s="93"/>
      <c r="I89" s="56">
        <f t="shared" ref="I89:I107" si="3">IF(A89&lt;&gt;0,(B89-(B88-D88))/(A89-A88),"")</f>
        <v>20.8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22</v>
      </c>
      <c r="B90" s="63">
        <v>232</v>
      </c>
      <c r="C90" s="63">
        <v>3</v>
      </c>
      <c r="D90" s="63">
        <v>56</v>
      </c>
      <c r="E90" s="93">
        <v>0.4</v>
      </c>
      <c r="F90" s="93"/>
      <c r="G90" s="93">
        <v>0.6</v>
      </c>
      <c r="H90" s="93"/>
      <c r="I90" s="56">
        <f t="shared" si="3"/>
        <v>19.8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3">
        <v>309</v>
      </c>
      <c r="C91" s="63">
        <v>4</v>
      </c>
      <c r="D91" s="63">
        <v>309</v>
      </c>
      <c r="E91" s="93">
        <v>0.4</v>
      </c>
      <c r="F91" s="93">
        <v>0.4</v>
      </c>
      <c r="G91" s="93">
        <v>0.2</v>
      </c>
      <c r="H91" s="93"/>
      <c r="I91" s="56">
        <f t="shared" si="3"/>
        <v>16.625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Peuplier Taro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3">
        <v>496</v>
      </c>
      <c r="C114" s="53">
        <v>1</v>
      </c>
      <c r="D114" s="63">
        <v>496</v>
      </c>
      <c r="E114" s="54">
        <v>0.77</v>
      </c>
      <c r="F114" s="54">
        <v>0.21</v>
      </c>
      <c r="G114" s="54"/>
      <c r="H114" s="54"/>
      <c r="I114" s="56">
        <f>IFERROR(B114/A114,"")</f>
        <v>24.8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36C59-6D65-4CD4-8AC3-CE7A469D02E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18" sqref="B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Soligo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Robinier faux-acacia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Pin maritime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Peuplier Taro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121.59687193641378</v>
      </c>
      <c r="T3" s="62">
        <f>IF('Données projet'!E9&gt;30,$R$33-$H$33,LOOKUP('Données projet'!$E$9,$A$3:$A$203,R3:R203)-LOOKUP('Données projet'!$E$9,$A$3:$A$203,$H$3:$H$203))</f>
        <v>625.69364310937681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366.86025470473652</v>
      </c>
      <c r="AO3" s="62">
        <f>IF('Données projet'!E10&gt;30,$AM$33-$H$33,LOOKUP('Données projet'!$E$10,$A$3:$A$203,AM3:AM203)-LOOKUP('Données projet'!$E$10,$A$3:$A$203,$H$3:$H$203))</f>
        <v>513.80016421153414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187.13674266165236</v>
      </c>
      <c r="BJ3" s="62">
        <f>IF('Données projet'!E11&gt;30,$BH$33-$H$33,LOOKUP('Données projet'!$E$11,$A$3:$A$203,BH3:BH203)-LOOKUP('Données projet'!$E$11,$A$3:$A$203,$H$3:$H$203))</f>
        <v>439.28159165815276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123.96745898973995</v>
      </c>
      <c r="CE3" s="62">
        <f>IF('Données projet'!E12&gt;30,$CC$33-$H$33,LOOKUP('Données projet'!$E$12,$A$3:$A$203,CC3:CC203)-LOOKUP('Données projet'!$E$12,$A$3:$A$203,$H$3:$H$203))</f>
        <v>638.75149573151157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24.8</v>
      </c>
      <c r="N4" s="14">
        <f>IF('Données projet'!$A$36&gt;35,N3+M4-V3,IF(A4&lt;'Données projet'!$A$36,$K$205^A4,IF(A4='Données projet'!$A$36,'Données projet'!$B$36,N3+M4-V3)))</f>
        <v>1.363873477020449</v>
      </c>
      <c r="O4" s="14">
        <f>N4*VLOOKUP('Données projet'!$B$9,Paramètres!$A$1:$I$89,3,0)*VLOOKUP('Données projet'!$B$9,Paramètres!$A$1:$I$89,5,0)</f>
        <v>0.76595134469468418</v>
      </c>
      <c r="P4" s="14">
        <f>EXP(-1.0587+0.8836*LN(O4)+0.284)</f>
        <v>0.36410968431160351</v>
      </c>
      <c r="Q4" s="22">
        <f t="shared" ref="Q4:Q34" si="2">(O4+P4)*0.475*44/12</f>
        <v>1.9681896255192841</v>
      </c>
      <c r="R4" s="62">
        <f t="shared" si="0"/>
        <v>259.85707851440816</v>
      </c>
      <c r="S4" s="62">
        <f ca="1">AVERAGE(OFFSET($R$3,0,0,'Données projet'!$E$9+1,1))-AVERAGE(OFFSET($H$3,0,0,'Données projet'!$E$9+1,1))</f>
        <v>121.59687193641378</v>
      </c>
      <c r="T4" s="62">
        <f>$T$3</f>
        <v>625.69364310937681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6.8</v>
      </c>
      <c r="AI4" s="14">
        <f>IF('Données projet'!$A$62&gt;35,AI3+AH4-AQ3,IF(A4&lt;'Données projet'!$A$62,$AF$205^A4,IF(A4='Données projet'!$A$62,'Données projet'!$B$62,AI3+AH4-AQ3)))</f>
        <v>2.0243974584998852</v>
      </c>
      <c r="AJ4" s="14">
        <f>AI4*VLOOKUP('Données projet'!$B$10,Paramètres!$A$1:$I$89,3,0)*VLOOKUP('Données projet'!$B$10,Paramètres!$A$1:$I$89,5,0)</f>
        <v>1.8316748204506961</v>
      </c>
      <c r="AK4" s="14">
        <f>EXP(-1.0587+0.8836*LN(AJ4)+0.284)</f>
        <v>0.78669228172688432</v>
      </c>
      <c r="AL4" s="22">
        <f t="shared" ref="AL4:AL67" si="4">(AJ4+AK4)*0.475*44/12</f>
        <v>4.5603227029592857</v>
      </c>
      <c r="AM4" s="62">
        <f t="shared" ref="AM4:AM67" si="5">AL4+(AD4+AE4)*44/12</f>
        <v>262.44921159184815</v>
      </c>
      <c r="AN4" s="62">
        <f ca="1">AVERAGE(OFFSET($AM$3,0,0,'Données projet'!$E$10+1,1))-AVERAGE(OFFSET($H$3,0,0,'Données projet'!$E$10+1,1))</f>
        <v>366.86025470473652</v>
      </c>
      <c r="AO4" s="62">
        <f>$AO$3</f>
        <v>513.80016421153414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8.8333333333333339</v>
      </c>
      <c r="BD4" s="13">
        <f>IF('Données projet'!$A$88&gt;35,BD3+BC4-BL3,IF(A4&lt;'Données projet'!$A$88,$BA$205^A4,IF(A4='Données projet'!$A$88,'Données projet'!$B$88,BD3+BC4-BL3)))</f>
        <v>1.4749438547769935</v>
      </c>
      <c r="BE4" s="14">
        <f>BD4*VLOOKUP('Données projet'!$B$11,Paramètres!$A$1:$I$89,3,0)*VLOOKUP('Données projet'!$B$11,Paramètres!$A$1:$I$89,5,0)</f>
        <v>0.88201642515664225</v>
      </c>
      <c r="BF4" s="14">
        <f>EXP(-1.0587+0.8836*LN(BE4)+0.284)</f>
        <v>0.4124537465701128</v>
      </c>
      <c r="BG4" s="22">
        <f t="shared" ref="BG4:BG67" si="7">(BE4+BF4)*0.475*44/12</f>
        <v>2.254535549090765</v>
      </c>
      <c r="BH4" s="62">
        <f t="shared" ref="BH4:BH67" si="8">BG4+(AY4+AZ4)*44/12</f>
        <v>260.1434244379796</v>
      </c>
      <c r="BI4" s="62">
        <f ca="1">AVERAGE(OFFSET($BH$3,0,0,'Données projet'!$E$11+1,1))-AVERAGE(OFFSET($H$3,0,0,'Données projet'!$E$11+1,1))</f>
        <v>187.13674266165236</v>
      </c>
      <c r="BJ4" s="62">
        <f>$BJ$3</f>
        <v>439.28159165815276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24.8</v>
      </c>
      <c r="BY4" s="13">
        <f>IF('Données projet'!$A$114&gt;35,BY3+BX4-CG3,IF(A4&lt;'Données projet'!$A$114,$BV$205^A4,IF(A4='Données projet'!$A$114,'Données projet'!$B$114,BY3+BX4-CG3)))</f>
        <v>1.363873477020449</v>
      </c>
      <c r="BZ4" s="14">
        <f>BY4*VLOOKUP('Données projet'!$B$12,Paramètres!$A$1:$I$89,3,0)*VLOOKUP('Données projet'!$B$12,Paramètres!$A$1:$I$89,5,0)</f>
        <v>0.78297248568789946</v>
      </c>
      <c r="CA4" s="14">
        <f>EXP(-1.0587+0.8836*LN(BZ4)+0.284)</f>
        <v>0.37125000914463002</v>
      </c>
      <c r="CB4" s="22">
        <f t="shared" ref="CB4:CB67" si="10">(BZ4+CA4)*0.475*44/12</f>
        <v>2.0102708451666556</v>
      </c>
      <c r="CC4" s="62">
        <f t="shared" ref="CC4:CC67" si="11">CB4+(BT4+BU4)*44/12</f>
        <v>259.8991597340555</v>
      </c>
      <c r="CD4" s="62">
        <f ca="1">AVERAGE(OFFSET($CC$3,0,0,'Données projet'!$E$12+1,1))-AVERAGE(OFFSET($H$3,0,0,'Données projet'!$E$12+1,1))</f>
        <v>123.96745898973995</v>
      </c>
      <c r="CE4" s="62">
        <f>$CE$3</f>
        <v>638.75149573151157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24.8</v>
      </c>
      <c r="N5" s="14">
        <f>IF('Données projet'!$A$36&gt;35,N4+M5-V4,IF(A5&lt;'Données projet'!$A$36,$K$205^A5,IF(A5='Données projet'!$A$36,'Données projet'!$B$36,N4+M5-V4)))</f>
        <v>1.8601508613198494</v>
      </c>
      <c r="O5" s="14">
        <f>N5*VLOOKUP('Données projet'!$B$9,Paramètres!$A$1:$I$89,3,0)*VLOOKUP('Données projet'!$B$9,Paramètres!$A$1:$I$89,5,0)</f>
        <v>1.0446607237172274</v>
      </c>
      <c r="P5" s="14">
        <f t="shared" ref="P5:P68" si="33">EXP(-1.0587+0.8836*LN(O5)+0.284)</f>
        <v>0.47898135758889732</v>
      </c>
      <c r="Q5" s="22">
        <f t="shared" si="2"/>
        <v>2.6536766249415003</v>
      </c>
      <c r="R5" s="62">
        <f t="shared" si="0"/>
        <v>261.76478773605265</v>
      </c>
      <c r="S5" s="62">
        <f ca="1">AVERAGE(OFFSET($R$3,0,0,'Données projet'!$E$9+1,1))-AVERAGE(OFFSET($H$3,0,0,'Données projet'!$E$9+1,1))</f>
        <v>121.59687193641378</v>
      </c>
      <c r="T5" s="62">
        <f t="shared" ref="T5:T68" si="34">$T$3</f>
        <v>625.69364310937681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6.8</v>
      </c>
      <c r="AI5" s="14">
        <f>IF('Données projet'!$A$62&gt;35,AI4+AH5-AQ4,IF(A5&lt;'Données projet'!$A$62,$AF$205^A5,IF(A5='Données projet'!$A$62,'Données projet'!$B$62,AI4+AH5-AQ4)))</f>
        <v>4.0981850699807945</v>
      </c>
      <c r="AJ5" s="14">
        <f>AI5*VLOOKUP('Données projet'!$B$10,Paramètres!$A$1:$I$89,3,0)*VLOOKUP('Données projet'!$B$10,Paramètres!$A$1:$I$89,5,0)</f>
        <v>3.7080378513186227</v>
      </c>
      <c r="AK5" s="14">
        <f t="shared" ref="AK5:AK68" si="35">EXP(-1.0587+0.8836*LN(AJ5)+0.284)</f>
        <v>1.4670598901857457</v>
      </c>
      <c r="AL5" s="22">
        <f t="shared" si="4"/>
        <v>9.0132952331201093</v>
      </c>
      <c r="AM5" s="62">
        <f t="shared" si="5"/>
        <v>268.12440634423126</v>
      </c>
      <c r="AN5" s="62">
        <f ca="1">AVERAGE(OFFSET($AM$3,0,0,'Données projet'!$E$10+1,1))-AVERAGE(OFFSET($H$3,0,0,'Données projet'!$E$10+1,1))</f>
        <v>366.86025470473652</v>
      </c>
      <c r="AO5" s="62">
        <f t="shared" ref="AO5:AO68" si="36">$AO$3</f>
        <v>513.80016421153414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8.8333333333333339</v>
      </c>
      <c r="BD5" s="13">
        <f>IF('Données projet'!$A$88&gt;35,BD4+BC5-BL4,IF(A5&lt;'Données projet'!$A$88,$BA$205^A5,IF(A5='Données projet'!$A$88,'Données projet'!$B$88,BD4+BC5-BL4)))</f>
        <v>2.1754593747444169</v>
      </c>
      <c r="BE5" s="14">
        <f>BD5*VLOOKUP('Données projet'!$B$11,Paramètres!$A$1:$I$89,3,0)*VLOOKUP('Données projet'!$B$11,Paramètres!$A$1:$I$89,5,0)</f>
        <v>1.3009247060971614</v>
      </c>
      <c r="BF5" s="14">
        <f t="shared" ref="BF5:BF68" si="37">EXP(-1.0587+0.8836*LN(BE5)+0.284)</f>
        <v>0.58144049425293109</v>
      </c>
      <c r="BG5" s="22">
        <f t="shared" si="7"/>
        <v>3.2784527239430776</v>
      </c>
      <c r="BH5" s="62">
        <f t="shared" si="8"/>
        <v>262.38956383505422</v>
      </c>
      <c r="BI5" s="62">
        <f ca="1">AVERAGE(OFFSET($BH$3,0,0,'Données projet'!$E$11+1,1))-AVERAGE(OFFSET($H$3,0,0,'Données projet'!$E$11+1,1))</f>
        <v>187.13674266165236</v>
      </c>
      <c r="BJ5" s="62">
        <f t="shared" ref="BJ5:BJ68" si="38">$BJ$3</f>
        <v>439.28159165815276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24.8</v>
      </c>
      <c r="BY5" s="13">
        <f>IF('Données projet'!$A$114&gt;35,BY4+BX5-CG4,IF(A5&lt;'Données projet'!$A$114,$BV$205^A5,IF(A5='Données projet'!$A$114,'Données projet'!$B$114,BY4+BX5-CG4)))</f>
        <v>1.8601508613198494</v>
      </c>
      <c r="BZ5" s="14">
        <f>BY5*VLOOKUP('Données projet'!$B$12,Paramètres!$A$1:$I$89,3,0)*VLOOKUP('Données projet'!$B$12,Paramètres!$A$1:$I$89,5,0)</f>
        <v>1.0678754064664993</v>
      </c>
      <c r="CA5" s="14">
        <f t="shared" ref="CA5:CA68" si="39">EXP(-1.0587+0.8836*LN(BZ5)+0.284)</f>
        <v>0.48837435818599723</v>
      </c>
      <c r="CB5" s="22">
        <f t="shared" si="10"/>
        <v>2.7104683401030978</v>
      </c>
      <c r="CC5" s="62">
        <f t="shared" si="11"/>
        <v>261.82157945121423</v>
      </c>
      <c r="CD5" s="62">
        <f ca="1">AVERAGE(OFFSET($CC$3,0,0,'Données projet'!$E$12+1,1))-AVERAGE(OFFSET($H$3,0,0,'Données projet'!$E$12+1,1))</f>
        <v>123.96745898973995</v>
      </c>
      <c r="CE5" s="62">
        <f t="shared" ref="CE5:CE68" si="40">$CE$3</f>
        <v>638.75149573151157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24.8</v>
      </c>
      <c r="N6" s="14">
        <f>IF('Données projet'!$A$36&gt;35,N5+M6-V5,IF(A6&lt;'Données projet'!$A$36,$K$205^A6,IF(A6='Données projet'!$A$36,'Données projet'!$B$36,N5+M6-V5)))</f>
        <v>2.5370104230108863</v>
      </c>
      <c r="O6" s="14">
        <f>N6*VLOOKUP('Données projet'!$B$9,Paramètres!$A$1:$I$89,3,0)*VLOOKUP('Données projet'!$B$9,Paramètres!$A$1:$I$89,5,0)</f>
        <v>1.4247850535629139</v>
      </c>
      <c r="P6" s="14">
        <f t="shared" si="33"/>
        <v>0.63009348776717455</v>
      </c>
      <c r="Q6" s="22">
        <f t="shared" si="2"/>
        <v>3.5789134594832372</v>
      </c>
      <c r="R6" s="62">
        <f t="shared" si="0"/>
        <v>263.91224679281657</v>
      </c>
      <c r="S6" s="62">
        <f ca="1">AVERAGE(OFFSET($R$3,0,0,'Données projet'!$E$9+1,1))-AVERAGE(OFFSET($H$3,0,0,'Données projet'!$E$9+1,1))</f>
        <v>121.59687193641378</v>
      </c>
      <c r="T6" s="62">
        <f t="shared" si="34"/>
        <v>625.69364310937681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6.8</v>
      </c>
      <c r="AI6" s="14">
        <f>IF('Données projet'!$A$62&gt;35,AI5+AH6-AQ5,IF(A6&lt;'Données projet'!$A$62,$AF$205^A6,IF(A6='Données projet'!$A$62,'Données projet'!$B$62,AI5+AH6-AQ5)))</f>
        <v>8.2963554401312951</v>
      </c>
      <c r="AJ6" s="14">
        <f>AI6*VLOOKUP('Données projet'!$B$10,Paramètres!$A$1:$I$89,3,0)*VLOOKUP('Données projet'!$B$10,Paramètres!$A$1:$I$89,5,0)</f>
        <v>7.5065424022307949</v>
      </c>
      <c r="AK6" s="14">
        <f t="shared" si="35"/>
        <v>2.7358406474604431</v>
      </c>
      <c r="AL6" s="22">
        <f t="shared" si="4"/>
        <v>17.838817144878906</v>
      </c>
      <c r="AM6" s="62">
        <f t="shared" si="5"/>
        <v>278.17215047821225</v>
      </c>
      <c r="AN6" s="62">
        <f ca="1">AVERAGE(OFFSET($AM$3,0,0,'Données projet'!$E$10+1,1))-AVERAGE(OFFSET($H$3,0,0,'Données projet'!$E$10+1,1))</f>
        <v>366.86025470473652</v>
      </c>
      <c r="AO6" s="62">
        <f t="shared" si="36"/>
        <v>513.80016421153414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8.8333333333333339</v>
      </c>
      <c r="BD6" s="13">
        <f>IF('Données projet'!$A$88&gt;35,BD5+BC6-BL5,IF(A6&lt;'Données projet'!$A$88,$BA$205^A6,IF(A6='Données projet'!$A$88,'Données projet'!$B$88,BD5+BC6-BL5)))</f>
        <v>3.2086804360962784</v>
      </c>
      <c r="BE6" s="14">
        <f>BD6*VLOOKUP('Données projet'!$B$11,Paramètres!$A$1:$I$89,3,0)*VLOOKUP('Données projet'!$B$11,Paramètres!$A$1:$I$89,5,0)</f>
        <v>1.9187909007855746</v>
      </c>
      <c r="BF6" s="14">
        <f t="shared" si="37"/>
        <v>0.81966293473739615</v>
      </c>
      <c r="BG6" s="22">
        <f t="shared" si="7"/>
        <v>4.7694737635358404</v>
      </c>
      <c r="BH6" s="62">
        <f t="shared" si="8"/>
        <v>265.10280709686913</v>
      </c>
      <c r="BI6" s="62">
        <f ca="1">AVERAGE(OFFSET($BH$3,0,0,'Données projet'!$E$11+1,1))-AVERAGE(OFFSET($H$3,0,0,'Données projet'!$E$11+1,1))</f>
        <v>187.13674266165236</v>
      </c>
      <c r="BJ6" s="62">
        <f t="shared" si="38"/>
        <v>439.28159165815276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24.8</v>
      </c>
      <c r="BY6" s="13">
        <f>IF('Données projet'!$A$114&gt;35,BY5+BX6-CG5,IF(A6&lt;'Données projet'!$A$114,$BV$205^A6,IF(A6='Données projet'!$A$114,'Données projet'!$B$114,BY5+BX6-CG5)))</f>
        <v>2.5370104230108863</v>
      </c>
      <c r="BZ6" s="14">
        <f>BY6*VLOOKUP('Données projet'!$B$12,Paramètres!$A$1:$I$89,3,0)*VLOOKUP('Données projet'!$B$12,Paramètres!$A$1:$I$89,5,0)</f>
        <v>1.4564469436420895</v>
      </c>
      <c r="CA6" s="14">
        <f t="shared" si="39"/>
        <v>0.6424498528178274</v>
      </c>
      <c r="CB6" s="22">
        <f t="shared" si="10"/>
        <v>3.6555785871676885</v>
      </c>
      <c r="CC6" s="62">
        <f t="shared" si="11"/>
        <v>263.98891192050098</v>
      </c>
      <c r="CD6" s="62">
        <f ca="1">AVERAGE(OFFSET($CC$3,0,0,'Données projet'!$E$12+1,1))-AVERAGE(OFFSET($H$3,0,0,'Données projet'!$E$12+1,1))</f>
        <v>123.96745898973995</v>
      </c>
      <c r="CE6" s="62">
        <f t="shared" si="40"/>
        <v>638.75149573151157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24.8</v>
      </c>
      <c r="N7" s="14">
        <f>IF('Données projet'!$A$36&gt;35,N6+M7-V6,IF(A7&lt;'Données projet'!$A$36,$K$205^A7,IF(A7='Données projet'!$A$36,'Données projet'!$B$36,N6+M7-V6)))</f>
        <v>3.4601612268689776</v>
      </c>
      <c r="O7" s="14">
        <f>N7*VLOOKUP('Données projet'!$B$9,Paramètres!$A$1:$I$89,3,0)*VLOOKUP('Données projet'!$B$9,Paramètres!$A$1:$I$89,5,0)</f>
        <v>1.943226545009618</v>
      </c>
      <c r="P7" s="14">
        <f t="shared" si="33"/>
        <v>0.82887944809609282</v>
      </c>
      <c r="Q7" s="22">
        <f t="shared" si="2"/>
        <v>4.8280846046591135</v>
      </c>
      <c r="R7" s="62">
        <f t="shared" si="0"/>
        <v>266.38364016021467</v>
      </c>
      <c r="S7" s="62">
        <f ca="1">AVERAGE(OFFSET($R$3,0,0,'Données projet'!$E$9+1,1))-AVERAGE(OFFSET($H$3,0,0,'Données projet'!$E$9+1,1))</f>
        <v>121.59687193641378</v>
      </c>
      <c r="T7" s="62">
        <f t="shared" si="34"/>
        <v>625.69364310937681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6.8</v>
      </c>
      <c r="AI7" s="14">
        <f>IF('Données projet'!$A$62&gt;35,AI6+AH7-AQ6,IF(A7&lt;'Données projet'!$A$62,$AF$205^A7,IF(A7='Données projet'!$A$62,'Données projet'!$B$62,AI6+AH7-AQ6)))</f>
        <v>16.795120867813488</v>
      </c>
      <c r="AJ7" s="14">
        <f>AI7*VLOOKUP('Données projet'!$B$10,Paramètres!$A$1:$I$89,3,0)*VLOOKUP('Données projet'!$B$10,Paramètres!$A$1:$I$89,5,0)</f>
        <v>15.196225361197643</v>
      </c>
      <c r="AK7" s="14">
        <f t="shared" si="35"/>
        <v>5.1019212633160578</v>
      </c>
      <c r="AL7" s="22">
        <f t="shared" si="4"/>
        <v>35.352605371028027</v>
      </c>
      <c r="AM7" s="62">
        <f t="shared" si="5"/>
        <v>296.90816092658355</v>
      </c>
      <c r="AN7" s="62">
        <f ca="1">AVERAGE(OFFSET($AM$3,0,0,'Données projet'!$E$10+1,1))-AVERAGE(OFFSET($H$3,0,0,'Données projet'!$E$10+1,1))</f>
        <v>366.86025470473652</v>
      </c>
      <c r="AO7" s="62">
        <f t="shared" si="36"/>
        <v>513.80016421153414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8.8333333333333339</v>
      </c>
      <c r="BD7" s="13">
        <f>IF('Données projet'!$A$88&gt;35,BD6+BC7-BL6,IF(A7&lt;'Données projet'!$A$88,$BA$205^A7,IF(A7='Données projet'!$A$88,'Données projet'!$B$88,BD6+BC7-BL6)))</f>
        <v>4.7326234911633689</v>
      </c>
      <c r="BE7" s="14">
        <f>BD7*VLOOKUP('Données projet'!$B$11,Paramètres!$A$1:$I$89,3,0)*VLOOKUP('Données projet'!$B$11,Paramètres!$A$1:$I$89,5,0)</f>
        <v>2.8301088477156946</v>
      </c>
      <c r="BF7" s="14">
        <f t="shared" si="37"/>
        <v>1.1554876779704684</v>
      </c>
      <c r="BG7" s="22">
        <f t="shared" si="7"/>
        <v>6.9415806155700679</v>
      </c>
      <c r="BH7" s="62">
        <f t="shared" si="8"/>
        <v>268.49713617112559</v>
      </c>
      <c r="BI7" s="62">
        <f ca="1">AVERAGE(OFFSET($BH$3,0,0,'Données projet'!$E$11+1,1))-AVERAGE(OFFSET($H$3,0,0,'Données projet'!$E$11+1,1))</f>
        <v>187.13674266165236</v>
      </c>
      <c r="BJ7" s="62">
        <f t="shared" si="38"/>
        <v>439.28159165815276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24.8</v>
      </c>
      <c r="BY7" s="13">
        <f>IF('Données projet'!$A$114&gt;35,BY6+BX7-CG6,IF(A7&lt;'Données projet'!$A$114,$BV$205^A7,IF(A7='Données projet'!$A$114,'Données projet'!$B$114,BY6+BX7-CG6)))</f>
        <v>3.4601612268689776</v>
      </c>
      <c r="BZ7" s="14">
        <f>BY7*VLOOKUP('Données projet'!$B$12,Paramètres!$A$1:$I$89,3,0)*VLOOKUP('Données projet'!$B$12,Paramètres!$A$1:$I$89,5,0)</f>
        <v>1.9864093571209427</v>
      </c>
      <c r="CA7" s="14">
        <f t="shared" si="39"/>
        <v>0.84513407894452897</v>
      </c>
      <c r="CB7" s="22">
        <f t="shared" si="10"/>
        <v>4.9316048178140299</v>
      </c>
      <c r="CC7" s="62">
        <f t="shared" si="11"/>
        <v>266.48716037336959</v>
      </c>
      <c r="CD7" s="62">
        <f ca="1">AVERAGE(OFFSET($CC$3,0,0,'Données projet'!$E$12+1,1))-AVERAGE(OFFSET($H$3,0,0,'Données projet'!$E$12+1,1))</f>
        <v>123.96745898973995</v>
      </c>
      <c r="CE7" s="62">
        <f t="shared" si="40"/>
        <v>638.75149573151157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24.8</v>
      </c>
      <c r="N8" s="14">
        <f>IF('Données projet'!$A$36&gt;35,N7+M8-V7,IF(A8&lt;'Données projet'!$A$36,$K$205^A8,IF(A8='Données projet'!$A$36,'Données projet'!$B$36,N7+M8-V7)))</f>
        <v>4.7192221235411349</v>
      </c>
      <c r="O8" s="14">
        <f>N8*VLOOKUP('Données projet'!$B$9,Paramètres!$A$1:$I$89,3,0)*VLOOKUP('Données projet'!$B$9,Paramètres!$A$1:$I$89,5,0)</f>
        <v>2.6503151445807016</v>
      </c>
      <c r="P8" s="14">
        <f t="shared" si="33"/>
        <v>1.0903796862124553</v>
      </c>
      <c r="Q8" s="22">
        <f t="shared" si="2"/>
        <v>6.5150434969647479</v>
      </c>
      <c r="R8" s="62">
        <f t="shared" si="0"/>
        <v>269.29282127474249</v>
      </c>
      <c r="S8" s="62">
        <f ca="1">AVERAGE(OFFSET($R$3,0,0,'Données projet'!$E$9+1,1))-AVERAGE(OFFSET($H$3,0,0,'Données projet'!$E$9+1,1))</f>
        <v>121.59687193641378</v>
      </c>
      <c r="T8" s="62">
        <f t="shared" si="34"/>
        <v>625.69364310937681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>
        <f>VLOOKUP(A8,'Données projet'!$A$61:$I$81,2,0)</f>
        <v>34</v>
      </c>
      <c r="AG8" s="13">
        <f>VLOOKUP(A8,'Données projet'!$A$61:$I$81,9,0)</f>
        <v>6.8</v>
      </c>
      <c r="AH8" s="13">
        <f t="array" ref="AH8">INDEX(AG:AG,MIN(IF(ISNUMBER(AG8:AG204),ROW(AG8:AG204),"")))</f>
        <v>6.8</v>
      </c>
      <c r="AI8" s="14">
        <f>IF('Données projet'!$A$62&gt;35,AI7+AH8-AQ7,IF(A8&lt;'Données projet'!$A$62,$AF$205^A8,IF(A8='Données projet'!$A$62,'Données projet'!$B$62,AI7+AH8-AQ7)))</f>
        <v>34</v>
      </c>
      <c r="AJ8" s="14">
        <f>AI8*VLOOKUP('Données projet'!$B$10,Paramètres!$A$1:$I$89,3,0)*VLOOKUP('Données projet'!$B$10,Paramètres!$A$1:$I$89,5,0)</f>
        <v>30.763199999999998</v>
      </c>
      <c r="AK8" s="14">
        <f t="shared" si="35"/>
        <v>9.5142970411082253</v>
      </c>
      <c r="AL8" s="22">
        <f t="shared" si="4"/>
        <v>70.149974013263474</v>
      </c>
      <c r="AM8" s="62">
        <f t="shared" si="5"/>
        <v>332.92775179104126</v>
      </c>
      <c r="AN8" s="62">
        <f ca="1">AVERAGE(OFFSET($AM$3,0,0,'Données projet'!$E$10+1,1))-AVERAGE(OFFSET($H$3,0,0,'Données projet'!$E$10+1,1))</f>
        <v>366.86025470473652</v>
      </c>
      <c r="AO8" s="62">
        <f t="shared" si="36"/>
        <v>513.80016421153414</v>
      </c>
      <c r="AP8" s="16">
        <f>IF(ISNA(VLOOKUP(A8,'Données projet'!$A$61:$I$81,3,0)),0,VLOOKUP(A8,'Données projet'!$A$61:$I$81,3,0))</f>
        <v>1</v>
      </c>
      <c r="AQ8" s="16">
        <f>IF(ISNA(VLOOKUP(A8,'Données projet'!$A$61:$I$81,4,0)),0,VLOOKUP(A8,'Données projet'!$A$61:$I$81,4,0))</f>
        <v>6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8.8333333333333339</v>
      </c>
      <c r="BD8" s="13">
        <f>IF('Données projet'!$A$88&gt;35,BD7+BC8-BL7,IF(A8&lt;'Données projet'!$A$88,$BA$205^A8,IF(A8='Données projet'!$A$88,'Données projet'!$B$88,BD7+BC8-BL7)))</f>
        <v>6.9803539352646524</v>
      </c>
      <c r="BE8" s="14">
        <f>BD8*VLOOKUP('Données projet'!$B$11,Paramètres!$A$1:$I$89,3,0)*VLOOKUP('Données projet'!$B$11,Paramètres!$A$1:$I$89,5,0)</f>
        <v>4.1742516532882625</v>
      </c>
      <c r="BF8" s="14">
        <f t="shared" si="37"/>
        <v>1.6289034398869595</v>
      </c>
      <c r="BG8" s="22">
        <f t="shared" si="7"/>
        <v>10.107161787280178</v>
      </c>
      <c r="BH8" s="62">
        <f t="shared" si="8"/>
        <v>272.88493956505795</v>
      </c>
      <c r="BI8" s="62">
        <f ca="1">AVERAGE(OFFSET($BH$3,0,0,'Données projet'!$E$11+1,1))-AVERAGE(OFFSET($H$3,0,0,'Données projet'!$E$11+1,1))</f>
        <v>187.13674266165236</v>
      </c>
      <c r="BJ8" s="62">
        <f t="shared" si="38"/>
        <v>439.28159165815276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24.8</v>
      </c>
      <c r="BY8" s="13">
        <f>IF('Données projet'!$A$114&gt;35,BY7+BX8-CG7,IF(A8&lt;'Données projet'!$A$114,$BV$205^A8,IF(A8='Données projet'!$A$114,'Données projet'!$B$114,BY7+BX8-CG7)))</f>
        <v>4.7192221235411349</v>
      </c>
      <c r="BZ8" s="14">
        <f>BY8*VLOOKUP('Données projet'!$B$12,Paramètres!$A$1:$I$89,3,0)*VLOOKUP('Données projet'!$B$12,Paramètres!$A$1:$I$89,5,0)</f>
        <v>2.7092110366824951</v>
      </c>
      <c r="CA8" s="14">
        <f t="shared" si="39"/>
        <v>1.1117624329131102</v>
      </c>
      <c r="CB8" s="22">
        <f t="shared" si="10"/>
        <v>6.654862126212346</v>
      </c>
      <c r="CC8" s="62">
        <f t="shared" si="11"/>
        <v>269.43263990399009</v>
      </c>
      <c r="CD8" s="62">
        <f ca="1">AVERAGE(OFFSET($CC$3,0,0,'Données projet'!$E$12+1,1))-AVERAGE(OFFSET($H$3,0,0,'Données projet'!$E$12+1,1))</f>
        <v>123.96745898973995</v>
      </c>
      <c r="CE8" s="62">
        <f t="shared" si="40"/>
        <v>638.75149573151157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24.8</v>
      </c>
      <c r="N9" s="14">
        <f>IF('Données projet'!$A$36&gt;35,N8+M9-V8,IF(A9&lt;'Données projet'!$A$36,$K$205^A9,IF(A9='Données projet'!$A$36,'Données projet'!$B$36,N8+M9-V8)))</f>
        <v>6.436421886465876</v>
      </c>
      <c r="O9" s="14">
        <f>N9*VLOOKUP('Données projet'!$B$9,Paramètres!$A$1:$I$89,3,0)*VLOOKUP('Données projet'!$B$9,Paramètres!$A$1:$I$89,5,0)</f>
        <v>3.6146945314392358</v>
      </c>
      <c r="P9" s="14">
        <f t="shared" si="33"/>
        <v>1.4343797072489837</v>
      </c>
      <c r="Q9" s="22">
        <f t="shared" si="2"/>
        <v>8.7938042990486487</v>
      </c>
      <c r="R9" s="62">
        <f t="shared" si="0"/>
        <v>272.79380429904865</v>
      </c>
      <c r="S9" s="62">
        <f ca="1">AVERAGE(OFFSET($R$3,0,0,'Données projet'!$E$9+1,1))-AVERAGE(OFFSET($H$3,0,0,'Données projet'!$E$9+1,1))</f>
        <v>121.59687193641378</v>
      </c>
      <c r="T9" s="62">
        <f t="shared" si="34"/>
        <v>625.69364310937681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14.2</v>
      </c>
      <c r="AI9" s="14">
        <f>IF('Données projet'!$A$62&gt;35,AI8+AH9-AQ8,IF(A9&lt;'Données projet'!$A$62,$AF$205^A9,IF(A9='Données projet'!$A$62,'Données projet'!$B$62,AI8+AH9-AQ8)))</f>
        <v>42.2</v>
      </c>
      <c r="AJ9" s="14">
        <f>AI9*VLOOKUP('Données projet'!$B$10,Paramètres!$A$1:$I$89,3,0)*VLOOKUP('Données projet'!$B$10,Paramètres!$A$1:$I$89,5,0)</f>
        <v>38.182560000000002</v>
      </c>
      <c r="AK9" s="14">
        <f t="shared" si="35"/>
        <v>11.515638334288104</v>
      </c>
      <c r="AL9" s="22">
        <f t="shared" si="4"/>
        <v>86.557695432218452</v>
      </c>
      <c r="AM9" s="62">
        <f t="shared" si="5"/>
        <v>350.55769543221845</v>
      </c>
      <c r="AN9" s="62">
        <f ca="1">AVERAGE(OFFSET($AM$3,0,0,'Données projet'!$E$10+1,1))-AVERAGE(OFFSET($H$3,0,0,'Données projet'!$E$10+1,1))</f>
        <v>366.86025470473652</v>
      </c>
      <c r="AO9" s="62">
        <f t="shared" si="36"/>
        <v>513.80016421153414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8.8333333333333339</v>
      </c>
      <c r="BD9" s="13">
        <f>IF('Données projet'!$A$88&gt;35,BD8+BC9-BL8,IF(A9&lt;'Données projet'!$A$88,$BA$205^A9,IF(A9='Données projet'!$A$88,'Données projet'!$B$88,BD8+BC9-BL8)))</f>
        <v>10.295630140987003</v>
      </c>
      <c r="BE9" s="14">
        <f>BD9*VLOOKUP('Données projet'!$B$11,Paramètres!$A$1:$I$89,3,0)*VLOOKUP('Données projet'!$B$11,Paramètres!$A$1:$I$89,5,0)</f>
        <v>6.1567868243102275</v>
      </c>
      <c r="BF9" s="14">
        <f t="shared" si="37"/>
        <v>2.2962827445602434</v>
      </c>
      <c r="BG9" s="22">
        <f t="shared" si="7"/>
        <v>14.722429499116073</v>
      </c>
      <c r="BH9" s="62">
        <f t="shared" si="8"/>
        <v>278.72242949911606</v>
      </c>
      <c r="BI9" s="62">
        <f ca="1">AVERAGE(OFFSET($BH$3,0,0,'Données projet'!$E$11+1,1))-AVERAGE(OFFSET($H$3,0,0,'Données projet'!$E$11+1,1))</f>
        <v>187.13674266165236</v>
      </c>
      <c r="BJ9" s="62">
        <f t="shared" si="38"/>
        <v>439.28159165815276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24.8</v>
      </c>
      <c r="BY9" s="13">
        <f>IF('Données projet'!$A$114&gt;35,BY8+BX9-CG8,IF(A9&lt;'Données projet'!$A$114,$BV$205^A9,IF(A9='Données projet'!$A$114,'Données projet'!$B$114,BY8+BX9-CG8)))</f>
        <v>6.436421886465876</v>
      </c>
      <c r="BZ9" s="14">
        <f>BY9*VLOOKUP('Données projet'!$B$12,Paramètres!$A$1:$I$89,3,0)*VLOOKUP('Données projet'!$B$12,Paramètres!$A$1:$I$89,5,0)</f>
        <v>3.6950210765823299</v>
      </c>
      <c r="CA9" s="14">
        <f t="shared" si="39"/>
        <v>1.462508420889278</v>
      </c>
      <c r="CB9" s="22">
        <f t="shared" si="10"/>
        <v>8.9826972080963827</v>
      </c>
      <c r="CC9" s="62">
        <f t="shared" si="11"/>
        <v>272.9826972080964</v>
      </c>
      <c r="CD9" s="62">
        <f ca="1">AVERAGE(OFFSET($CC$3,0,0,'Données projet'!$E$12+1,1))-AVERAGE(OFFSET($H$3,0,0,'Données projet'!$E$12+1,1))</f>
        <v>123.96745898973995</v>
      </c>
      <c r="CE9" s="62">
        <f t="shared" si="40"/>
        <v>638.75149573151157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24.8</v>
      </c>
      <c r="N10" s="14">
        <f>IF('Données projet'!$A$36&gt;35,N9+M10-V9,IF(A10&lt;'Données projet'!$A$36,$K$205^A10,IF(A10='Données projet'!$A$36,'Données projet'!$B$36,N9+M10-V9)))</f>
        <v>8.7784650978647321</v>
      </c>
      <c r="O10" s="14">
        <f>N10*VLOOKUP('Données projet'!$B$9,Paramètres!$A$1:$I$89,3,0)*VLOOKUP('Données projet'!$B$9,Paramètres!$A$1:$I$89,5,0)</f>
        <v>4.9299859989608334</v>
      </c>
      <c r="P10" s="14">
        <f t="shared" si="33"/>
        <v>1.8869070751991217</v>
      </c>
      <c r="Q10" s="22">
        <f t="shared" si="2"/>
        <v>11.872755437495256</v>
      </c>
      <c r="R10" s="62">
        <f t="shared" si="0"/>
        <v>277.09497765971747</v>
      </c>
      <c r="S10" s="62">
        <f ca="1">AVERAGE(OFFSET($R$3,0,0,'Données projet'!$E$9+1,1))-AVERAGE(OFFSET($H$3,0,0,'Données projet'!$E$9+1,1))</f>
        <v>121.59687193641378</v>
      </c>
      <c r="T10" s="62">
        <f t="shared" si="34"/>
        <v>625.69364310937681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14.2</v>
      </c>
      <c r="AI10" s="14">
        <f>IF('Données projet'!$A$62&gt;35,AI9+AH10-AQ9,IF(A10&lt;'Données projet'!$A$62,$AF$205^A10,IF(A10='Données projet'!$A$62,'Données projet'!$B$62,AI9+AH10-AQ9)))</f>
        <v>56.400000000000006</v>
      </c>
      <c r="AJ10" s="14">
        <f>AI10*VLOOKUP('Données projet'!$B$10,Paramètres!$A$1:$I$89,3,0)*VLOOKUP('Données projet'!$B$10,Paramètres!$A$1:$I$89,5,0)</f>
        <v>51.030720000000009</v>
      </c>
      <c r="AK10" s="14">
        <f t="shared" si="35"/>
        <v>14.879630660597618</v>
      </c>
      <c r="AL10" s="22">
        <f t="shared" si="4"/>
        <v>114.79386073387418</v>
      </c>
      <c r="AM10" s="62">
        <f t="shared" si="5"/>
        <v>380.0160829560964</v>
      </c>
      <c r="AN10" s="62">
        <f ca="1">AVERAGE(OFFSET($AM$3,0,0,'Données projet'!$E$10+1,1))-AVERAGE(OFFSET($H$3,0,0,'Données projet'!$E$10+1,1))</f>
        <v>366.86025470473652</v>
      </c>
      <c r="AO10" s="62">
        <f t="shared" si="36"/>
        <v>513.80016421153414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8.8333333333333339</v>
      </c>
      <c r="BD10" s="13">
        <f>IF('Données projet'!$A$88&gt;35,BD9+BC10-BL9,IF(A10&lt;'Données projet'!$A$88,$BA$205^A10,IF(A10='Données projet'!$A$88,'Données projet'!$B$88,BD9+BC10-BL9)))</f>
        <v>15.18547640750557</v>
      </c>
      <c r="BE10" s="14">
        <f>BD10*VLOOKUP('Données projet'!$B$11,Paramètres!$A$1:$I$89,3,0)*VLOOKUP('Données projet'!$B$11,Paramètres!$A$1:$I$89,5,0)</f>
        <v>9.080914891688332</v>
      </c>
      <c r="BF10" s="14">
        <f t="shared" si="37"/>
        <v>3.2370945470721373</v>
      </c>
      <c r="BG10" s="22">
        <f t="shared" si="7"/>
        <v>21.45386643917448</v>
      </c>
      <c r="BH10" s="62">
        <f t="shared" si="8"/>
        <v>286.6760886613967</v>
      </c>
      <c r="BI10" s="62">
        <f ca="1">AVERAGE(OFFSET($BH$3,0,0,'Données projet'!$E$11+1,1))-AVERAGE(OFFSET($H$3,0,0,'Données projet'!$E$11+1,1))</f>
        <v>187.13674266165236</v>
      </c>
      <c r="BJ10" s="62">
        <f t="shared" si="38"/>
        <v>439.28159165815276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24.8</v>
      </c>
      <c r="BY10" s="13">
        <f>IF('Données projet'!$A$114&gt;35,BY9+BX10-CG9,IF(A10&lt;'Données projet'!$A$114,$BV$205^A10,IF(A10='Données projet'!$A$114,'Données projet'!$B$114,BY9+BX10-CG9)))</f>
        <v>8.7784650978647321</v>
      </c>
      <c r="BZ10" s="14">
        <f>BY10*VLOOKUP('Données projet'!$B$12,Paramètres!$A$1:$I$89,3,0)*VLOOKUP('Données projet'!$B$12,Paramètres!$A$1:$I$89,5,0)</f>
        <v>5.0395412433821853</v>
      </c>
      <c r="CA10" s="14">
        <f t="shared" si="39"/>
        <v>1.9239100169696222</v>
      </c>
      <c r="CB10" s="22">
        <f t="shared" si="10"/>
        <v>12.128010945112733</v>
      </c>
      <c r="CC10" s="62">
        <f t="shared" si="11"/>
        <v>277.35023316733498</v>
      </c>
      <c r="CD10" s="62">
        <f ca="1">AVERAGE(OFFSET($CC$3,0,0,'Données projet'!$E$12+1,1))-AVERAGE(OFFSET($H$3,0,0,'Données projet'!$E$12+1,1))</f>
        <v>123.96745898973995</v>
      </c>
      <c r="CE10" s="62">
        <f t="shared" si="40"/>
        <v>638.75149573151157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24.8</v>
      </c>
      <c r="N11" s="14">
        <f>IF('Données projet'!$A$36&gt;35,N10+M11-V10,IF(A11&lt;'Données projet'!$A$36,$K$205^A11,IF(A11='Données projet'!$A$36,'Données projet'!$B$36,N10+M11-V10)))</f>
        <v>11.972715715927428</v>
      </c>
      <c r="O11" s="14">
        <f>N11*VLOOKUP('Données projet'!$B$9,Paramètres!$A$1:$I$89,3,0)*VLOOKUP('Données projet'!$B$9,Paramètres!$A$1:$I$89,5,0)</f>
        <v>6.7238771460648437</v>
      </c>
      <c r="P11" s="14">
        <f t="shared" si="33"/>
        <v>2.4822006979344944</v>
      </c>
      <c r="Q11" s="22">
        <f t="shared" si="2"/>
        <v>16.033918911632181</v>
      </c>
      <c r="R11" s="62">
        <f t="shared" si="0"/>
        <v>282.47836335607661</v>
      </c>
      <c r="S11" s="62">
        <f ca="1">AVERAGE(OFFSET($R$3,0,0,'Données projet'!$E$9+1,1))-AVERAGE(OFFSET($H$3,0,0,'Données projet'!$E$9+1,1))</f>
        <v>121.59687193641378</v>
      </c>
      <c r="T11" s="62">
        <f t="shared" si="34"/>
        <v>625.69364310937681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14.2</v>
      </c>
      <c r="AI11" s="14">
        <f>IF('Données projet'!$A$62&gt;35,AI10+AH11-AQ10,IF(A11&lt;'Données projet'!$A$62,$AF$205^A11,IF(A11='Données projet'!$A$62,'Données projet'!$B$62,AI10+AH11-AQ10)))</f>
        <v>70.600000000000009</v>
      </c>
      <c r="AJ11" s="14">
        <f>AI11*VLOOKUP('Données projet'!$B$10,Paramètres!$A$1:$I$89,3,0)*VLOOKUP('Données projet'!$B$10,Paramètres!$A$1:$I$89,5,0)</f>
        <v>63.878880000000002</v>
      </c>
      <c r="AK11" s="14">
        <f t="shared" si="35"/>
        <v>18.145367520913332</v>
      </c>
      <c r="AL11" s="22">
        <f t="shared" si="4"/>
        <v>142.85889776559074</v>
      </c>
      <c r="AM11" s="62">
        <f t="shared" si="5"/>
        <v>409.30334221003523</v>
      </c>
      <c r="AN11" s="62">
        <f ca="1">AVERAGE(OFFSET($AM$3,0,0,'Données projet'!$E$10+1,1))-AVERAGE(OFFSET($H$3,0,0,'Données projet'!$E$10+1,1))</f>
        <v>366.86025470473652</v>
      </c>
      <c r="AO11" s="62">
        <f t="shared" si="36"/>
        <v>513.80016421153414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8.8333333333333339</v>
      </c>
      <c r="BD11" s="13">
        <f>IF('Données projet'!$A$88&gt;35,BD10+BC11-BL10,IF(A11&lt;'Données projet'!$A$88,$BA$205^A11,IF(A11='Données projet'!$A$88,'Données projet'!$B$88,BD10+BC11-BL10)))</f>
        <v>22.397725109111352</v>
      </c>
      <c r="BE11" s="14">
        <f>BD11*VLOOKUP('Données projet'!$B$11,Paramètres!$A$1:$I$89,3,0)*VLOOKUP('Données projet'!$B$11,Paramètres!$A$1:$I$89,5,0)</f>
        <v>13.39383961524859</v>
      </c>
      <c r="BF11" s="14">
        <f t="shared" si="37"/>
        <v>4.5633670903584358</v>
      </c>
      <c r="BG11" s="22">
        <f t="shared" si="7"/>
        <v>31.275468345598899</v>
      </c>
      <c r="BH11" s="62">
        <f t="shared" si="8"/>
        <v>297.71991279004334</v>
      </c>
      <c r="BI11" s="62">
        <f ca="1">AVERAGE(OFFSET($BH$3,0,0,'Données projet'!$E$11+1,1))-AVERAGE(OFFSET($H$3,0,0,'Données projet'!$E$11+1,1))</f>
        <v>187.13674266165236</v>
      </c>
      <c r="BJ11" s="62">
        <f t="shared" si="38"/>
        <v>439.28159165815276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24.8</v>
      </c>
      <c r="BY11" s="13">
        <f>IF('Données projet'!$A$114&gt;35,BY10+BX11-CG10,IF(A11&lt;'Données projet'!$A$114,$BV$205^A11,IF(A11='Données projet'!$A$114,'Données projet'!$B$114,BY10+BX11-CG10)))</f>
        <v>11.972715715927428</v>
      </c>
      <c r="BZ11" s="14">
        <f>BY11*VLOOKUP('Données projet'!$B$12,Paramètres!$A$1:$I$89,3,0)*VLOOKUP('Données projet'!$B$12,Paramètres!$A$1:$I$89,5,0)</f>
        <v>6.8732966381996192</v>
      </c>
      <c r="CA11" s="14">
        <f t="shared" si="39"/>
        <v>2.5308775666025896</v>
      </c>
      <c r="CB11" s="22">
        <f t="shared" si="10"/>
        <v>16.378936740030511</v>
      </c>
      <c r="CC11" s="62">
        <f t="shared" si="11"/>
        <v>282.82338118447495</v>
      </c>
      <c r="CD11" s="62">
        <f ca="1">AVERAGE(OFFSET($CC$3,0,0,'Données projet'!$E$12+1,1))-AVERAGE(OFFSET($H$3,0,0,'Données projet'!$E$12+1,1))</f>
        <v>123.96745898973995</v>
      </c>
      <c r="CE11" s="62">
        <f t="shared" si="40"/>
        <v>638.75149573151157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24.8</v>
      </c>
      <c r="N12" s="14">
        <f>IF('Données projet'!$A$36&gt;35,N11+M12-V11,IF(A12&lt;'Données projet'!$A$36,$K$205^A12,IF(A12='Données projet'!$A$36,'Données projet'!$B$36,N11+M12-V11)))</f>
        <v>16.329269412859318</v>
      </c>
      <c r="O12" s="14">
        <f>N12*VLOOKUP('Données projet'!$B$9,Paramètres!$A$1:$I$89,3,0)*VLOOKUP('Données projet'!$B$9,Paramètres!$A$1:$I$89,5,0)</f>
        <v>9.1705177022617939</v>
      </c>
      <c r="P12" s="14">
        <f t="shared" si="33"/>
        <v>3.2653013949700216</v>
      </c>
      <c r="Q12" s="22">
        <f t="shared" si="2"/>
        <v>21.659051594345414</v>
      </c>
      <c r="R12" s="62">
        <f t="shared" si="0"/>
        <v>289.32571826101207</v>
      </c>
      <c r="S12" s="62">
        <f ca="1">AVERAGE(OFFSET($R$3,0,0,'Données projet'!$E$9+1,1))-AVERAGE(OFFSET($H$3,0,0,'Données projet'!$E$9+1,1))</f>
        <v>121.59687193641378</v>
      </c>
      <c r="T12" s="62">
        <f t="shared" si="34"/>
        <v>625.69364310937681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14.2</v>
      </c>
      <c r="AI12" s="14">
        <f>IF('Données projet'!$A$62&gt;35,AI11+AH12-AQ11,IF(A12&lt;'Données projet'!$A$62,$AF$205^A12,IF(A12='Données projet'!$A$62,'Données projet'!$B$62,AI11+AH12-AQ11)))</f>
        <v>84.800000000000011</v>
      </c>
      <c r="AJ12" s="14">
        <f>AI12*VLOOKUP('Données projet'!$B$10,Paramètres!$A$1:$I$89,3,0)*VLOOKUP('Données projet'!$B$10,Paramètres!$A$1:$I$89,5,0)</f>
        <v>76.727040000000017</v>
      </c>
      <c r="AK12" s="14">
        <f t="shared" si="35"/>
        <v>21.334993267156719</v>
      </c>
      <c r="AL12" s="22">
        <f t="shared" si="4"/>
        <v>170.79137460696464</v>
      </c>
      <c r="AM12" s="62">
        <f t="shared" si="5"/>
        <v>438.45804127363135</v>
      </c>
      <c r="AN12" s="62">
        <f ca="1">AVERAGE(OFFSET($AM$3,0,0,'Données projet'!$E$10+1,1))-AVERAGE(OFFSET($H$3,0,0,'Données projet'!$E$10+1,1))</f>
        <v>366.86025470473652</v>
      </c>
      <c r="AO12" s="62">
        <f t="shared" si="36"/>
        <v>513.80016421153414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8.8333333333333339</v>
      </c>
      <c r="BD12" s="13">
        <f>IF('Données projet'!$A$88&gt;35,BD11+BC12-BL11,IF(A12&lt;'Données projet'!$A$88,$BA$205^A12,IF(A12='Données projet'!$A$88,'Données projet'!$B$88,BD11+BC12-BL11)))</f>
        <v>33.035387010668153</v>
      </c>
      <c r="BE12" s="14">
        <f>BD12*VLOOKUP('Données projet'!$B$11,Paramètres!$A$1:$I$89,3,0)*VLOOKUP('Données projet'!$B$11,Paramètres!$A$1:$I$89,5,0)</f>
        <v>19.755161432379555</v>
      </c>
      <c r="BF12" s="14">
        <f t="shared" si="37"/>
        <v>6.433027796547198</v>
      </c>
      <c r="BG12" s="22">
        <f t="shared" si="7"/>
        <v>45.61109624038076</v>
      </c>
      <c r="BH12" s="62">
        <f t="shared" si="8"/>
        <v>313.27776290704742</v>
      </c>
      <c r="BI12" s="62">
        <f ca="1">AVERAGE(OFFSET($BH$3,0,0,'Données projet'!$E$11+1,1))-AVERAGE(OFFSET($H$3,0,0,'Données projet'!$E$11+1,1))</f>
        <v>187.13674266165236</v>
      </c>
      <c r="BJ12" s="62">
        <f t="shared" si="38"/>
        <v>439.28159165815276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24.8</v>
      </c>
      <c r="BY12" s="13">
        <f>IF('Données projet'!$A$114&gt;35,BY11+BX12-CG11,IF(A12&lt;'Données projet'!$A$114,$BV$205^A12,IF(A12='Données projet'!$A$114,'Données projet'!$B$114,BY11+BX12-CG11)))</f>
        <v>16.329269412859318</v>
      </c>
      <c r="BZ12" s="14">
        <f>BY12*VLOOKUP('Données projet'!$B$12,Paramètres!$A$1:$I$89,3,0)*VLOOKUP('Données projet'!$B$12,Paramètres!$A$1:$I$89,5,0)</f>
        <v>9.374306984534277</v>
      </c>
      <c r="CA12" s="14">
        <f t="shared" si="39"/>
        <v>3.3293351563403095</v>
      </c>
      <c r="CB12" s="22">
        <f t="shared" si="10"/>
        <v>22.125510062023238</v>
      </c>
      <c r="CC12" s="62">
        <f t="shared" si="11"/>
        <v>289.79217672868992</v>
      </c>
      <c r="CD12" s="62">
        <f ca="1">AVERAGE(OFFSET($CC$3,0,0,'Données projet'!$E$12+1,1))-AVERAGE(OFFSET($H$3,0,0,'Données projet'!$E$12+1,1))</f>
        <v>123.96745898973995</v>
      </c>
      <c r="CE12" s="62">
        <f t="shared" si="40"/>
        <v>638.75149573151157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24.8</v>
      </c>
      <c r="N13" s="14">
        <f>IF('Données projet'!$A$36&gt;35,N12+M13-V12,IF(A13&lt;'Données projet'!$A$36,$K$205^A13,IF(A13='Données projet'!$A$36,'Données projet'!$B$36,N12+M13-V12)))</f>
        <v>22.271057451320104</v>
      </c>
      <c r="O13" s="14">
        <f>N13*VLOOKUP('Données projet'!$B$9,Paramètres!$A$1:$I$89,3,0)*VLOOKUP('Données projet'!$B$9,Paramètres!$A$1:$I$89,5,0)</f>
        <v>12.507425864661371</v>
      </c>
      <c r="P13" s="14">
        <f t="shared" si="33"/>
        <v>4.2954597542678377</v>
      </c>
      <c r="Q13" s="22">
        <f t="shared" si="2"/>
        <v>29.265025786301706</v>
      </c>
      <c r="R13" s="62">
        <f t="shared" si="0"/>
        <v>298.15391467519055</v>
      </c>
      <c r="S13" s="62">
        <f ca="1">AVERAGE(OFFSET($R$3,0,0,'Données projet'!$E$9+1,1))-AVERAGE(OFFSET($H$3,0,0,'Données projet'!$E$9+1,1))</f>
        <v>121.59687193641378</v>
      </c>
      <c r="T13" s="62">
        <f t="shared" si="34"/>
        <v>625.69364310937681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99</v>
      </c>
      <c r="AG13" s="13">
        <f>VLOOKUP(A13,'Données projet'!$A$61:$I$81,9,0)</f>
        <v>14.2</v>
      </c>
      <c r="AH13" s="13">
        <f t="array" ref="AH13">INDEX(AG:AG,MIN(IF(ISNUMBER(AG13:AG209),ROW(AG13:AG209),"")))</f>
        <v>14.2</v>
      </c>
      <c r="AI13" s="14">
        <f>IF('Données projet'!$A$62&gt;35,AI12+AH13-AQ12,IF(A13&lt;'Données projet'!$A$62,$AF$205^A13,IF(A13='Données projet'!$A$62,'Données projet'!$B$62,AI12+AH13-AQ12)))</f>
        <v>99.000000000000014</v>
      </c>
      <c r="AJ13" s="14">
        <f>AI13*VLOOKUP('Données projet'!$B$10,Paramètres!$A$1:$I$89,3,0)*VLOOKUP('Données projet'!$B$10,Paramètres!$A$1:$I$89,5,0)</f>
        <v>89.575200000000009</v>
      </c>
      <c r="AK13" s="14">
        <f t="shared" si="35"/>
        <v>24.462745269668691</v>
      </c>
      <c r="AL13" s="22">
        <f t="shared" si="4"/>
        <v>198.61608801133966</v>
      </c>
      <c r="AM13" s="62">
        <f t="shared" si="5"/>
        <v>467.50497690022848</v>
      </c>
      <c r="AN13" s="62">
        <f ca="1">AVERAGE(OFFSET($AM$3,0,0,'Données projet'!$E$10+1,1))-AVERAGE(OFFSET($H$3,0,0,'Données projet'!$E$10+1,1))</f>
        <v>366.86025470473652</v>
      </c>
      <c r="AO13" s="62">
        <f t="shared" si="36"/>
        <v>513.80016421153414</v>
      </c>
      <c r="AP13" s="16">
        <f>IF(ISNA(VLOOKUP(A13,'Données projet'!$A$61:$I$81,3,0)),0,VLOOKUP(A13,'Données projet'!$A$61:$I$81,3,0))</f>
        <v>2</v>
      </c>
      <c r="AQ13" s="16">
        <f>IF(ISNA(VLOOKUP(A13,'Données projet'!$A$61:$I$81,4,0)),0,VLOOKUP(A13,'Données projet'!$A$61:$I$81,4,0))</f>
        <v>28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8.8333333333333339</v>
      </c>
      <c r="BD13" s="13">
        <f>IF('Données projet'!$A$88&gt;35,BD12+BC13-BL12,IF(A13&lt;'Données projet'!$A$88,$BA$205^A13,IF(A13='Données projet'!$A$88,'Données projet'!$B$88,BD12+BC13-BL12)))</f>
        <v>48.725341061564706</v>
      </c>
      <c r="BE13" s="14">
        <f>BD13*VLOOKUP('Données projet'!$B$11,Paramètres!$A$1:$I$89,3,0)*VLOOKUP('Données projet'!$B$11,Paramètres!$A$1:$I$89,5,0)</f>
        <v>29.137753954815693</v>
      </c>
      <c r="BF13" s="14">
        <f t="shared" si="37"/>
        <v>9.0687086556296208</v>
      </c>
      <c r="BG13" s="22">
        <f t="shared" si="7"/>
        <v>66.542922379858922</v>
      </c>
      <c r="BH13" s="62">
        <f t="shared" si="8"/>
        <v>335.43181126874777</v>
      </c>
      <c r="BI13" s="62">
        <f ca="1">AVERAGE(OFFSET($BH$3,0,0,'Données projet'!$E$11+1,1))-AVERAGE(OFFSET($H$3,0,0,'Données projet'!$E$11+1,1))</f>
        <v>187.13674266165236</v>
      </c>
      <c r="BJ13" s="62">
        <f t="shared" si="38"/>
        <v>439.28159165815276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24.8</v>
      </c>
      <c r="BY13" s="13">
        <f>IF('Données projet'!$A$114&gt;35,BY12+BX13-CG12,IF(A13&lt;'Données projet'!$A$114,$BV$205^A13,IF(A13='Données projet'!$A$114,'Données projet'!$B$114,BY12+BX13-CG12)))</f>
        <v>22.271057451320104</v>
      </c>
      <c r="BZ13" s="14">
        <f>BY13*VLOOKUP('Données projet'!$B$12,Paramètres!$A$1:$I$89,3,0)*VLOOKUP('Données projet'!$B$12,Paramètres!$A$1:$I$89,5,0)</f>
        <v>12.785368661653846</v>
      </c>
      <c r="CA13" s="14">
        <f t="shared" si="39"/>
        <v>4.3796952999678984</v>
      </c>
      <c r="CB13" s="22">
        <f t="shared" si="10"/>
        <v>29.895819733157868</v>
      </c>
      <c r="CC13" s="62">
        <f t="shared" si="11"/>
        <v>298.78470862204671</v>
      </c>
      <c r="CD13" s="62">
        <f ca="1">AVERAGE(OFFSET($CC$3,0,0,'Données projet'!$E$12+1,1))-AVERAGE(OFFSET($H$3,0,0,'Données projet'!$E$12+1,1))</f>
        <v>123.96745898973995</v>
      </c>
      <c r="CE13" s="62">
        <f t="shared" si="40"/>
        <v>638.75149573151157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24.8</v>
      </c>
      <c r="N14" s="14">
        <f>IF('Données projet'!$A$36&gt;35,N13+M14-V13,IF(A14&lt;'Données projet'!$A$36,$K$205^A14,IF(A14='Données projet'!$A$36,'Données projet'!$B$36,N13+M14-V13)))</f>
        <v>30.37490456305413</v>
      </c>
      <c r="O14" s="14">
        <f>N14*VLOOKUP('Données projet'!$B$9,Paramètres!$A$1:$I$89,3,0)*VLOOKUP('Données projet'!$B$9,Paramètres!$A$1:$I$89,5,0)</f>
        <v>17.058546402611199</v>
      </c>
      <c r="P14" s="14">
        <f t="shared" si="33"/>
        <v>5.6506191217010509</v>
      </c>
      <c r="Q14" s="22">
        <f t="shared" si="2"/>
        <v>39.551796621510505</v>
      </c>
      <c r="R14" s="62">
        <f t="shared" si="0"/>
        <v>309.66290773262165</v>
      </c>
      <c r="S14" s="62">
        <f ca="1">AVERAGE(OFFSET($R$3,0,0,'Données projet'!$E$9+1,1))-AVERAGE(OFFSET($H$3,0,0,'Données projet'!$E$9+1,1))</f>
        <v>121.59687193641378</v>
      </c>
      <c r="T14" s="62">
        <f t="shared" si="34"/>
        <v>625.69364310937681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13.8</v>
      </c>
      <c r="AI14" s="14">
        <f>IF('Données projet'!$A$62&gt;35,AI13+AH14-AQ13,IF(A14&lt;'Données projet'!$A$62,$AF$205^A14,IF(A14='Données projet'!$A$62,'Données projet'!$B$62,AI13+AH14-AQ13)))</f>
        <v>84.800000000000011</v>
      </c>
      <c r="AJ14" s="14">
        <f>AI14*VLOOKUP('Données projet'!$B$10,Paramètres!$A$1:$I$89,3,0)*VLOOKUP('Données projet'!$B$10,Paramètres!$A$1:$I$89,5,0)</f>
        <v>76.727040000000017</v>
      </c>
      <c r="AK14" s="14">
        <f t="shared" si="35"/>
        <v>21.334993267156719</v>
      </c>
      <c r="AL14" s="22">
        <f t="shared" si="4"/>
        <v>170.79137460696464</v>
      </c>
      <c r="AM14" s="62">
        <f t="shared" si="5"/>
        <v>440.90248571807581</v>
      </c>
      <c r="AN14" s="62">
        <f ca="1">AVERAGE(OFFSET($AM$3,0,0,'Données projet'!$E$10+1,1))-AVERAGE(OFFSET($H$3,0,0,'Données projet'!$E$10+1,1))</f>
        <v>366.86025470473652</v>
      </c>
      <c r="AO14" s="62">
        <f t="shared" si="36"/>
        <v>513.80016421153414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8.8333333333333339</v>
      </c>
      <c r="BD14" s="13">
        <f>IF('Données projet'!$A$88&gt;35,BD13+BC14-BL13,IF(A14&lt;'Données projet'!$A$88,$BA$205^A14,IF(A14='Données projet'!$A$88,'Données projet'!$B$88,BD13+BC14-BL13)))</f>
        <v>71.867142370667978</v>
      </c>
      <c r="BE14" s="14">
        <f>BD14*VLOOKUP('Données projet'!$B$11,Paramètres!$A$1:$I$89,3,0)*VLOOKUP('Données projet'!$B$11,Paramètres!$A$1:$I$89,5,0)</f>
        <v>42.976551137659456</v>
      </c>
      <c r="BF14" s="14">
        <f t="shared" si="37"/>
        <v>12.784256384658107</v>
      </c>
      <c r="BG14" s="22">
        <f t="shared" si="7"/>
        <v>97.116739768036425</v>
      </c>
      <c r="BH14" s="62">
        <f t="shared" si="8"/>
        <v>367.22785087914758</v>
      </c>
      <c r="BI14" s="62">
        <f ca="1">AVERAGE(OFFSET($BH$3,0,0,'Données projet'!$E$11+1,1))-AVERAGE(OFFSET($H$3,0,0,'Données projet'!$E$11+1,1))</f>
        <v>187.13674266165236</v>
      </c>
      <c r="BJ14" s="62">
        <f t="shared" si="38"/>
        <v>439.28159165815276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24.8</v>
      </c>
      <c r="BY14" s="13">
        <f>IF('Données projet'!$A$114&gt;35,BY13+BX14-CG13,IF(A14&lt;'Données projet'!$A$114,$BV$205^A14,IF(A14='Données projet'!$A$114,'Données projet'!$B$114,BY13+BX14-CG13)))</f>
        <v>30.37490456305413</v>
      </c>
      <c r="BZ14" s="14">
        <f>BY14*VLOOKUP('Données projet'!$B$12,Paramètres!$A$1:$I$89,3,0)*VLOOKUP('Données projet'!$B$12,Paramètres!$A$1:$I$89,5,0)</f>
        <v>17.437625211558114</v>
      </c>
      <c r="CA14" s="14">
        <f t="shared" si="39"/>
        <v>5.7614298410394795</v>
      </c>
      <c r="CB14" s="22">
        <f t="shared" si="10"/>
        <v>40.40502088327414</v>
      </c>
      <c r="CC14" s="62">
        <f t="shared" si="11"/>
        <v>310.51613199438526</v>
      </c>
      <c r="CD14" s="62">
        <f ca="1">AVERAGE(OFFSET($CC$3,0,0,'Données projet'!$E$12+1,1))-AVERAGE(OFFSET($H$3,0,0,'Données projet'!$E$12+1,1))</f>
        <v>123.96745898973995</v>
      </c>
      <c r="CE14" s="62">
        <f t="shared" si="40"/>
        <v>638.75149573151157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24.8</v>
      </c>
      <c r="N15" s="14">
        <f>IF('Données projet'!$A$36&gt;35,N14+M15-V14,IF(A15&lt;'Données projet'!$A$36,$K$205^A15,IF(A15='Données projet'!$A$36,'Données projet'!$B$36,N14+M15-V14)))</f>
        <v>41.427526700576941</v>
      </c>
      <c r="O15" s="14">
        <f>N15*VLOOKUP('Données projet'!$B$9,Paramètres!$A$1:$I$89,3,0)*VLOOKUP('Données projet'!$B$9,Paramètres!$A$1:$I$89,5,0)</f>
        <v>23.265698995044009</v>
      </c>
      <c r="P15" s="14">
        <f t="shared" si="33"/>
        <v>7.4333129129680193</v>
      </c>
      <c r="Q15" s="22">
        <f t="shared" si="2"/>
        <v>53.467445739787614</v>
      </c>
      <c r="R15" s="62">
        <f t="shared" si="0"/>
        <v>324.80077907312091</v>
      </c>
      <c r="S15" s="62">
        <f ca="1">AVERAGE(OFFSET($R$3,0,0,'Données projet'!$E$9+1,1))-AVERAGE(OFFSET($H$3,0,0,'Données projet'!$E$9+1,1))</f>
        <v>121.59687193641378</v>
      </c>
      <c r="T15" s="62">
        <f t="shared" si="34"/>
        <v>625.69364310937681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13.8</v>
      </c>
      <c r="AI15" s="14">
        <f>IF('Données projet'!$A$62&gt;35,AI14+AH15-AQ14,IF(A15&lt;'Données projet'!$A$62,$AF$205^A15,IF(A15='Données projet'!$A$62,'Données projet'!$B$62,AI14+AH15-AQ14)))</f>
        <v>98.600000000000009</v>
      </c>
      <c r="AJ15" s="14">
        <f>AI15*VLOOKUP('Données projet'!$B$10,Paramètres!$A$1:$I$89,3,0)*VLOOKUP('Données projet'!$B$10,Paramètres!$A$1:$I$89,5,0)</f>
        <v>89.213280000000012</v>
      </c>
      <c r="AK15" s="14">
        <f t="shared" si="35"/>
        <v>24.375390230293569</v>
      </c>
      <c r="AL15" s="22">
        <f t="shared" si="4"/>
        <v>197.83360065109466</v>
      </c>
      <c r="AM15" s="62">
        <f t="shared" si="5"/>
        <v>469.16693398442794</v>
      </c>
      <c r="AN15" s="62">
        <f ca="1">AVERAGE(OFFSET($AM$3,0,0,'Données projet'!$E$10+1,1))-AVERAGE(OFFSET($H$3,0,0,'Données projet'!$E$10+1,1))</f>
        <v>366.86025470473652</v>
      </c>
      <c r="AO15" s="62">
        <f t="shared" si="36"/>
        <v>513.80016421153414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>
        <f>VLOOKUP(A15,'Données projet'!$A$87:$I$107,2,0)</f>
        <v>106</v>
      </c>
      <c r="BB15" s="13">
        <f>VLOOKUP(A15,'Données projet'!$A$87:$I$107,9,0)</f>
        <v>8.8333333333333339</v>
      </c>
      <c r="BC15" s="13">
        <f t="array" ref="BC15">INDEX(BB:BB,MIN(IF(ISNUMBER(BB15:BB211),ROW(BB15:BB211),"")))</f>
        <v>8.8333333333333339</v>
      </c>
      <c r="BD15" s="13">
        <f>IF('Données projet'!$A$88&gt;35,BD14+BC15-BL14,IF(A15&lt;'Données projet'!$A$88,$BA$205^A15,IF(A15='Données projet'!$A$88,'Données projet'!$B$88,BD14+BC15-BL14)))</f>
        <v>106</v>
      </c>
      <c r="BE15" s="14">
        <f>BD15*VLOOKUP('Données projet'!$B$11,Paramètres!$A$1:$I$89,3,0)*VLOOKUP('Données projet'!$B$11,Paramètres!$A$1:$I$89,5,0)</f>
        <v>63.388000000000012</v>
      </c>
      <c r="BF15" s="14">
        <f t="shared" si="37"/>
        <v>18.022104085041263</v>
      </c>
      <c r="BG15" s="22">
        <f t="shared" si="7"/>
        <v>141.78926461478019</v>
      </c>
      <c r="BH15" s="62">
        <f t="shared" si="8"/>
        <v>413.12259794811348</v>
      </c>
      <c r="BI15" s="62">
        <f ca="1">AVERAGE(OFFSET($BH$3,0,0,'Données projet'!$E$11+1,1))-AVERAGE(OFFSET($H$3,0,0,'Données projet'!$E$11+1,1))</f>
        <v>187.13674266165236</v>
      </c>
      <c r="BJ15" s="62">
        <f t="shared" si="38"/>
        <v>439.28159165815276</v>
      </c>
      <c r="BK15" s="16">
        <f>IF(ISNA(VLOOKUP(A15,'Données projet'!$A$87:$I$107,3,0)),0,VLOOKUP(A15,'Données projet'!$A$87:$I$107,3,0))</f>
        <v>1</v>
      </c>
      <c r="BL15" s="16">
        <f>IF(ISNA(VLOOKUP(A15,'Données projet'!$A$87:$I$107,4,0)),0,VLOOKUP(A15,'Données projet'!$A$87:$I$107,4,0))</f>
        <v>34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1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23.020547073308105</v>
      </c>
      <c r="BS15" s="24">
        <f t="shared" si="9"/>
        <v>23.020547073308105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24.8</v>
      </c>
      <c r="BY15" s="13">
        <f>IF('Données projet'!$A$114&gt;35,BY14+BX15-CG14,IF(A15&lt;'Données projet'!$A$114,$BV$205^A15,IF(A15='Données projet'!$A$114,'Données projet'!$B$114,BY14+BX15-CG14)))</f>
        <v>41.427526700576941</v>
      </c>
      <c r="BZ15" s="14">
        <f>BY15*VLOOKUP('Données projet'!$B$12,Paramètres!$A$1:$I$89,3,0)*VLOOKUP('Données projet'!$B$12,Paramètres!$A$1:$I$89,5,0)</f>
        <v>23.78271452826721</v>
      </c>
      <c r="CA15" s="14">
        <f t="shared" si="39"/>
        <v>7.5790829132482074</v>
      </c>
      <c r="CB15" s="22">
        <f t="shared" si="10"/>
        <v>54.62179721063935</v>
      </c>
      <c r="CC15" s="62">
        <f t="shared" si="11"/>
        <v>325.95513054397264</v>
      </c>
      <c r="CD15" s="62">
        <f ca="1">AVERAGE(OFFSET($CC$3,0,0,'Données projet'!$E$12+1,1))-AVERAGE(OFFSET($H$3,0,0,'Données projet'!$E$12+1,1))</f>
        <v>123.96745898973995</v>
      </c>
      <c r="CE15" s="62">
        <f t="shared" si="40"/>
        <v>638.75149573151157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24.8</v>
      </c>
      <c r="N16" s="14">
        <f>IF('Données projet'!$A$36&gt;35,N15+M16-V15,IF(A16&lt;'Données projet'!$A$36,$K$205^A16,IF(A16='Données projet'!$A$36,'Données projet'!$B$36,N15+M16-V15)))</f>
        <v>56.501904885473358</v>
      </c>
      <c r="O16" s="14">
        <f>N16*VLOOKUP('Données projet'!$B$9,Paramètres!$A$1:$I$89,3,0)*VLOOKUP('Données projet'!$B$9,Paramètres!$A$1:$I$89,5,0)</f>
        <v>31.731469783681838</v>
      </c>
      <c r="P16" s="14">
        <f t="shared" si="33"/>
        <v>9.7784224475323551</v>
      </c>
      <c r="Q16" s="22">
        <f t="shared" si="2"/>
        <v>72.296395636031377</v>
      </c>
      <c r="R16" s="62">
        <f t="shared" si="0"/>
        <v>344.85195119158692</v>
      </c>
      <c r="S16" s="62">
        <f ca="1">AVERAGE(OFFSET($R$3,0,0,'Données projet'!$E$9+1,1))-AVERAGE(OFFSET($H$3,0,0,'Données projet'!$E$9+1,1))</f>
        <v>121.59687193641378</v>
      </c>
      <c r="T16" s="62">
        <f t="shared" si="34"/>
        <v>625.69364310937681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13.8</v>
      </c>
      <c r="AI16" s="14">
        <f>IF('Données projet'!$A$62&gt;35,AI15+AH16-AQ15,IF(A16&lt;'Données projet'!$A$62,$AF$205^A16,IF(A16='Données projet'!$A$62,'Données projet'!$B$62,AI15+AH16-AQ15)))</f>
        <v>112.4</v>
      </c>
      <c r="AJ16" s="14">
        <f>AI16*VLOOKUP('Données projet'!$B$10,Paramètres!$A$1:$I$89,3,0)*VLOOKUP('Données projet'!$B$10,Paramètres!$A$1:$I$89,5,0)</f>
        <v>101.69951999999999</v>
      </c>
      <c r="AK16" s="14">
        <f t="shared" si="35"/>
        <v>27.366486780557949</v>
      </c>
      <c r="AL16" s="22">
        <f t="shared" si="4"/>
        <v>224.78996180947172</v>
      </c>
      <c r="AM16" s="62">
        <f t="shared" si="5"/>
        <v>497.34551736502726</v>
      </c>
      <c r="AN16" s="62">
        <f ca="1">AVERAGE(OFFSET($AM$3,0,0,'Données projet'!$E$10+1,1))-AVERAGE(OFFSET($H$3,0,0,'Données projet'!$E$10+1,1))</f>
        <v>366.86025470473652</v>
      </c>
      <c r="AO16" s="62">
        <f t="shared" si="36"/>
        <v>513.80016421153414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20.8</v>
      </c>
      <c r="BD16" s="13">
        <f>IF('Données projet'!$A$88&gt;35,BD15+BC16-BL15,IF(A16&lt;'Données projet'!$A$88,$BA$205^A16,IF(A16='Données projet'!$A$88,'Données projet'!$B$88,BD15+BC16-BL15)))</f>
        <v>92.8</v>
      </c>
      <c r="BE16" s="14">
        <f>BD16*VLOOKUP('Données projet'!$B$11,Paramètres!$A$1:$I$89,3,0)*VLOOKUP('Données projet'!$B$11,Paramètres!$A$1:$I$89,5,0)</f>
        <v>55.494400000000006</v>
      </c>
      <c r="BF16" s="14">
        <f t="shared" si="37"/>
        <v>16.023988434505792</v>
      </c>
      <c r="BG16" s="22">
        <f t="shared" si="7"/>
        <v>124.5611931900976</v>
      </c>
      <c r="BH16" s="62">
        <f t="shared" si="8"/>
        <v>397.11674874565313</v>
      </c>
      <c r="BI16" s="62">
        <f ca="1">AVERAGE(OFFSET($BH$3,0,0,'Données projet'!$E$11+1,1))-AVERAGE(OFFSET($H$3,0,0,'Données projet'!$E$11+1,1))</f>
        <v>187.13674266165236</v>
      </c>
      <c r="BJ16" s="62">
        <f t="shared" si="38"/>
        <v>439.28159165815276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16.277984942160291</v>
      </c>
      <c r="BS16" s="24">
        <f t="shared" si="9"/>
        <v>16.277984942160291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24.8</v>
      </c>
      <c r="BY16" s="13">
        <f>IF('Données projet'!$A$114&gt;35,BY15+BX16-CG15,IF(A16&lt;'Données projet'!$A$114,$BV$205^A16,IF(A16='Données projet'!$A$114,'Données projet'!$B$114,BY15+BX16-CG15)))</f>
        <v>56.501904885473358</v>
      </c>
      <c r="BZ16" s="14">
        <f>BY16*VLOOKUP('Données projet'!$B$12,Paramètres!$A$1:$I$89,3,0)*VLOOKUP('Données projet'!$B$12,Paramètres!$A$1:$I$89,5,0)</f>
        <v>32.436613556652546</v>
      </c>
      <c r="CA16" s="14">
        <f t="shared" si="39"/>
        <v>9.9701809083432611</v>
      </c>
      <c r="CB16" s="22">
        <f t="shared" si="10"/>
        <v>73.858500359867691</v>
      </c>
      <c r="CC16" s="62">
        <f t="shared" si="11"/>
        <v>346.41405591542321</v>
      </c>
      <c r="CD16" s="62">
        <f ca="1">AVERAGE(OFFSET($CC$3,0,0,'Données projet'!$E$12+1,1))-AVERAGE(OFFSET($H$3,0,0,'Données projet'!$E$12+1,1))</f>
        <v>123.96745898973995</v>
      </c>
      <c r="CE16" s="62">
        <f t="shared" si="40"/>
        <v>638.75149573151157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24.8</v>
      </c>
      <c r="N17" s="14">
        <f>IF('Données projet'!$A$36&gt;35,N16+M17-V16,IF(A17&lt;'Données projet'!$A$36,$K$205^A17,IF(A17='Données projet'!$A$36,'Données projet'!$B$36,N16+M17-V16)))</f>
        <v>77.061449474429267</v>
      </c>
      <c r="O17" s="14">
        <f>N17*VLOOKUP('Données projet'!$B$9,Paramètres!$A$1:$I$89,3,0)*VLOOKUP('Données projet'!$B$9,Paramètres!$A$1:$I$89,5,0)</f>
        <v>43.277710024839479</v>
      </c>
      <c r="P17" s="14">
        <f t="shared" si="33"/>
        <v>12.863382274085636</v>
      </c>
      <c r="Q17" s="22">
        <f t="shared" si="2"/>
        <v>97.779069087294559</v>
      </c>
      <c r="R17" s="62">
        <f t="shared" si="0"/>
        <v>371.55684686507232</v>
      </c>
      <c r="S17" s="62">
        <f ca="1">AVERAGE(OFFSET($R$3,0,0,'Données projet'!$E$9+1,1))-AVERAGE(OFFSET($H$3,0,0,'Données projet'!$E$9+1,1))</f>
        <v>121.59687193641378</v>
      </c>
      <c r="T17" s="62">
        <f t="shared" si="34"/>
        <v>625.69364310937681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13.8</v>
      </c>
      <c r="AI17" s="14">
        <f>IF('Données projet'!$A$62&gt;35,AI16+AH17-AQ16,IF(A17&lt;'Données projet'!$A$62,$AF$205^A17,IF(A17='Données projet'!$A$62,'Données projet'!$B$62,AI16+AH17-AQ16)))</f>
        <v>126.2</v>
      </c>
      <c r="AJ17" s="14">
        <f>AI17*VLOOKUP('Données projet'!$B$10,Paramètres!$A$1:$I$89,3,0)*VLOOKUP('Données projet'!$B$10,Paramètres!$A$1:$I$89,5,0)</f>
        <v>114.18576</v>
      </c>
      <c r="AK17" s="14">
        <f t="shared" si="35"/>
        <v>30.315028515433259</v>
      </c>
      <c r="AL17" s="22">
        <f t="shared" si="4"/>
        <v>251.67220666437959</v>
      </c>
      <c r="AM17" s="62">
        <f t="shared" si="5"/>
        <v>525.4499844421573</v>
      </c>
      <c r="AN17" s="62">
        <f ca="1">AVERAGE(OFFSET($AM$3,0,0,'Données projet'!$E$10+1,1))-AVERAGE(OFFSET($H$3,0,0,'Données projet'!$E$10+1,1))</f>
        <v>366.86025470473652</v>
      </c>
      <c r="AO17" s="62">
        <f t="shared" si="36"/>
        <v>513.80016421153414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20.8</v>
      </c>
      <c r="BD17" s="13">
        <f>IF('Données projet'!$A$88&gt;35,BD16+BC17-BL16,IF(A17&lt;'Données projet'!$A$88,$BA$205^A17,IF(A17='Données projet'!$A$88,'Données projet'!$B$88,BD16+BC17-BL16)))</f>
        <v>113.6</v>
      </c>
      <c r="BE17" s="14">
        <f>BD17*VLOOKUP('Données projet'!$B$11,Paramètres!$A$1:$I$89,3,0)*VLOOKUP('Données projet'!$B$11,Paramètres!$A$1:$I$89,5,0)</f>
        <v>67.9328</v>
      </c>
      <c r="BF17" s="14">
        <f t="shared" si="37"/>
        <v>19.159206778906245</v>
      </c>
      <c r="BG17" s="22">
        <f t="shared" si="7"/>
        <v>151.68524513992836</v>
      </c>
      <c r="BH17" s="62">
        <f t="shared" si="8"/>
        <v>425.4630229177061</v>
      </c>
      <c r="BI17" s="62">
        <f ca="1">AVERAGE(OFFSET($BH$3,0,0,'Données projet'!$E$11+1,1))-AVERAGE(OFFSET($H$3,0,0,'Données projet'!$E$11+1,1))</f>
        <v>187.13674266165236</v>
      </c>
      <c r="BJ17" s="62">
        <f t="shared" si="38"/>
        <v>439.28159165815276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11.510273536654053</v>
      </c>
      <c r="BS17" s="24">
        <f t="shared" si="9"/>
        <v>11.510273536654053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24.8</v>
      </c>
      <c r="BY17" s="13">
        <f>IF('Données projet'!$A$114&gt;35,BY16+BX17-CG16,IF(A17&lt;'Données projet'!$A$114,$BV$205^A17,IF(A17='Données projet'!$A$114,'Données projet'!$B$114,BY16+BX17-CG16)))</f>
        <v>77.061449474429267</v>
      </c>
      <c r="BZ17" s="14">
        <f>BY17*VLOOKUP('Données projet'!$B$12,Paramètres!$A$1:$I$89,3,0)*VLOOKUP('Données projet'!$B$12,Paramètres!$A$1:$I$89,5,0)</f>
        <v>44.239436914280354</v>
      </c>
      <c r="CA17" s="14">
        <f t="shared" si="39"/>
        <v>13.115637931778497</v>
      </c>
      <c r="CB17" s="22">
        <f t="shared" si="10"/>
        <v>99.893422023552503</v>
      </c>
      <c r="CC17" s="62">
        <f t="shared" si="11"/>
        <v>373.67119980133026</v>
      </c>
      <c r="CD17" s="62">
        <f ca="1">AVERAGE(OFFSET($CC$3,0,0,'Données projet'!$E$12+1,1))-AVERAGE(OFFSET($H$3,0,0,'Données projet'!$E$12+1,1))</f>
        <v>123.96745898973995</v>
      </c>
      <c r="CE17" s="62">
        <f t="shared" si="40"/>
        <v>638.75149573151157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24.8</v>
      </c>
      <c r="N18" s="14">
        <f>IF('Données projet'!$A$36&gt;35,N17+M18-V17,IF(A18&lt;'Données projet'!$A$36,$K$205^A18,IF(A18='Données projet'!$A$36,'Données projet'!$B$36,N17+M18-V17)))</f>
        <v>105.10206703892548</v>
      </c>
      <c r="O18" s="14">
        <f>N18*VLOOKUP('Données projet'!$B$9,Paramètres!$A$1:$I$89,3,0)*VLOOKUP('Données projet'!$B$9,Paramètres!$A$1:$I$89,5,0)</f>
        <v>59.025320849060556</v>
      </c>
      <c r="P18" s="14">
        <f t="shared" si="33"/>
        <v>16.921605137955254</v>
      </c>
      <c r="Q18" s="22">
        <f t="shared" si="2"/>
        <v>132.27422942738588</v>
      </c>
      <c r="R18" s="62">
        <f t="shared" si="0"/>
        <v>407.27422942738588</v>
      </c>
      <c r="S18" s="62">
        <f ca="1">AVERAGE(OFFSET($R$3,0,0,'Données projet'!$E$9+1,1))-AVERAGE(OFFSET($H$3,0,0,'Données projet'!$E$9+1,1))</f>
        <v>121.59687193641378</v>
      </c>
      <c r="T18" s="62">
        <f t="shared" si="34"/>
        <v>625.69364310937681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140</v>
      </c>
      <c r="AG18" s="13">
        <f>VLOOKUP(A18,'Données projet'!$A$61:$I$81,9,0)</f>
        <v>13.8</v>
      </c>
      <c r="AH18" s="13">
        <f t="array" ref="AH18">INDEX(AG:AG,MIN(IF(ISNUMBER(AG18:AG214),ROW(AG18:AG214),"")))</f>
        <v>13.8</v>
      </c>
      <c r="AI18" s="14">
        <f>IF('Données projet'!$A$62&gt;35,AI17+AH18-AQ17,IF(A18&lt;'Données projet'!$A$62,$AF$205^A18,IF(A18='Données projet'!$A$62,'Données projet'!$B$62,AI17+AH18-AQ17)))</f>
        <v>140</v>
      </c>
      <c r="AJ18" s="14">
        <f>AI18*VLOOKUP('Données projet'!$B$10,Paramètres!$A$1:$I$89,3,0)*VLOOKUP('Données projet'!$B$10,Paramètres!$A$1:$I$89,5,0)</f>
        <v>126.67199999999998</v>
      </c>
      <c r="AK18" s="14">
        <f t="shared" si="35"/>
        <v>33.226199426361347</v>
      </c>
      <c r="AL18" s="22">
        <f t="shared" si="4"/>
        <v>278.48936400091264</v>
      </c>
      <c r="AM18" s="62">
        <f t="shared" si="5"/>
        <v>553.4893640009127</v>
      </c>
      <c r="AN18" s="62">
        <f ca="1">AVERAGE(OFFSET($AM$3,0,0,'Données projet'!$E$10+1,1))-AVERAGE(OFFSET($H$3,0,0,'Données projet'!$E$10+1,1))</f>
        <v>366.86025470473652</v>
      </c>
      <c r="AO18" s="62">
        <f t="shared" si="36"/>
        <v>513.80016421153414</v>
      </c>
      <c r="AP18" s="16">
        <f>IF(ISNA(VLOOKUP(A18,'Données projet'!$A$61:$I$81,3,0)),0,VLOOKUP(A18,'Données projet'!$A$61:$I$81,3,0))</f>
        <v>3</v>
      </c>
      <c r="AQ18" s="16">
        <f>IF(ISNA(VLOOKUP(A18,'Données projet'!$A$61:$I$81,4,0)),0,VLOOKUP(A18,'Données projet'!$A$61:$I$81,4,0))</f>
        <v>23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20.8</v>
      </c>
      <c r="BD18" s="13">
        <f>IF('Données projet'!$A$88&gt;35,BD17+BC18-BL17,IF(A18&lt;'Données projet'!$A$88,$BA$205^A18,IF(A18='Données projet'!$A$88,'Données projet'!$B$88,BD17+BC18-BL17)))</f>
        <v>134.4</v>
      </c>
      <c r="BE18" s="14">
        <f>BD18*VLOOKUP('Données projet'!$B$11,Paramètres!$A$1:$I$89,3,0)*VLOOKUP('Données projet'!$B$11,Paramètres!$A$1:$I$89,5,0)</f>
        <v>80.371200000000016</v>
      </c>
      <c r="BF18" s="14">
        <f t="shared" si="37"/>
        <v>22.227919990990831</v>
      </c>
      <c r="BG18" s="22">
        <f t="shared" si="7"/>
        <v>178.69346731764236</v>
      </c>
      <c r="BH18" s="62">
        <f t="shared" si="8"/>
        <v>453.69346731764233</v>
      </c>
      <c r="BI18" s="62">
        <f ca="1">AVERAGE(OFFSET($BH$3,0,0,'Données projet'!$E$11+1,1))-AVERAGE(OFFSET($H$3,0,0,'Données projet'!$E$11+1,1))</f>
        <v>187.13674266165236</v>
      </c>
      <c r="BJ18" s="62">
        <f t="shared" si="38"/>
        <v>439.28159165815276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8.1389924710801456</v>
      </c>
      <c r="BS18" s="24">
        <f t="shared" si="9"/>
        <v>8.1389924710801456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24.8</v>
      </c>
      <c r="BY18" s="13">
        <f>IF('Données projet'!$A$114&gt;35,BY17+BX18-CG17,IF(A18&lt;'Données projet'!$A$114,$BV$205^A18,IF(A18='Données projet'!$A$114,'Données projet'!$B$114,BY17+BX18-CG17)))</f>
        <v>105.10206703892548</v>
      </c>
      <c r="BZ18" s="14">
        <f>BY18*VLOOKUP('Données projet'!$B$12,Paramètres!$A$1:$I$89,3,0)*VLOOKUP('Données projet'!$B$12,Paramètres!$A$1:$I$89,5,0)</f>
        <v>60.336994645706341</v>
      </c>
      <c r="CA18" s="14">
        <f t="shared" si="39"/>
        <v>17.253444038669034</v>
      </c>
      <c r="CB18" s="22">
        <f t="shared" si="10"/>
        <v>135.13668070862045</v>
      </c>
      <c r="CC18" s="62">
        <f t="shared" si="11"/>
        <v>410.13668070862047</v>
      </c>
      <c r="CD18" s="62">
        <f ca="1">AVERAGE(OFFSET($CC$3,0,0,'Données projet'!$E$12+1,1))-AVERAGE(OFFSET($H$3,0,0,'Données projet'!$E$12+1,1))</f>
        <v>123.96745898973995</v>
      </c>
      <c r="CE18" s="62">
        <f t="shared" si="40"/>
        <v>638.75149573151157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24.8</v>
      </c>
      <c r="N19" s="14">
        <f>IF('Données projet'!$A$36&gt;35,N18+M19-V18,IF(A19&lt;'Données projet'!$A$36,$K$205^A19,IF(A19='Données projet'!$A$36,'Données projet'!$B$36,N18+M19-V18)))</f>
        <v>143.34592161441563</v>
      </c>
      <c r="O19" s="14">
        <f>N19*VLOOKUP('Données projet'!$B$9,Paramètres!$A$1:$I$89,3,0)*VLOOKUP('Données projet'!$B$9,Paramètres!$A$1:$I$89,5,0)</f>
        <v>80.503069578655825</v>
      </c>
      <c r="P19" s="14">
        <f t="shared" si="33"/>
        <v>22.26014234387878</v>
      </c>
      <c r="Q19" s="22">
        <f t="shared" si="2"/>
        <v>178.97926076508111</v>
      </c>
      <c r="R19" s="62">
        <f t="shared" si="0"/>
        <v>455.20148298730334</v>
      </c>
      <c r="S19" s="62">
        <f ca="1">AVERAGE(OFFSET($R$3,0,0,'Données projet'!$E$9+1,1))-AVERAGE(OFFSET($H$3,0,0,'Données projet'!$E$9+1,1))</f>
        <v>121.59687193641378</v>
      </c>
      <c r="T19" s="62">
        <f t="shared" si="34"/>
        <v>625.69364310937681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12.6</v>
      </c>
      <c r="AI19" s="14">
        <f>IF('Données projet'!$A$62&gt;35,AI18+AH19-AQ18,IF(A19&lt;'Données projet'!$A$62,$AF$205^A19,IF(A19='Données projet'!$A$62,'Données projet'!$B$62,AI18+AH19-AQ18)))</f>
        <v>129.6</v>
      </c>
      <c r="AJ19" s="14">
        <f>AI19*VLOOKUP('Données projet'!$B$10,Paramètres!$A$1:$I$89,3,0)*VLOOKUP('Données projet'!$B$10,Paramètres!$A$1:$I$89,5,0)</f>
        <v>117.26208</v>
      </c>
      <c r="AK19" s="14">
        <f t="shared" si="35"/>
        <v>31.035569170075775</v>
      </c>
      <c r="AL19" s="22">
        <f t="shared" si="4"/>
        <v>258.28507230454863</v>
      </c>
      <c r="AM19" s="62">
        <f t="shared" si="5"/>
        <v>534.50729452677092</v>
      </c>
      <c r="AN19" s="62">
        <f ca="1">AVERAGE(OFFSET($AM$3,0,0,'Données projet'!$E$10+1,1))-AVERAGE(OFFSET($H$3,0,0,'Données projet'!$E$10+1,1))</f>
        <v>366.86025470473652</v>
      </c>
      <c r="AO19" s="62">
        <f t="shared" si="36"/>
        <v>513.80016421153414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20.8</v>
      </c>
      <c r="BD19" s="13">
        <f>IF('Données projet'!$A$88&gt;35,BD18+BC19-BL18,IF(A19&lt;'Données projet'!$A$88,$BA$205^A19,IF(A19='Données projet'!$A$88,'Données projet'!$B$88,BD18+BC19-BL18)))</f>
        <v>155.20000000000002</v>
      </c>
      <c r="BE19" s="14">
        <f>BD19*VLOOKUP('Données projet'!$B$11,Paramètres!$A$1:$I$89,3,0)*VLOOKUP('Données projet'!$B$11,Paramètres!$A$1:$I$89,5,0)</f>
        <v>92.809600000000017</v>
      </c>
      <c r="BF19" s="14">
        <f t="shared" si="37"/>
        <v>25.241615800824192</v>
      </c>
      <c r="BG19" s="22">
        <f t="shared" si="7"/>
        <v>205.60586751976882</v>
      </c>
      <c r="BH19" s="62">
        <f t="shared" si="8"/>
        <v>481.82808974199105</v>
      </c>
      <c r="BI19" s="62">
        <f ca="1">AVERAGE(OFFSET($BH$3,0,0,'Données projet'!$E$11+1,1))-AVERAGE(OFFSET($H$3,0,0,'Données projet'!$E$11+1,1))</f>
        <v>187.13674266165236</v>
      </c>
      <c r="BJ19" s="62">
        <f t="shared" si="38"/>
        <v>439.28159165815276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5.7551367683270263</v>
      </c>
      <c r="BS19" s="24">
        <f t="shared" si="9"/>
        <v>5.7551367683270263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24.8</v>
      </c>
      <c r="BY19" s="13">
        <f>IF('Données projet'!$A$114&gt;35,BY18+BX19-CG18,IF(A19&lt;'Données projet'!$A$114,$BV$205^A19,IF(A19='Données projet'!$A$114,'Données projet'!$B$114,BY18+BX19-CG18)))</f>
        <v>143.34592161441563</v>
      </c>
      <c r="BZ19" s="14">
        <f>BY19*VLOOKUP('Données projet'!$B$12,Paramètres!$A$1:$I$89,3,0)*VLOOKUP('Données projet'!$B$12,Paramètres!$A$1:$I$89,5,0)</f>
        <v>82.292026680403723</v>
      </c>
      <c r="CA19" s="14">
        <f t="shared" si="39"/>
        <v>22.696671922775341</v>
      </c>
      <c r="CB19" s="22">
        <f t="shared" si="10"/>
        <v>182.85531673387018</v>
      </c>
      <c r="CC19" s="62">
        <f t="shared" si="11"/>
        <v>459.07753895609244</v>
      </c>
      <c r="CD19" s="62">
        <f ca="1">AVERAGE(OFFSET($CC$3,0,0,'Données projet'!$E$12+1,1))-AVERAGE(OFFSET($H$3,0,0,'Données projet'!$E$12+1,1))</f>
        <v>123.96745898973995</v>
      </c>
      <c r="CE19" s="62">
        <f t="shared" si="40"/>
        <v>638.75149573151157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24.8</v>
      </c>
      <c r="N20" s="14">
        <f>IF('Données projet'!$A$36&gt;35,N19+M20-V19,IF(A20&lt;'Données projet'!$A$36,$K$205^A20,IF(A20='Données projet'!$A$36,'Données projet'!$B$36,N19+M20-V19)))</f>
        <v>195.50570052895378</v>
      </c>
      <c r="O20" s="14">
        <f>N20*VLOOKUP('Données projet'!$B$9,Paramètres!$A$1:$I$89,3,0)*VLOOKUP('Données projet'!$B$9,Paramètres!$A$1:$I$89,5,0)</f>
        <v>109.79600141706044</v>
      </c>
      <c r="P20" s="14">
        <f t="shared" si="33"/>
        <v>29.282915724011634</v>
      </c>
      <c r="Q20" s="22">
        <f t="shared" si="2"/>
        <v>242.22911402070054</v>
      </c>
      <c r="R20" s="62">
        <f t="shared" si="0"/>
        <v>519.67355846514499</v>
      </c>
      <c r="S20" s="62">
        <f ca="1">AVERAGE(OFFSET($R$3,0,0,'Données projet'!$E$9+1,1))-AVERAGE(OFFSET($H$3,0,0,'Données projet'!$E$9+1,1))</f>
        <v>121.59687193641378</v>
      </c>
      <c r="T20" s="62">
        <f t="shared" si="34"/>
        <v>625.69364310937681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12.6</v>
      </c>
      <c r="AI20" s="14">
        <f>IF('Données projet'!$A$62&gt;35,AI19+AH20-AQ19,IF(A20&lt;'Données projet'!$A$62,$AF$205^A20,IF(A20='Données projet'!$A$62,'Données projet'!$B$62,AI19+AH20-AQ19)))</f>
        <v>142.19999999999999</v>
      </c>
      <c r="AJ20" s="14">
        <f>AI20*VLOOKUP('Données projet'!$B$10,Paramètres!$A$1:$I$89,3,0)*VLOOKUP('Données projet'!$B$10,Paramètres!$A$1:$I$89,5,0)</f>
        <v>128.66255999999998</v>
      </c>
      <c r="AK20" s="14">
        <f t="shared" si="35"/>
        <v>33.687130461083775</v>
      </c>
      <c r="AL20" s="22">
        <f t="shared" si="4"/>
        <v>282.75904421972086</v>
      </c>
      <c r="AM20" s="62">
        <f t="shared" si="5"/>
        <v>560.20348866416532</v>
      </c>
      <c r="AN20" s="62">
        <f ca="1">AVERAGE(OFFSET($AM$3,0,0,'Données projet'!$E$10+1,1))-AVERAGE(OFFSET($H$3,0,0,'Données projet'!$E$10+1,1))</f>
        <v>366.86025470473652</v>
      </c>
      <c r="AO20" s="62">
        <f t="shared" si="36"/>
        <v>513.80016421153414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>
        <f>VLOOKUP(A20,'Données projet'!$A$87:$I$107,2,0)</f>
        <v>176</v>
      </c>
      <c r="BB20" s="13">
        <f>VLOOKUP(A20,'Données projet'!$A$87:$I$107,9,0)</f>
        <v>20.8</v>
      </c>
      <c r="BC20" s="13">
        <f t="array" ref="BC20">INDEX(BB:BB,MIN(IF(ISNUMBER(BB20:BB216),ROW(BB20:BB216),"")))</f>
        <v>20.8</v>
      </c>
      <c r="BD20" s="13">
        <f>IF('Données projet'!$A$88&gt;35,BD19+BC20-BL19,IF(A20&lt;'Données projet'!$A$88,$BA$205^A20,IF(A20='Données projet'!$A$88,'Données projet'!$B$88,BD19+BC20-BL19)))</f>
        <v>176.00000000000003</v>
      </c>
      <c r="BE20" s="14">
        <f>BD20*VLOOKUP('Données projet'!$B$11,Paramètres!$A$1:$I$89,3,0)*VLOOKUP('Données projet'!$B$11,Paramètres!$A$1:$I$89,5,0)</f>
        <v>105.24800000000003</v>
      </c>
      <c r="BF20" s="14">
        <f t="shared" si="37"/>
        <v>28.208515027560551</v>
      </c>
      <c r="BG20" s="22">
        <f t="shared" si="7"/>
        <v>232.43676367300134</v>
      </c>
      <c r="BH20" s="62">
        <f t="shared" si="8"/>
        <v>509.88120811744579</v>
      </c>
      <c r="BI20" s="62">
        <f ca="1">AVERAGE(OFFSET($BH$3,0,0,'Données projet'!$E$11+1,1))-AVERAGE(OFFSET($H$3,0,0,'Données projet'!$E$11+1,1))</f>
        <v>187.13674266165236</v>
      </c>
      <c r="BJ20" s="62">
        <f t="shared" si="38"/>
        <v>439.28159165815276</v>
      </c>
      <c r="BK20" s="16">
        <f>IF(ISNA(VLOOKUP(A20,'Données projet'!$A$87:$I$107,3,0)),0,VLOOKUP(A20,'Données projet'!$A$87:$I$107,3,0))</f>
        <v>2</v>
      </c>
      <c r="BL20" s="16">
        <f>IF(ISNA(VLOOKUP(A20,'Données projet'!$A$87:$I$107,4,0)),0,VLOOKUP(A20,'Données projet'!$A$87:$I$107,4,0))</f>
        <v>43</v>
      </c>
      <c r="BM20" s="17">
        <f>IF(ISNA(VLOOKUP(A20,'Données projet'!$A$87:$I$107,5,0)),0%,VLOOKUP(A20,'Données projet'!$A$87:$I$107,5,0)*VLOOKUP('Données projet'!$B$11,Paramètres!$A$1:$I$89,7,0))</f>
        <v>9.0000000000000011E-2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0.8</v>
      </c>
      <c r="BP20" s="23">
        <f>EXP(-LN(2)/35)*BP19+(1-EXP(-LN(2)/35))/(LN(2)/35)*BL20*BM20*VLOOKUP('Données projet'!$B$11,Paramètres!$A$1:$I$89,3,0)*0.475*44/12</f>
        <v>3.0700150566455107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27.360873274416509</v>
      </c>
      <c r="BS20" s="24">
        <f t="shared" si="9"/>
        <v>30.430888331062018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24.8</v>
      </c>
      <c r="BY20" s="13">
        <f>IF('Données projet'!$A$114&gt;35,BY19+BX20-CG19,IF(A20&lt;'Données projet'!$A$114,$BV$205^A20,IF(A20='Données projet'!$A$114,'Données projet'!$B$114,BY19+BX20-CG19)))</f>
        <v>195.50570052895378</v>
      </c>
      <c r="BZ20" s="14">
        <f>BY20*VLOOKUP('Données projet'!$B$12,Paramètres!$A$1:$I$89,3,0)*VLOOKUP('Données projet'!$B$12,Paramètres!$A$1:$I$89,5,0)</f>
        <v>112.23591255966178</v>
      </c>
      <c r="CA20" s="14">
        <f t="shared" si="39"/>
        <v>29.857164471948348</v>
      </c>
      <c r="CB20" s="22">
        <f t="shared" si="10"/>
        <v>247.47877583005433</v>
      </c>
      <c r="CC20" s="62">
        <f t="shared" si="11"/>
        <v>524.92322027449882</v>
      </c>
      <c r="CD20" s="62">
        <f ca="1">AVERAGE(OFFSET($CC$3,0,0,'Données projet'!$E$12+1,1))-AVERAGE(OFFSET($H$3,0,0,'Données projet'!$E$12+1,1))</f>
        <v>123.96745898973995</v>
      </c>
      <c r="CE20" s="62">
        <f t="shared" si="40"/>
        <v>638.75149573151157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24.8</v>
      </c>
      <c r="N21" s="14">
        <f>IF('Données projet'!$A$36&gt;35,N20+M21-V20,IF(A21&lt;'Données projet'!$A$36,$K$205^A21,IF(A21='Données projet'!$A$36,'Données projet'!$B$36,N20+M21-V20)))</f>
        <v>266.64503955774285</v>
      </c>
      <c r="O21" s="14">
        <f>N21*VLOOKUP('Données projet'!$B$9,Paramètres!$A$1:$I$89,3,0)*VLOOKUP('Données projet'!$B$9,Paramètres!$A$1:$I$89,5,0)</f>
        <v>149.74785421562837</v>
      </c>
      <c r="P21" s="14">
        <f t="shared" si="33"/>
        <v>38.521278977147396</v>
      </c>
      <c r="Q21" s="22">
        <f t="shared" si="2"/>
        <v>327.90207364408445</v>
      </c>
      <c r="R21" s="62">
        <f t="shared" si="0"/>
        <v>606.56874031075108</v>
      </c>
      <c r="S21" s="62">
        <f ca="1">AVERAGE(OFFSET($R$3,0,0,'Données projet'!$E$9+1,1))-AVERAGE(OFFSET($H$3,0,0,'Données projet'!$E$9+1,1))</f>
        <v>121.59687193641378</v>
      </c>
      <c r="T21" s="62">
        <f t="shared" si="34"/>
        <v>625.69364310937681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12.6</v>
      </c>
      <c r="AI21" s="14">
        <f>IF('Données projet'!$A$62&gt;35,AI20+AH21-AQ20,IF(A21&lt;'Données projet'!$A$62,$AF$205^A21,IF(A21='Données projet'!$A$62,'Données projet'!$B$62,AI20+AH21-AQ20)))</f>
        <v>154.79999999999998</v>
      </c>
      <c r="AJ21" s="14">
        <f>AI21*VLOOKUP('Données projet'!$B$10,Paramètres!$A$1:$I$89,3,0)*VLOOKUP('Données projet'!$B$10,Paramètres!$A$1:$I$89,5,0)</f>
        <v>140.06303999999997</v>
      </c>
      <c r="AK21" s="14">
        <f t="shared" si="35"/>
        <v>36.31144669536954</v>
      </c>
      <c r="AL21" s="22">
        <f t="shared" si="4"/>
        <v>307.18556432776853</v>
      </c>
      <c r="AM21" s="62">
        <f t="shared" si="5"/>
        <v>585.85223099443522</v>
      </c>
      <c r="AN21" s="62">
        <f ca="1">AVERAGE(OFFSET($AM$3,0,0,'Données projet'!$E$10+1,1))-AVERAGE(OFFSET($H$3,0,0,'Données projet'!$E$10+1,1))</f>
        <v>366.86025470473652</v>
      </c>
      <c r="AO21" s="62">
        <f t="shared" si="36"/>
        <v>513.80016421153414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19.8</v>
      </c>
      <c r="BD21" s="13">
        <f>IF('Données projet'!$A$88&gt;35,BD20+BC21-BL20,IF(A21&lt;'Données projet'!$A$88,$BA$205^A21,IF(A21='Données projet'!$A$88,'Données projet'!$B$88,BD20+BC21-BL20)))</f>
        <v>152.80000000000004</v>
      </c>
      <c r="BE21" s="14">
        <f>BD21*VLOOKUP('Données projet'!$B$11,Paramètres!$A$1:$I$89,3,0)*VLOOKUP('Données projet'!$B$11,Paramètres!$A$1:$I$89,5,0)</f>
        <v>91.374400000000037</v>
      </c>
      <c r="BF21" s="14">
        <f t="shared" si="37"/>
        <v>24.89640423383166</v>
      </c>
      <c r="BG21" s="22">
        <f t="shared" si="7"/>
        <v>202.50498404059022</v>
      </c>
      <c r="BH21" s="62">
        <f t="shared" si="8"/>
        <v>481.1716507072569</v>
      </c>
      <c r="BI21" s="62">
        <f ca="1">AVERAGE(OFFSET($BH$3,0,0,'Données projet'!$E$11+1,1))-AVERAGE(OFFSET($H$3,0,0,'Données projet'!$E$11+1,1))</f>
        <v>187.13674266165236</v>
      </c>
      <c r="BJ21" s="62">
        <f t="shared" si="38"/>
        <v>439.28159165815276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3.0098139339089802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19.347059031525692</v>
      </c>
      <c r="BS21" s="24">
        <f t="shared" si="9"/>
        <v>22.356872965434672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24.8</v>
      </c>
      <c r="BY21" s="13">
        <f>IF('Données projet'!$A$114&gt;35,BY20+BX21-CG20,IF(A21&lt;'Données projet'!$A$114,$BV$205^A21,IF(A21='Données projet'!$A$114,'Données projet'!$B$114,BY20+BX21-CG20)))</f>
        <v>266.64503955774285</v>
      </c>
      <c r="BZ21" s="14">
        <f>BY21*VLOOKUP('Données projet'!$B$12,Paramètres!$A$1:$I$89,3,0)*VLOOKUP('Données projet'!$B$12,Paramètres!$A$1:$I$89,5,0)</f>
        <v>153.07558430930902</v>
      </c>
      <c r="CA21" s="14">
        <f t="shared" si="39"/>
        <v>39.276695426453024</v>
      </c>
      <c r="CB21" s="22">
        <f t="shared" si="10"/>
        <v>335.01355387311884</v>
      </c>
      <c r="CC21" s="62">
        <f t="shared" si="11"/>
        <v>613.68022053978552</v>
      </c>
      <c r="CD21" s="62">
        <f ca="1">AVERAGE(OFFSET($CC$3,0,0,'Données projet'!$E$12+1,1))-AVERAGE(OFFSET($H$3,0,0,'Données projet'!$E$12+1,1))</f>
        <v>123.96745898973995</v>
      </c>
      <c r="CE21" s="62">
        <f t="shared" si="40"/>
        <v>638.75149573151157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24.8</v>
      </c>
      <c r="N22" s="14">
        <f>IF('Données projet'!$A$36&gt;35,N21+M22-V21,IF(A22&lt;'Données projet'!$A$36,$K$205^A22,IF(A22='Données projet'!$A$36,'Données projet'!$B$36,N21+M22-V21)))</f>
        <v>363.67009723187397</v>
      </c>
      <c r="O22" s="14">
        <f>N22*VLOOKUP('Données projet'!$B$9,Paramètres!$A$1:$I$89,3,0)*VLOOKUP('Données projet'!$B$9,Paramètres!$A$1:$I$89,5,0)</f>
        <v>204.23712660542043</v>
      </c>
      <c r="P22" s="14">
        <f t="shared" si="33"/>
        <v>50.674220696487836</v>
      </c>
      <c r="Q22" s="22">
        <f t="shared" si="2"/>
        <v>443.97059655082359</v>
      </c>
      <c r="R22" s="62">
        <f t="shared" si="0"/>
        <v>723.85948543971244</v>
      </c>
      <c r="S22" s="62">
        <f ca="1">AVERAGE(OFFSET($R$3,0,0,'Données projet'!$E$9+1,1))-AVERAGE(OFFSET($H$3,0,0,'Données projet'!$E$9+1,1))</f>
        <v>121.59687193641378</v>
      </c>
      <c r="T22" s="62">
        <f t="shared" si="34"/>
        <v>625.69364310937681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12.6</v>
      </c>
      <c r="AI22" s="14">
        <f>IF('Données projet'!$A$62&gt;35,AI21+AH22-AQ21,IF(A22&lt;'Données projet'!$A$62,$AF$205^A22,IF(A22='Données projet'!$A$62,'Données projet'!$B$62,AI21+AH22-AQ21)))</f>
        <v>167.39999999999998</v>
      </c>
      <c r="AJ22" s="14">
        <f>AI22*VLOOKUP('Données projet'!$B$10,Paramètres!$A$1:$I$89,3,0)*VLOOKUP('Données projet'!$B$10,Paramètres!$A$1:$I$89,5,0)</f>
        <v>151.46351999999999</v>
      </c>
      <c r="AK22" s="14">
        <f t="shared" si="35"/>
        <v>38.910987614777085</v>
      </c>
      <c r="AL22" s="22">
        <f t="shared" si="4"/>
        <v>331.56893409573678</v>
      </c>
      <c r="AM22" s="62">
        <f t="shared" si="5"/>
        <v>611.45782298462564</v>
      </c>
      <c r="AN22" s="62">
        <f ca="1">AVERAGE(OFFSET($AM$3,0,0,'Données projet'!$E$10+1,1))-AVERAGE(OFFSET($H$3,0,0,'Données projet'!$E$10+1,1))</f>
        <v>366.86025470473652</v>
      </c>
      <c r="AO22" s="62">
        <f t="shared" si="36"/>
        <v>513.80016421153414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19.8</v>
      </c>
      <c r="BD22" s="13">
        <f>IF('Données projet'!$A$88&gt;35,BD21+BC22-BL21,IF(A22&lt;'Données projet'!$A$88,$BA$205^A22,IF(A22='Données projet'!$A$88,'Données projet'!$B$88,BD21+BC22-BL21)))</f>
        <v>172.60000000000005</v>
      </c>
      <c r="BE22" s="14">
        <f>BD22*VLOOKUP('Données projet'!$B$11,Paramètres!$A$1:$I$89,3,0)*VLOOKUP('Données projet'!$B$11,Paramètres!$A$1:$I$89,5,0)</f>
        <v>103.21480000000004</v>
      </c>
      <c r="BF22" s="14">
        <f t="shared" si="37"/>
        <v>27.726463199430338</v>
      </c>
      <c r="BG22" s="22">
        <f t="shared" si="7"/>
        <v>228.05603340567458</v>
      </c>
      <c r="BH22" s="62">
        <f t="shared" si="8"/>
        <v>507.94492229456341</v>
      </c>
      <c r="BI22" s="62">
        <f ca="1">AVERAGE(OFFSET($BH$3,0,0,'Données projet'!$E$11+1,1))-AVERAGE(OFFSET($H$3,0,0,'Données projet'!$E$11+1,1))</f>
        <v>187.13674266165236</v>
      </c>
      <c r="BJ22" s="62">
        <f t="shared" si="38"/>
        <v>439.28159165815276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2.9507933184702542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13.680436637208256</v>
      </c>
      <c r="BS22" s="24">
        <f t="shared" si="9"/>
        <v>16.63122995567851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24.8</v>
      </c>
      <c r="BY22" s="13">
        <f>IF('Données projet'!$A$114&gt;35,BY21+BX22-CG21,IF(A22&lt;'Données projet'!$A$114,$BV$205^A22,IF(A22='Données projet'!$A$114,'Données projet'!$B$114,BY21+BX22-CG21)))</f>
        <v>363.67009723187397</v>
      </c>
      <c r="BZ22" s="14">
        <f>BY22*VLOOKUP('Données projet'!$B$12,Paramètres!$A$1:$I$89,3,0)*VLOOKUP('Données projet'!$B$12,Paramètres!$A$1:$I$89,5,0)</f>
        <v>208.77572941887419</v>
      </c>
      <c r="CA22" s="14">
        <f t="shared" si="39"/>
        <v>51.667960802899671</v>
      </c>
      <c r="CB22" s="22">
        <f t="shared" si="10"/>
        <v>453.60609380292277</v>
      </c>
      <c r="CC22" s="62">
        <f t="shared" si="11"/>
        <v>733.49498269181163</v>
      </c>
      <c r="CD22" s="62">
        <f ca="1">AVERAGE(OFFSET($CC$3,0,0,'Données projet'!$E$12+1,1))-AVERAGE(OFFSET($H$3,0,0,'Données projet'!$E$12+1,1))</f>
        <v>123.96745898973995</v>
      </c>
      <c r="CE22" s="62">
        <f t="shared" si="40"/>
        <v>638.75149573151157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496</v>
      </c>
      <c r="L23" s="13">
        <f>VLOOKUP(A23,'Données projet'!$A$35:$I$55,9,0)</f>
        <v>24.8</v>
      </c>
      <c r="M23" s="13">
        <f t="array" ref="M23">INDEX(L:L,MIN(IF(ISNUMBER(L23:L219),ROW(L23:L219),"")))</f>
        <v>24.8</v>
      </c>
      <c r="N23" s="14">
        <f>IF('Données projet'!$A$36&gt;35,N22+M23-V22,IF(A23&lt;'Données projet'!$A$36,$K$205^A23,IF(A23='Données projet'!$A$36,'Données projet'!$B$36,N22+M23-V22)))</f>
        <v>496</v>
      </c>
      <c r="O23" s="14">
        <f>N23*VLOOKUP('Données projet'!$B$9,Paramètres!$A$1:$I$89,3,0)*VLOOKUP('Données projet'!$B$9,Paramètres!$A$1:$I$89,5,0)</f>
        <v>278.55360000000002</v>
      </c>
      <c r="P23" s="14">
        <f t="shared" si="33"/>
        <v>66.661250908095155</v>
      </c>
      <c r="Q23" s="22">
        <f t="shared" si="2"/>
        <v>601.24919866493246</v>
      </c>
      <c r="R23" s="62">
        <f t="shared" si="0"/>
        <v>882.36030977604355</v>
      </c>
      <c r="S23" s="62">
        <f ca="1">AVERAGE(OFFSET($R$3,0,0,'Données projet'!$E$9+1,1))-AVERAGE(OFFSET($H$3,0,0,'Données projet'!$E$9+1,1))</f>
        <v>121.59687193641378</v>
      </c>
      <c r="T23" s="62">
        <f t="shared" si="34"/>
        <v>625.69364310937681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496</v>
      </c>
      <c r="W23" s="17">
        <f>IF(ISNA(VLOOKUP(A23,'Données projet'!$A$35:$I$55,5,0)),0%,VLOOKUP(A23,'Données projet'!$A$35:$I$55,5,0)*VLOOKUP('Données projet'!$B$9,Paramètres!$A$1:$I$89,7,0))</f>
        <v>0.46199999999999997</v>
      </c>
      <c r="X23" s="78">
        <f>IF(ISNA(VLOOKUP(A23,'Données projet'!$A$35:$I$55,6,0)),0%,VLOOKUP(A23,'Données projet'!$A$35:$I$55,6,0)*VLOOKUP('Données projet'!$B$9,Paramètres!$A$1:$I$89,7,0))</f>
        <v>0.126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142.26493230746854</v>
      </c>
      <c r="AA23" s="23">
        <f>EXP(-LN(2)/25)*AA22+(1-EXP(-LN(2)/25))/(LN(2)/25)*Calculateur!V23*Calculateur!X23*VLOOKUP('Données projet'!$B$9,Paramètres!$A$1:$I$89,3,0)*0.475*44/12</f>
        <v>38.646758471395927</v>
      </c>
      <c r="AB23" s="23">
        <f>EXP(-LN(2)/2)*AB22+(1-EXP(-LN(2)/2))/(LN(2)/2)*V23*Y23*VLOOKUP('Données projet'!$B$9,Paramètres!$A$1:$I$89,3,0)*0.475*44/12</f>
        <v>0</v>
      </c>
      <c r="AC23" s="24">
        <f t="shared" si="3"/>
        <v>180.91169077886445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180</v>
      </c>
      <c r="AG23" s="13">
        <f>VLOOKUP(A23,'Données projet'!$A$61:$I$81,9,0)</f>
        <v>12.6</v>
      </c>
      <c r="AH23" s="13">
        <f t="array" ref="AH23">INDEX(AG:AG,MIN(IF(ISNUMBER(AG23:AG219),ROW(AG23:AG219),"")))</f>
        <v>12.6</v>
      </c>
      <c r="AI23" s="14">
        <f>IF('Données projet'!$A$62&gt;35,AI22+AH23-AQ22,IF(A23&lt;'Données projet'!$A$62,$AF$205^A23,IF(A23='Données projet'!$A$62,'Données projet'!$B$62,AI22+AH23-AQ22)))</f>
        <v>179.99999999999997</v>
      </c>
      <c r="AJ23" s="14">
        <f>AI23*VLOOKUP('Données projet'!$B$10,Paramètres!$A$1:$I$89,3,0)*VLOOKUP('Données projet'!$B$10,Paramètres!$A$1:$I$89,5,0)</f>
        <v>162.86399999999998</v>
      </c>
      <c r="AK23" s="14">
        <f t="shared" si="35"/>
        <v>41.487830069509123</v>
      </c>
      <c r="AL23" s="22">
        <f t="shared" si="4"/>
        <v>355.91277070439497</v>
      </c>
      <c r="AM23" s="62">
        <f t="shared" si="5"/>
        <v>637.02388181550612</v>
      </c>
      <c r="AN23" s="62">
        <f ca="1">AVERAGE(OFFSET($AM$3,0,0,'Données projet'!$E$10+1,1))-AVERAGE(OFFSET($H$3,0,0,'Données projet'!$E$10+1,1))</f>
        <v>366.86025470473652</v>
      </c>
      <c r="AO23" s="62">
        <f t="shared" si="36"/>
        <v>513.80016421153414</v>
      </c>
      <c r="AP23" s="16">
        <f>IF(ISNA(VLOOKUP(A23,'Données projet'!$A$61:$I$81,3,0)),0,VLOOKUP(A23,'Données projet'!$A$61:$I$81,3,0))</f>
        <v>4</v>
      </c>
      <c r="AQ23" s="16">
        <f>IF(ISNA(VLOOKUP(A23,'Données projet'!$A$61:$I$81,4,0)),0,VLOOKUP(A23,'Données projet'!$A$61:$I$81,4,0))</f>
        <v>18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19.8</v>
      </c>
      <c r="BD23" s="13">
        <f>IF('Données projet'!$A$88&gt;35,BD22+BC23-BL22,IF(A23&lt;'Données projet'!$A$88,$BA$205^A23,IF(A23='Données projet'!$A$88,'Données projet'!$B$88,BD22+BC23-BL22)))</f>
        <v>192.40000000000006</v>
      </c>
      <c r="BE23" s="14">
        <f>BD23*VLOOKUP('Données projet'!$B$11,Paramètres!$A$1:$I$89,3,0)*VLOOKUP('Données projet'!$B$11,Paramètres!$A$1:$I$89,5,0)</f>
        <v>115.05520000000004</v>
      </c>
      <c r="BF23" s="14">
        <f t="shared" si="37"/>
        <v>30.5188966745568</v>
      </c>
      <c r="BG23" s="22">
        <f t="shared" si="7"/>
        <v>253.54155170818649</v>
      </c>
      <c r="BH23" s="62">
        <f t="shared" si="8"/>
        <v>534.65266281929757</v>
      </c>
      <c r="BI23" s="62">
        <f ca="1">AVERAGE(OFFSET($BH$3,0,0,'Données projet'!$E$11+1,1))-AVERAGE(OFFSET($H$3,0,0,'Données projet'!$E$11+1,1))</f>
        <v>187.13674266165236</v>
      </c>
      <c r="BJ23" s="62">
        <f t="shared" si="38"/>
        <v>439.28159165815276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2.8929300613012607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9.6735295157628478</v>
      </c>
      <c r="BS23" s="24">
        <f t="shared" si="9"/>
        <v>12.566459577064109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496</v>
      </c>
      <c r="BW23" s="13">
        <f>VLOOKUP(A23,'Données projet'!$A$113:$I$133,9,0)</f>
        <v>24.8</v>
      </c>
      <c r="BX23" s="13">
        <f t="array" ref="BX23">INDEX(BW:BW,MIN(IF(ISNUMBER(BW23:BW219),ROW(BW23:BW219),"")))</f>
        <v>24.8</v>
      </c>
      <c r="BY23" s="13">
        <f>IF('Données projet'!$A$114&gt;35,BY22+BX23-CG22,IF(A23&lt;'Données projet'!$A$114,$BV$205^A23,IF(A23='Données projet'!$A$114,'Données projet'!$B$114,BY22+BX23-CG22)))</f>
        <v>496</v>
      </c>
      <c r="BZ23" s="14">
        <f>BY23*VLOOKUP('Données projet'!$B$12,Paramètres!$A$1:$I$89,3,0)*VLOOKUP('Données projet'!$B$12,Paramètres!$A$1:$I$89,5,0)</f>
        <v>284.74367999999998</v>
      </c>
      <c r="CA23" s="14">
        <f t="shared" si="39"/>
        <v>67.968502557167781</v>
      </c>
      <c r="CB23" s="22">
        <f t="shared" si="10"/>
        <v>614.30705128706711</v>
      </c>
      <c r="CC23" s="62">
        <f t="shared" si="11"/>
        <v>895.41816239817831</v>
      </c>
      <c r="CD23" s="62">
        <f ca="1">AVERAGE(OFFSET($CC$3,0,0,'Données projet'!$E$12+1,1))-AVERAGE(OFFSET($H$3,0,0,'Données projet'!$E$12+1,1))</f>
        <v>123.96745898973995</v>
      </c>
      <c r="CE23" s="62">
        <f t="shared" si="40"/>
        <v>638.75149573151157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496</v>
      </c>
      <c r="CH23" s="17">
        <f>IF(ISNA(VLOOKUP(A23,'Données projet'!$A$113:$I$133,5,0)),0%,VLOOKUP(A23,'Données projet'!$A$113:$I$133,5,0)*VLOOKUP('Données projet'!$B$12,Paramètres!$A$1:$I$89,7,0))</f>
        <v>0.46199999999999997</v>
      </c>
      <c r="CI23" s="17">
        <f>IF(ISNA(VLOOKUP(A23,'Données projet'!$A$113:$I$133,6,0)),0%,VLOOKUP(A23,'Données projet'!$A$113:$I$133,6,0)*VLOOKUP('Données projet'!$B$12,Paramètres!$A$1:$I$89,7,0))</f>
        <v>0.126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145.4263752476345</v>
      </c>
      <c r="CL23" s="23">
        <f>EXP(-LN(2)/25)*CL22+(1-EXP(-LN(2)/25))/(LN(2)/25)*Calculateur!CG23*Calculateur!CI23*VLOOKUP('Données projet'!$B$12,Paramètres!$A$1:$I$89,3,0)*0.475*44/12</f>
        <v>39.505575326315835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184.93195057395033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121.59687193641378</v>
      </c>
      <c r="T24" s="62">
        <f t="shared" si="34"/>
        <v>625.69364310937681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139.47520375795966</v>
      </c>
      <c r="AA24" s="23">
        <f>EXP(-LN(2)/25)*AA23+(1-EXP(-LN(2)/25))/(LN(2)/25)*Calculateur!V24*Calculateur!X24*VLOOKUP('Données projet'!$B$9,Paramètres!$A$1:$I$89,3,0)*0.475*44/12</f>
        <v>37.589960828650902</v>
      </c>
      <c r="AB24" s="23">
        <f>EXP(-LN(2)/2)*AB23+(1-EXP(-LN(2)/2))/(LN(2)/2)*V24*Y24*VLOOKUP('Données projet'!$B$9,Paramètres!$A$1:$I$89,3,0)*0.475*44/12</f>
        <v>0</v>
      </c>
      <c r="AC24" s="24">
        <f t="shared" si="3"/>
        <v>177.06516458661056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10.4</v>
      </c>
      <c r="AI24" s="14">
        <f>IF('Données projet'!$A$62&gt;35,AI23+AH24-AQ23,IF(A24&lt;'Données projet'!$A$62,$AF$205^A24,IF(A24='Données projet'!$A$62,'Données projet'!$B$62,AI23+AH24-AQ23)))</f>
        <v>172.39999999999998</v>
      </c>
      <c r="AJ24" s="14">
        <f>AI24*VLOOKUP('Données projet'!$B$10,Paramètres!$A$1:$I$89,3,0)*VLOOKUP('Données projet'!$B$10,Paramètres!$A$1:$I$89,5,0)</f>
        <v>155.98751999999996</v>
      </c>
      <c r="AK24" s="14">
        <f t="shared" si="35"/>
        <v>39.936155927663087</v>
      </c>
      <c r="AL24" s="22">
        <f t="shared" si="4"/>
        <v>341.23373557401311</v>
      </c>
      <c r="AM24" s="62">
        <f t="shared" si="5"/>
        <v>623.56706890734642</v>
      </c>
      <c r="AN24" s="62">
        <f ca="1">AVERAGE(OFFSET($AM$3,0,0,'Données projet'!$E$10+1,1))-AVERAGE(OFFSET($H$3,0,0,'Données projet'!$E$10+1,1))</f>
        <v>366.86025470473652</v>
      </c>
      <c r="AO24" s="62">
        <f t="shared" si="36"/>
        <v>513.80016421153414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19.8</v>
      </c>
      <c r="BD24" s="13">
        <f>IF('Données projet'!$A$88&gt;35,BD23+BC24-BL23,IF(A24&lt;'Données projet'!$A$88,$BA$205^A24,IF(A24='Données projet'!$A$88,'Données projet'!$B$88,BD23+BC24-BL23)))</f>
        <v>212.20000000000007</v>
      </c>
      <c r="BE24" s="14">
        <f>BD24*VLOOKUP('Données projet'!$B$11,Paramètres!$A$1:$I$89,3,0)*VLOOKUP('Données projet'!$B$11,Paramètres!$A$1:$I$89,5,0)</f>
        <v>126.89560000000006</v>
      </c>
      <c r="BF24" s="14">
        <f t="shared" si="37"/>
        <v>33.278017701950326</v>
      </c>
      <c r="BG24" s="22">
        <f t="shared" si="7"/>
        <v>278.96905083089689</v>
      </c>
      <c r="BH24" s="62">
        <f t="shared" si="8"/>
        <v>561.30238416423026</v>
      </c>
      <c r="BI24" s="62">
        <f ca="1">AVERAGE(OFFSET($BH$3,0,0,'Données projet'!$E$11+1,1))-AVERAGE(OFFSET($H$3,0,0,'Données projet'!$E$11+1,1))</f>
        <v>187.13674266165236</v>
      </c>
      <c r="BJ24" s="62">
        <f t="shared" si="38"/>
        <v>439.28159165815276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2.8362014673122493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6.8402183186041299</v>
      </c>
      <c r="BS24" s="24">
        <f t="shared" si="9"/>
        <v>9.6764197859163801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>
        <f>BY24*VLOOKUP('Données projet'!$B$12,Paramètres!$A$1:$I$89,3,0)*VLOOKUP('Données projet'!$B$12,Paramètres!$A$1:$I$89,5,0)</f>
        <v>0</v>
      </c>
      <c r="CA24" s="14" t="e">
        <f t="shared" si="39"/>
        <v>#NUM!</v>
      </c>
      <c r="CB24" s="22" t="e">
        <f t="shared" si="10"/>
        <v>#NUM!</v>
      </c>
      <c r="CC24" s="62" t="e">
        <f t="shared" si="11"/>
        <v>#NUM!</v>
      </c>
      <c r="CD24" s="62">
        <f ca="1">AVERAGE(OFFSET($CC$3,0,0,'Données projet'!$E$12+1,1))-AVERAGE(OFFSET($H$3,0,0,'Données projet'!$E$12+1,1))</f>
        <v>123.96745898973995</v>
      </c>
      <c r="CE24" s="62">
        <f t="shared" si="40"/>
        <v>638.75149573151157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142.57465273035876</v>
      </c>
      <c r="CL24" s="23">
        <f>EXP(-LN(2)/25)*CL23+(1-EXP(-LN(2)/25))/(LN(2)/25)*Calculateur!CG24*Calculateur!CI24*VLOOKUP('Données projet'!$B$12,Paramètres!$A$1:$I$89,3,0)*0.475*44/12</f>
        <v>38.42529329150981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180.99994602186857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121.59687193641378</v>
      </c>
      <c r="T25" s="62">
        <f t="shared" si="34"/>
        <v>625.69364310937681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136.74018008374026</v>
      </c>
      <c r="AA25" s="23">
        <f>EXP(-LN(2)/25)*AA24+(1-EXP(-LN(2)/25))/(LN(2)/25)*Calculateur!V25*Calculateur!X25*VLOOKUP('Données projet'!$B$9,Paramètres!$A$1:$I$89,3,0)*0.475*44/12</f>
        <v>36.562061373021315</v>
      </c>
      <c r="AB25" s="23">
        <f>EXP(-LN(2)/2)*AB24+(1-EXP(-LN(2)/2))/(LN(2)/2)*V25*Y25*VLOOKUP('Données projet'!$B$9,Paramètres!$A$1:$I$89,3,0)*0.475*44/12</f>
        <v>0</v>
      </c>
      <c r="AC25" s="24">
        <f t="shared" si="3"/>
        <v>173.30224145676158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10.4</v>
      </c>
      <c r="AI25" s="14">
        <f>IF('Données projet'!$A$62&gt;35,AI24+AH25-AQ24,IF(A25&lt;'Données projet'!$A$62,$AF$205^A25,IF(A25='Données projet'!$A$62,'Données projet'!$B$62,AI24+AH25-AQ24)))</f>
        <v>182.79999999999998</v>
      </c>
      <c r="AJ25" s="14">
        <f>AI25*VLOOKUP('Données projet'!$B$10,Paramètres!$A$1:$I$89,3,0)*VLOOKUP('Données projet'!$B$10,Paramètres!$A$1:$I$89,5,0)</f>
        <v>165.39743999999999</v>
      </c>
      <c r="AK25" s="14">
        <f t="shared" si="35"/>
        <v>42.057562385840804</v>
      </c>
      <c r="AL25" s="22">
        <f t="shared" si="4"/>
        <v>361.31746248867267</v>
      </c>
      <c r="AM25" s="62">
        <f t="shared" si="5"/>
        <v>644.87301804422827</v>
      </c>
      <c r="AN25" s="62">
        <f ca="1">AVERAGE(OFFSET($AM$3,0,0,'Données projet'!$E$10+1,1))-AVERAGE(OFFSET($H$3,0,0,'Données projet'!$E$10+1,1))</f>
        <v>366.86025470473652</v>
      </c>
      <c r="AO25" s="62">
        <f t="shared" si="36"/>
        <v>513.80016421153414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>
        <f>VLOOKUP(A25,'Données projet'!$A$87:$I$107,2,0)</f>
        <v>232</v>
      </c>
      <c r="BB25" s="13">
        <f>VLOOKUP(A25,'Données projet'!$A$87:$I$107,9,0)</f>
        <v>19.8</v>
      </c>
      <c r="BC25" s="13">
        <f t="array" ref="BC25">INDEX(BB:BB,MIN(IF(ISNUMBER(BB25:BB221),ROW(BB25:BB221),"")))</f>
        <v>19.8</v>
      </c>
      <c r="BD25" s="13">
        <f>IF('Données projet'!$A$88&gt;35,BD24+BC25-BL24,IF(A25&lt;'Données projet'!$A$88,$BA$205^A25,IF(A25='Données projet'!$A$88,'Données projet'!$B$88,BD24+BC25-BL24)))</f>
        <v>232.00000000000009</v>
      </c>
      <c r="BE25" s="14">
        <f>BD25*VLOOKUP('Données projet'!$B$11,Paramètres!$A$1:$I$89,3,0)*VLOOKUP('Données projet'!$B$11,Paramètres!$A$1:$I$89,5,0)</f>
        <v>138.73600000000005</v>
      </c>
      <c r="BF25" s="14">
        <f t="shared" si="37"/>
        <v>36.007288175538072</v>
      </c>
      <c r="BG25" s="22">
        <f t="shared" si="7"/>
        <v>304.34456023906222</v>
      </c>
      <c r="BH25" s="62">
        <f t="shared" si="8"/>
        <v>587.9001157946177</v>
      </c>
      <c r="BI25" s="62">
        <f ca="1">AVERAGE(OFFSET($BH$3,0,0,'Données projet'!$E$11+1,1))-AVERAGE(OFFSET($H$3,0,0,'Données projet'!$E$11+1,1))</f>
        <v>187.13674266165236</v>
      </c>
      <c r="BJ25" s="62">
        <f t="shared" si="38"/>
        <v>439.28159165815276</v>
      </c>
      <c r="BK25" s="16">
        <f>IF(ISNA(VLOOKUP(A25,'Données projet'!$A$87:$I$107,3,0)),0,VLOOKUP(A25,'Données projet'!$A$87:$I$107,3,0))</f>
        <v>3</v>
      </c>
      <c r="BL25" s="16">
        <f>IF(ISNA(VLOOKUP(A25,'Données projet'!$A$87:$I$107,4,0)),0,VLOOKUP(A25,'Données projet'!$A$87:$I$107,4,0))</f>
        <v>56</v>
      </c>
      <c r="BM25" s="17">
        <f>IF(ISNA(VLOOKUP(A25,'Données projet'!$A$87:$I$107,5,0)),0%,VLOOKUP(A25,'Données projet'!$A$87:$I$107,5,0)*VLOOKUP('Données projet'!$B$11,Paramètres!$A$1:$I$89,7,0))</f>
        <v>0.18000000000000002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0.6</v>
      </c>
      <c r="BP25" s="23">
        <f>EXP(-LN(2)/35)*BP24+(1-EXP(-LN(2)/35))/(LN(2)/35)*BL25*BM25*VLOOKUP('Données projet'!$B$11,Paramètres!$A$1:$I$89,3,0)*0.475*44/12</f>
        <v>10.776903573527015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27.586481865621199</v>
      </c>
      <c r="BS25" s="24">
        <f t="shared" si="9"/>
        <v>38.363385439148217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>
        <f>BY25*VLOOKUP('Données projet'!$B$12,Paramètres!$A$1:$I$89,3,0)*VLOOKUP('Données projet'!$B$12,Paramètres!$A$1:$I$89,5,0)</f>
        <v>0</v>
      </c>
      <c r="CA25" s="14" t="e">
        <f t="shared" si="39"/>
        <v>#NUM!</v>
      </c>
      <c r="CB25" s="22" t="e">
        <f t="shared" si="10"/>
        <v>#NUM!</v>
      </c>
      <c r="CC25" s="62" t="e">
        <f t="shared" si="11"/>
        <v>#NUM!</v>
      </c>
      <c r="CD25" s="62">
        <f ca="1">AVERAGE(OFFSET($CC$3,0,0,'Données projet'!$E$12+1,1))-AVERAGE(OFFSET($H$3,0,0,'Données projet'!$E$12+1,1))</f>
        <v>123.96745898973995</v>
      </c>
      <c r="CE25" s="62">
        <f t="shared" si="40"/>
        <v>638.75149573151157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139.77885075226783</v>
      </c>
      <c r="CL25" s="23">
        <f>EXP(-LN(2)/25)*CL24+(1-EXP(-LN(2)/25))/(LN(2)/25)*Calculateur!CG25*Calculateur!CI25*VLOOKUP('Données projet'!$B$12,Paramètres!$A$1:$I$89,3,0)*0.475*44/12</f>
        <v>37.374551625755124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177.15340237802295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121.59687193641378</v>
      </c>
      <c r="T26" s="62">
        <f t="shared" si="34"/>
        <v>625.69364310937681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134.05878855557256</v>
      </c>
      <c r="AA26" s="23">
        <f>EXP(-LN(2)/25)*AA25+(1-EXP(-LN(2)/25))/(LN(2)/25)*Calculateur!V26*Calculateur!X26*VLOOKUP('Données projet'!$B$9,Paramètres!$A$1:$I$89,3,0)*0.475*44/12</f>
        <v>35.562269882060804</v>
      </c>
      <c r="AB26" s="23">
        <f>EXP(-LN(2)/2)*AB25+(1-EXP(-LN(2)/2))/(LN(2)/2)*V26*Y26*VLOOKUP('Données projet'!$B$9,Paramètres!$A$1:$I$89,3,0)*0.475*44/12</f>
        <v>0</v>
      </c>
      <c r="AC26" s="24">
        <f t="shared" si="3"/>
        <v>169.62105843763337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10.4</v>
      </c>
      <c r="AI26" s="14">
        <f>IF('Données projet'!$A$62&gt;35,AI25+AH26-AQ25,IF(A26&lt;'Données projet'!$A$62,$AF$205^A26,IF(A26='Données projet'!$A$62,'Données projet'!$B$62,AI25+AH26-AQ25)))</f>
        <v>193.2</v>
      </c>
      <c r="AJ26" s="14">
        <f>AI26*VLOOKUP('Données projet'!$B$10,Paramètres!$A$1:$I$89,3,0)*VLOOKUP('Données projet'!$B$10,Paramètres!$A$1:$I$89,5,0)</f>
        <v>174.80735999999999</v>
      </c>
      <c r="AK26" s="14">
        <f t="shared" si="35"/>
        <v>44.164958649772579</v>
      </c>
      <c r="AL26" s="22">
        <f t="shared" si="4"/>
        <v>381.37678831502052</v>
      </c>
      <c r="AM26" s="62">
        <f t="shared" si="5"/>
        <v>666.15456609279829</v>
      </c>
      <c r="AN26" s="62">
        <f ca="1">AVERAGE(OFFSET($AM$3,0,0,'Données projet'!$E$10+1,1))-AVERAGE(OFFSET($H$3,0,0,'Données projet'!$E$10+1,1))</f>
        <v>366.86025470473652</v>
      </c>
      <c r="AO26" s="62">
        <f t="shared" si="36"/>
        <v>513.80016421153414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16.625</v>
      </c>
      <c r="BD26" s="13">
        <f>IF('Données projet'!$A$88&gt;35,BD25+BC26-BL25,IF(A26&lt;'Données projet'!$A$88,$BA$205^A26,IF(A26='Données projet'!$A$88,'Données projet'!$B$88,BD25+BC26-BL25)))</f>
        <v>192.62500000000009</v>
      </c>
      <c r="BE26" s="14">
        <f>BD26*VLOOKUP('Données projet'!$B$11,Paramètres!$A$1:$I$89,3,0)*VLOOKUP('Données projet'!$B$11,Paramètres!$A$1:$I$89,5,0)</f>
        <v>115.18975000000006</v>
      </c>
      <c r="BF26" s="14">
        <f t="shared" si="37"/>
        <v>30.550430193620951</v>
      </c>
      <c r="BG26" s="22">
        <f t="shared" si="7"/>
        <v>253.83081383722325</v>
      </c>
      <c r="BH26" s="62">
        <f t="shared" si="8"/>
        <v>538.60859161500105</v>
      </c>
      <c r="BI26" s="62">
        <f ca="1">AVERAGE(OFFSET($BH$3,0,0,'Données projet'!$E$11+1,1))-AVERAGE(OFFSET($H$3,0,0,'Données projet'!$E$11+1,1))</f>
        <v>187.13674266165236</v>
      </c>
      <c r="BJ26" s="62">
        <f t="shared" si="38"/>
        <v>439.28159165815276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10.565575067712274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19.506588396260472</v>
      </c>
      <c r="BS26" s="24">
        <f t="shared" si="9"/>
        <v>30.072163463972746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>
        <f>BY26*VLOOKUP('Données projet'!$B$12,Paramètres!$A$1:$I$89,3,0)*VLOOKUP('Données projet'!$B$12,Paramètres!$A$1:$I$89,5,0)</f>
        <v>0</v>
      </c>
      <c r="CA26" s="14" t="e">
        <f t="shared" si="39"/>
        <v>#NUM!</v>
      </c>
      <c r="CB26" s="22" t="e">
        <f t="shared" si="10"/>
        <v>#NUM!</v>
      </c>
      <c r="CC26" s="62" t="e">
        <f t="shared" si="11"/>
        <v>#NUM!</v>
      </c>
      <c r="CD26" s="62">
        <f ca="1">AVERAGE(OFFSET($CC$3,0,0,'Données projet'!$E$12+1,1))-AVERAGE(OFFSET($H$3,0,0,'Données projet'!$E$12+1,1))</f>
        <v>123.96745898973995</v>
      </c>
      <c r="CE26" s="62">
        <f t="shared" si="40"/>
        <v>638.75149573151157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137.0378727456964</v>
      </c>
      <c r="CL26" s="23">
        <f>EXP(-LN(2)/25)*CL25+(1-EXP(-LN(2)/25))/(LN(2)/25)*Calculateur!CG26*Calculateur!CI26*VLOOKUP('Données projet'!$B$12,Paramètres!$A$1:$I$89,3,0)*0.475*44/12</f>
        <v>36.352542546106598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173.39041529180301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121.59687193641378</v>
      </c>
      <c r="T27" s="62">
        <f t="shared" si="34"/>
        <v>625.69364310937681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131.4299774797849</v>
      </c>
      <c r="AA27" s="23">
        <f>EXP(-LN(2)/25)*AA26+(1-EXP(-LN(2)/25))/(LN(2)/25)*Calculateur!V27*Calculateur!X27*VLOOKUP('Données projet'!$B$9,Paramètres!$A$1:$I$89,3,0)*0.475*44/12</f>
        <v>34.589817741997358</v>
      </c>
      <c r="AB27" s="23">
        <f>EXP(-LN(2)/2)*AB26+(1-EXP(-LN(2)/2))/(LN(2)/2)*V27*Y27*VLOOKUP('Données projet'!$B$9,Paramètres!$A$1:$I$89,3,0)*0.475*44/12</f>
        <v>0</v>
      </c>
      <c r="AC27" s="24">
        <f t="shared" si="3"/>
        <v>166.01979522178226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10.4</v>
      </c>
      <c r="AI27" s="14">
        <f>IF('Données projet'!$A$62&gt;35,AI26+AH27-AQ26,IF(A27&lt;'Données projet'!$A$62,$AF$205^A27,IF(A27='Données projet'!$A$62,'Données projet'!$B$62,AI26+AH27-AQ26)))</f>
        <v>203.6</v>
      </c>
      <c r="AJ27" s="14">
        <f>AI27*VLOOKUP('Données projet'!$B$10,Paramètres!$A$1:$I$89,3,0)*VLOOKUP('Données projet'!$B$10,Paramètres!$A$1:$I$89,5,0)</f>
        <v>184.21727999999999</v>
      </c>
      <c r="AK27" s="14">
        <f t="shared" si="35"/>
        <v>46.25918487744358</v>
      </c>
      <c r="AL27" s="22">
        <f t="shared" si="4"/>
        <v>401.41317632821421</v>
      </c>
      <c r="AM27" s="62">
        <f t="shared" si="5"/>
        <v>687.41317632821415</v>
      </c>
      <c r="AN27" s="62">
        <f ca="1">AVERAGE(OFFSET($AM$3,0,0,'Données projet'!$E$10+1,1))-AVERAGE(OFFSET($H$3,0,0,'Données projet'!$E$10+1,1))</f>
        <v>366.86025470473652</v>
      </c>
      <c r="AO27" s="62">
        <f t="shared" si="36"/>
        <v>513.80016421153414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16.625</v>
      </c>
      <c r="BD27" s="13">
        <f>IF('Données projet'!$A$88&gt;35,BD26+BC27-BL26,IF(A27&lt;'Données projet'!$A$88,$BA$205^A27,IF(A27='Données projet'!$A$88,'Données projet'!$B$88,BD26+BC27-BL26)))</f>
        <v>209.25000000000009</v>
      </c>
      <c r="BE27" s="14">
        <f>BD27*VLOOKUP('Données projet'!$B$11,Paramètres!$A$1:$I$89,3,0)*VLOOKUP('Données projet'!$B$11,Paramètres!$A$1:$I$89,5,0)</f>
        <v>125.13150000000006</v>
      </c>
      <c r="BF27" s="14">
        <f t="shared" si="37"/>
        <v>32.868905092404546</v>
      </c>
      <c r="BG27" s="22">
        <f t="shared" si="7"/>
        <v>275.18403886927132</v>
      </c>
      <c r="BH27" s="62">
        <f t="shared" si="8"/>
        <v>561.18403886927126</v>
      </c>
      <c r="BI27" s="62">
        <f ca="1">AVERAGE(OFFSET($BH$3,0,0,'Données projet'!$E$11+1,1))-AVERAGE(OFFSET($H$3,0,0,'Données projet'!$E$11+1,1))</f>
        <v>187.13674266165236</v>
      </c>
      <c r="BJ27" s="62">
        <f t="shared" si="38"/>
        <v>439.28159165815276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10.358390584998899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13.793240932810601</v>
      </c>
      <c r="BS27" s="24">
        <f t="shared" si="9"/>
        <v>24.151631517809498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>
        <f>BY27*VLOOKUP('Données projet'!$B$12,Paramètres!$A$1:$I$89,3,0)*VLOOKUP('Données projet'!$B$12,Paramètres!$A$1:$I$89,5,0)</f>
        <v>0</v>
      </c>
      <c r="CA27" s="14" t="e">
        <f t="shared" si="39"/>
        <v>#NUM!</v>
      </c>
      <c r="CB27" s="22" t="e">
        <f t="shared" si="10"/>
        <v>#NUM!</v>
      </c>
      <c r="CC27" s="62" t="e">
        <f t="shared" si="11"/>
        <v>#NUM!</v>
      </c>
      <c r="CD27" s="62">
        <f ca="1">AVERAGE(OFFSET($CC$3,0,0,'Données projet'!$E$12+1,1))-AVERAGE(OFFSET($H$3,0,0,'Données projet'!$E$12+1,1))</f>
        <v>123.96745898973995</v>
      </c>
      <c r="CE27" s="62">
        <f t="shared" si="40"/>
        <v>638.75149573151157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134.35064364600237</v>
      </c>
      <c r="CL27" s="23">
        <f>EXP(-LN(2)/25)*CL26+(1-EXP(-LN(2)/25))/(LN(2)/25)*Calculateur!CG27*Calculateur!CI27*VLOOKUP('Données projet'!$B$12,Paramètres!$A$1:$I$89,3,0)*0.475*44/12</f>
        <v>35.358480358486183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169.70912400448856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121.59687193641378</v>
      </c>
      <c r="T28" s="62">
        <f t="shared" si="34"/>
        <v>625.69364310937681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128.85271578577701</v>
      </c>
      <c r="AA28" s="23">
        <f>EXP(-LN(2)/25)*AA27+(1-EXP(-LN(2)/25))/(LN(2)/25)*Calculateur!V28*Calculateur!X28*VLOOKUP('Données projet'!$B$9,Paramètres!$A$1:$I$89,3,0)*0.475*44/12</f>
        <v>33.643957356842982</v>
      </c>
      <c r="AB28" s="23">
        <f>EXP(-LN(2)/2)*AB27+(1-EXP(-LN(2)/2))/(LN(2)/2)*V28*Y28*VLOOKUP('Données projet'!$B$9,Paramètres!$A$1:$I$89,3,0)*0.475*44/12</f>
        <v>0</v>
      </c>
      <c r="AC28" s="24">
        <f t="shared" si="3"/>
        <v>162.49667314261998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214</v>
      </c>
      <c r="AG28" s="13">
        <f>VLOOKUP(A28,'Données projet'!$A$61:$I$81,9,0)</f>
        <v>10.4</v>
      </c>
      <c r="AH28" s="13">
        <f t="array" ref="AH28">INDEX(AG:AG,MIN(IF(ISNUMBER(AG28:AG224),ROW(AG28:AG224),"")))</f>
        <v>10.4</v>
      </c>
      <c r="AI28" s="14">
        <f>IF('Données projet'!$A$62&gt;35,AI27+AH28-AQ27,IF(A28&lt;'Données projet'!$A$62,$AF$205^A28,IF(A28='Données projet'!$A$62,'Données projet'!$B$62,AI27+AH28-AQ27)))</f>
        <v>214</v>
      </c>
      <c r="AJ28" s="14">
        <f>AI28*VLOOKUP('Données projet'!$B$10,Paramètres!$A$1:$I$89,3,0)*VLOOKUP('Données projet'!$B$10,Paramètres!$A$1:$I$89,5,0)</f>
        <v>193.62719999999999</v>
      </c>
      <c r="AK28" s="14">
        <f t="shared" si="35"/>
        <v>48.340990547231193</v>
      </c>
      <c r="AL28" s="22">
        <f t="shared" si="4"/>
        <v>421.42793186976093</v>
      </c>
      <c r="AM28" s="62">
        <f t="shared" si="5"/>
        <v>708.65015409198315</v>
      </c>
      <c r="AN28" s="62">
        <f ca="1">AVERAGE(OFFSET($AM$3,0,0,'Données projet'!$E$10+1,1))-AVERAGE(OFFSET($H$3,0,0,'Données projet'!$E$10+1,1))</f>
        <v>366.86025470473652</v>
      </c>
      <c r="AO28" s="62">
        <f t="shared" si="36"/>
        <v>513.80016421153414</v>
      </c>
      <c r="AP28" s="16">
        <f>IF(ISNA(VLOOKUP(A28,'Données projet'!$A$61:$I$81,3,0)),0,VLOOKUP(A28,'Données projet'!$A$61:$I$81,3,0))</f>
        <v>5</v>
      </c>
      <c r="AQ28" s="16">
        <f>IF(ISNA(VLOOKUP(A28,'Données projet'!$A$61:$I$81,4,0)),0,VLOOKUP(A28,'Données projet'!$A$61:$I$81,4,0))</f>
        <v>14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16.625</v>
      </c>
      <c r="BD28" s="13">
        <f>IF('Données projet'!$A$88&gt;35,BD27+BC28-BL27,IF(A28&lt;'Données projet'!$A$88,$BA$205^A28,IF(A28='Données projet'!$A$88,'Données projet'!$B$88,BD27+BC28-BL27)))</f>
        <v>225.87500000000009</v>
      </c>
      <c r="BE28" s="14">
        <f>BD28*VLOOKUP('Données projet'!$B$11,Paramètres!$A$1:$I$89,3,0)*VLOOKUP('Données projet'!$B$11,Paramètres!$A$1:$I$89,5,0)</f>
        <v>135.07325000000006</v>
      </c>
      <c r="BF28" s="14">
        <f t="shared" si="37"/>
        <v>35.166013795582487</v>
      </c>
      <c r="BG28" s="22">
        <f t="shared" si="7"/>
        <v>296.50005111063956</v>
      </c>
      <c r="BH28" s="62">
        <f t="shared" si="8"/>
        <v>583.72227333286173</v>
      </c>
      <c r="BI28" s="62">
        <f ca="1">AVERAGE(OFFSET($BH$3,0,0,'Données projet'!$E$11+1,1))-AVERAGE(OFFSET($H$3,0,0,'Données projet'!$E$11+1,1))</f>
        <v>187.13674266165236</v>
      </c>
      <c r="BJ28" s="62">
        <f t="shared" si="38"/>
        <v>439.28159165815276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10.155268863621478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9.7532941981302379</v>
      </c>
      <c r="BS28" s="24">
        <f t="shared" si="9"/>
        <v>19.908563061751714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>
        <f>BY28*VLOOKUP('Données projet'!$B$12,Paramètres!$A$1:$I$89,3,0)*VLOOKUP('Données projet'!$B$12,Paramètres!$A$1:$I$89,5,0)</f>
        <v>0</v>
      </c>
      <c r="CA28" s="14" t="e">
        <f t="shared" si="39"/>
        <v>#NUM!</v>
      </c>
      <c r="CB28" s="22" t="e">
        <f t="shared" si="10"/>
        <v>#NUM!</v>
      </c>
      <c r="CC28" s="62" t="e">
        <f t="shared" si="11"/>
        <v>#NUM!</v>
      </c>
      <c r="CD28" s="62">
        <f ca="1">AVERAGE(OFFSET($CC$3,0,0,'Données projet'!$E$12+1,1))-AVERAGE(OFFSET($H$3,0,0,'Données projet'!$E$12+1,1))</f>
        <v>123.96745898973995</v>
      </c>
      <c r="CE28" s="62">
        <f t="shared" si="40"/>
        <v>638.75149573151157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131.7161094699054</v>
      </c>
      <c r="CL28" s="23">
        <f>EXP(-LN(2)/25)*CL27+(1-EXP(-LN(2)/25))/(LN(2)/25)*Calculateur!CG28*Calculateur!CI28*VLOOKUP('Données projet'!$B$12,Paramètres!$A$1:$I$89,3,0)*0.475*44/12</f>
        <v>34.391600853661707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166.10771032356712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121.59687193641378</v>
      </c>
      <c r="T29" s="62">
        <f t="shared" si="34"/>
        <v>625.69364310937681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126.32599262161419</v>
      </c>
      <c r="AA29" s="23">
        <f>EXP(-LN(2)/25)*AA28+(1-EXP(-LN(2)/25))/(LN(2)/25)*Calculateur!V29*Calculateur!X29*VLOOKUP('Données projet'!$B$9,Paramètres!$A$1:$I$89,3,0)*0.475*44/12</f>
        <v>32.723961573661285</v>
      </c>
      <c r="AB29" s="23">
        <f>EXP(-LN(2)/2)*AB28+(1-EXP(-LN(2)/2))/(LN(2)/2)*V29*Y29*VLOOKUP('Données projet'!$B$9,Paramètres!$A$1:$I$89,3,0)*0.475*44/12</f>
        <v>0</v>
      </c>
      <c r="AC29" s="24">
        <f t="shared" si="3"/>
        <v>159.04995419527546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8.6</v>
      </c>
      <c r="AI29" s="14">
        <f>IF('Données projet'!$A$62&gt;35,AI28+AH29-AQ28,IF(A29&lt;'Données projet'!$A$62,$AF$205^A29,IF(A29='Données projet'!$A$62,'Données projet'!$B$62,AI28+AH29-AQ28)))</f>
        <v>208.6</v>
      </c>
      <c r="AJ29" s="14">
        <f>AI29*VLOOKUP('Données projet'!$B$10,Paramètres!$A$1:$I$89,3,0)*VLOOKUP('Données projet'!$B$10,Paramètres!$A$1:$I$89,5,0)</f>
        <v>188.74127999999999</v>
      </c>
      <c r="AK29" s="14">
        <f t="shared" si="35"/>
        <v>47.261560168122358</v>
      </c>
      <c r="AL29" s="22">
        <f t="shared" si="4"/>
        <v>411.03827995947972</v>
      </c>
      <c r="AM29" s="62">
        <f t="shared" si="5"/>
        <v>699.48272440392418</v>
      </c>
      <c r="AN29" s="62">
        <f ca="1">AVERAGE(OFFSET($AM$3,0,0,'Données projet'!$E$10+1,1))-AVERAGE(OFFSET($H$3,0,0,'Données projet'!$E$10+1,1))</f>
        <v>366.86025470473652</v>
      </c>
      <c r="AO29" s="62">
        <f t="shared" si="36"/>
        <v>513.80016421153414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16.625</v>
      </c>
      <c r="BD29" s="13">
        <f>IF('Données projet'!$A$88&gt;35,BD28+BC29-BL28,IF(A29&lt;'Données projet'!$A$88,$BA$205^A29,IF(A29='Données projet'!$A$88,'Données projet'!$B$88,BD28+BC29-BL28)))</f>
        <v>242.50000000000009</v>
      </c>
      <c r="BE29" s="14">
        <f>BD29*VLOOKUP('Données projet'!$B$11,Paramètres!$A$1:$I$89,3,0)*VLOOKUP('Données projet'!$B$11,Paramètres!$A$1:$I$89,5,0)</f>
        <v>145.01500000000004</v>
      </c>
      <c r="BF29" s="14">
        <f t="shared" si="37"/>
        <v>37.443507744276459</v>
      </c>
      <c r="BG29" s="22">
        <f t="shared" si="7"/>
        <v>317.78190098794829</v>
      </c>
      <c r="BH29" s="62">
        <f t="shared" si="8"/>
        <v>606.22634543239269</v>
      </c>
      <c r="BI29" s="62">
        <f ca="1">AVERAGE(OFFSET($BH$3,0,0,'Données projet'!$E$11+1,1))-AVERAGE(OFFSET($H$3,0,0,'Données projet'!$E$11+1,1))</f>
        <v>187.13674266165236</v>
      </c>
      <c r="BJ29" s="62">
        <f t="shared" si="38"/>
        <v>439.28159165815276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9.956130235308251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6.8966204664053024</v>
      </c>
      <c r="BS29" s="24">
        <f t="shared" si="9"/>
        <v>16.852750701713553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>
        <f>BY29*VLOOKUP('Données projet'!$B$12,Paramètres!$A$1:$I$89,3,0)*VLOOKUP('Données projet'!$B$12,Paramètres!$A$1:$I$89,5,0)</f>
        <v>0</v>
      </c>
      <c r="CA29" s="14" t="e">
        <f t="shared" si="39"/>
        <v>#NUM!</v>
      </c>
      <c r="CB29" s="22" t="e">
        <f t="shared" si="10"/>
        <v>#NUM!</v>
      </c>
      <c r="CC29" s="62" t="e">
        <f t="shared" si="11"/>
        <v>#NUM!</v>
      </c>
      <c r="CD29" s="62">
        <f ca="1">AVERAGE(OFFSET($CC$3,0,0,'Données projet'!$E$12+1,1))-AVERAGE(OFFSET($H$3,0,0,'Données projet'!$E$12+1,1))</f>
        <v>123.96745898973995</v>
      </c>
      <c r="CE29" s="62">
        <f t="shared" si="40"/>
        <v>638.75149573151157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129.13323690209452</v>
      </c>
      <c r="CL29" s="23">
        <f>EXP(-LN(2)/25)*CL28+(1-EXP(-LN(2)/25))/(LN(2)/25)*Calculateur!CG29*Calculateur!CI29*VLOOKUP('Données projet'!$B$12,Paramètres!$A$1:$I$89,3,0)*0.475*44/12</f>
        <v>33.451160719742639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162.58439762183716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121.59687193641378</v>
      </c>
      <c r="T30" s="62">
        <f t="shared" si="34"/>
        <v>625.69364310937681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123.84881695755166</v>
      </c>
      <c r="AA30" s="23">
        <f>EXP(-LN(2)/25)*AA29+(1-EXP(-LN(2)/25))/(LN(2)/25)*Calculateur!V30*Calculateur!X30*VLOOKUP('Données projet'!$B$9,Paramètres!$A$1:$I$89,3,0)*0.475*44/12</f>
        <v>31.82912312355117</v>
      </c>
      <c r="AB30" s="23">
        <f>EXP(-LN(2)/2)*AB29+(1-EXP(-LN(2)/2))/(LN(2)/2)*V30*Y30*VLOOKUP('Données projet'!$B$9,Paramètres!$A$1:$I$89,3,0)*0.475*44/12</f>
        <v>0</v>
      </c>
      <c r="AC30" s="24">
        <f t="shared" si="3"/>
        <v>155.67794008110283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8.6</v>
      </c>
      <c r="AI30" s="14">
        <f>IF('Données projet'!$A$62&gt;35,AI29+AH30-AQ29,IF(A30&lt;'Données projet'!$A$62,$AF$205^A30,IF(A30='Données projet'!$A$62,'Données projet'!$B$62,AI29+AH30-AQ29)))</f>
        <v>217.2</v>
      </c>
      <c r="AJ30" s="14">
        <f>AI30*VLOOKUP('Données projet'!$B$10,Paramètres!$A$1:$I$89,3,0)*VLOOKUP('Données projet'!$B$10,Paramètres!$A$1:$I$89,5,0)</f>
        <v>196.52255999999997</v>
      </c>
      <c r="AK30" s="14">
        <f t="shared" si="35"/>
        <v>48.979153257338155</v>
      </c>
      <c r="AL30" s="22">
        <f t="shared" si="4"/>
        <v>427.58215058986383</v>
      </c>
      <c r="AM30" s="62">
        <f t="shared" si="5"/>
        <v>717.24881725653051</v>
      </c>
      <c r="AN30" s="62">
        <f ca="1">AVERAGE(OFFSET($AM$3,0,0,'Données projet'!$E$10+1,1))-AVERAGE(OFFSET($H$3,0,0,'Données projet'!$E$10+1,1))</f>
        <v>366.86025470473652</v>
      </c>
      <c r="AO30" s="62">
        <f t="shared" si="36"/>
        <v>513.80016421153414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16.625</v>
      </c>
      <c r="BD30" s="13">
        <f>IF('Données projet'!$A$88&gt;35,BD29+BC30-BL29,IF(A30&lt;'Données projet'!$A$88,$BA$205^A30,IF(A30='Données projet'!$A$88,'Données projet'!$B$88,BD29+BC30-BL29)))</f>
        <v>259.12500000000011</v>
      </c>
      <c r="BE30" s="14">
        <f>BD30*VLOOKUP('Données projet'!$B$11,Paramètres!$A$1:$I$89,3,0)*VLOOKUP('Données projet'!$B$11,Paramètres!$A$1:$I$89,5,0)</f>
        <v>154.95675000000008</v>
      </c>
      <c r="BF30" s="14">
        <f t="shared" si="37"/>
        <v>39.702884639661342</v>
      </c>
      <c r="BG30" s="22">
        <f t="shared" si="7"/>
        <v>339.03219699741027</v>
      </c>
      <c r="BH30" s="62">
        <f t="shared" si="8"/>
        <v>628.69886366407695</v>
      </c>
      <c r="BI30" s="62">
        <f ca="1">AVERAGE(OFFSET($BH$3,0,0,'Données projet'!$E$11+1,1))-AVERAGE(OFFSET($H$3,0,0,'Données projet'!$E$11+1,1))</f>
        <v>187.13674266165236</v>
      </c>
      <c r="BJ30" s="62">
        <f t="shared" si="38"/>
        <v>439.28159165815276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9.7608965940336763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4.8766470990651198</v>
      </c>
      <c r="BS30" s="24">
        <f t="shared" si="9"/>
        <v>14.637543693098795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>
        <f>BY30*VLOOKUP('Données projet'!$B$12,Paramètres!$A$1:$I$89,3,0)*VLOOKUP('Données projet'!$B$12,Paramètres!$A$1:$I$89,5,0)</f>
        <v>0</v>
      </c>
      <c r="CA30" s="14" t="e">
        <f t="shared" si="39"/>
        <v>#NUM!</v>
      </c>
      <c r="CB30" s="22" t="e">
        <f t="shared" si="10"/>
        <v>#NUM!</v>
      </c>
      <c r="CC30" s="62" t="e">
        <f t="shared" si="11"/>
        <v>#NUM!</v>
      </c>
      <c r="CD30" s="62">
        <f ca="1">AVERAGE(OFFSET($CC$3,0,0,'Données projet'!$E$12+1,1))-AVERAGE(OFFSET($H$3,0,0,'Données projet'!$E$12+1,1))</f>
        <v>123.96745898973995</v>
      </c>
      <c r="CE30" s="62">
        <f t="shared" si="40"/>
        <v>638.75149573151157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126.60101288994171</v>
      </c>
      <c r="CL30" s="23">
        <f>EXP(-LN(2)/25)*CL29+(1-EXP(-LN(2)/25))/(LN(2)/25)*Calculateur!CG30*Calculateur!CI30*VLOOKUP('Données projet'!$B$12,Paramètres!$A$1:$I$89,3,0)*0.475*44/12</f>
        <v>32.536436970741185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159.13744986068289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121.59687193641378</v>
      </c>
      <c r="T31" s="62">
        <f t="shared" si="34"/>
        <v>625.69364310937681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121.42021719733343</v>
      </c>
      <c r="AA31" s="23">
        <f>EXP(-LN(2)/25)*AA30+(1-EXP(-LN(2)/25))/(LN(2)/25)*Calculateur!V31*Calculateur!X31*VLOOKUP('Données projet'!$B$9,Paramètres!$A$1:$I$89,3,0)*0.475*44/12</f>
        <v>30.958754077916826</v>
      </c>
      <c r="AB31" s="23">
        <f>EXP(-LN(2)/2)*AB30+(1-EXP(-LN(2)/2))/(LN(2)/2)*V31*Y31*VLOOKUP('Données projet'!$B$9,Paramètres!$A$1:$I$89,3,0)*0.475*44/12</f>
        <v>0</v>
      </c>
      <c r="AC31" s="24">
        <f t="shared" si="3"/>
        <v>152.37897127525025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8.6</v>
      </c>
      <c r="AI31" s="14">
        <f>IF('Données projet'!$A$62&gt;35,AI30+AH31-AQ30,IF(A31&lt;'Données projet'!$A$62,$AF$205^A31,IF(A31='Données projet'!$A$62,'Données projet'!$B$62,AI30+AH31-AQ30)))</f>
        <v>225.79999999999998</v>
      </c>
      <c r="AJ31" s="14">
        <f>AI31*VLOOKUP('Données projet'!$B$10,Paramètres!$A$1:$I$89,3,0)*VLOOKUP('Données projet'!$B$10,Paramètres!$A$1:$I$89,5,0)</f>
        <v>204.30383999999995</v>
      </c>
      <c r="AK31" s="14">
        <f t="shared" si="35"/>
        <v>50.688846269088558</v>
      </c>
      <c r="AL31" s="22">
        <f t="shared" si="4"/>
        <v>444.11226191866245</v>
      </c>
      <c r="AM31" s="62">
        <f t="shared" si="5"/>
        <v>735.00115080755131</v>
      </c>
      <c r="AN31" s="62">
        <f ca="1">AVERAGE(OFFSET($AM$3,0,0,'Données projet'!$E$10+1,1))-AVERAGE(OFFSET($H$3,0,0,'Données projet'!$E$10+1,1))</f>
        <v>366.86025470473652</v>
      </c>
      <c r="AO31" s="62">
        <f t="shared" si="36"/>
        <v>513.80016421153414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16.625</v>
      </c>
      <c r="BD31" s="13">
        <f>IF('Données projet'!$A$88&gt;35,BD30+BC31-BL30,IF(A31&lt;'Données projet'!$A$88,$BA$205^A31,IF(A31='Données projet'!$A$88,'Données projet'!$B$88,BD30+BC31-BL30)))</f>
        <v>275.75000000000011</v>
      </c>
      <c r="BE31" s="14">
        <f>BD31*VLOOKUP('Données projet'!$B$11,Paramètres!$A$1:$I$89,3,0)*VLOOKUP('Données projet'!$B$11,Paramètres!$A$1:$I$89,5,0)</f>
        <v>164.89850000000007</v>
      </c>
      <c r="BF31" s="14">
        <f t="shared" si="37"/>
        <v>41.94543913753872</v>
      </c>
      <c r="BG31" s="22">
        <f t="shared" si="7"/>
        <v>360.25319399788003</v>
      </c>
      <c r="BH31" s="62">
        <f t="shared" si="8"/>
        <v>651.14208288676889</v>
      </c>
      <c r="BI31" s="62">
        <f ca="1">AVERAGE(OFFSET($BH$3,0,0,'Données projet'!$E$11+1,1))-AVERAGE(OFFSET($H$3,0,0,'Données projet'!$E$11+1,1))</f>
        <v>187.13674266165236</v>
      </c>
      <c r="BJ31" s="62">
        <f t="shared" si="38"/>
        <v>439.28159165815276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9.5694913653837332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3.4483102332026516</v>
      </c>
      <c r="BS31" s="24">
        <f t="shared" si="9"/>
        <v>13.017801598586384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>
        <f>BY31*VLOOKUP('Données projet'!$B$12,Paramètres!$A$1:$I$89,3,0)*VLOOKUP('Données projet'!$B$12,Paramètres!$A$1:$I$89,5,0)</f>
        <v>0</v>
      </c>
      <c r="CA31" s="14" t="e">
        <f t="shared" si="39"/>
        <v>#NUM!</v>
      </c>
      <c r="CB31" s="22" t="e">
        <f t="shared" si="10"/>
        <v>#NUM!</v>
      </c>
      <c r="CC31" s="62" t="e">
        <f t="shared" si="11"/>
        <v>#NUM!</v>
      </c>
      <c r="CD31" s="62">
        <f ca="1">AVERAGE(OFFSET($CC$3,0,0,'Données projet'!$E$12+1,1))-AVERAGE(OFFSET($H$3,0,0,'Données projet'!$E$12+1,1))</f>
        <v>123.96745898973995</v>
      </c>
      <c r="CE31" s="62">
        <f t="shared" si="40"/>
        <v>638.75149573151157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124.11844424616308</v>
      </c>
      <c r="CL31" s="23">
        <f>EXP(-LN(2)/25)*CL30+(1-EXP(-LN(2)/25))/(LN(2)/25)*Calculateur!CG31*Calculateur!CI31*VLOOKUP('Données projet'!$B$12,Paramètres!$A$1:$I$89,3,0)*0.475*44/12</f>
        <v>31.646726390759412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155.76517063692251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121.59687193641378</v>
      </c>
      <c r="T32" s="62">
        <f t="shared" si="34"/>
        <v>625.69364310937681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119.03924079711349</v>
      </c>
      <c r="AA32" s="23">
        <f>EXP(-LN(2)/25)*AA31+(1-EXP(-LN(2)/25))/(LN(2)/25)*Calculateur!V32*Calculateur!X32*VLOOKUP('Données projet'!$B$9,Paramètres!$A$1:$I$89,3,0)*0.475*44/12</f>
        <v>30.11218531960607</v>
      </c>
      <c r="AB32" s="23">
        <f>EXP(-LN(2)/2)*AB31+(1-EXP(-LN(2)/2))/(LN(2)/2)*V32*Y32*VLOOKUP('Données projet'!$B$9,Paramètres!$A$1:$I$89,3,0)*0.475*44/12</f>
        <v>0</v>
      </c>
      <c r="AC32" s="24">
        <f t="shared" si="3"/>
        <v>149.15142611671956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8.6</v>
      </c>
      <c r="AI32" s="14">
        <f>IF('Données projet'!$A$62&gt;35,AI31+AH32-AQ31,IF(A32&lt;'Données projet'!$A$62,$AF$205^A32,IF(A32='Données projet'!$A$62,'Données projet'!$B$62,AI31+AH32-AQ31)))</f>
        <v>234.39999999999998</v>
      </c>
      <c r="AJ32" s="14">
        <f>AI32*VLOOKUP('Données projet'!$B$10,Paramètres!$A$1:$I$89,3,0)*VLOOKUP('Données projet'!$B$10,Paramètres!$A$1:$I$89,5,0)</f>
        <v>212.08511999999996</v>
      </c>
      <c r="AK32" s="14">
        <f t="shared" si="35"/>
        <v>52.390974537063087</v>
      </c>
      <c r="AL32" s="22">
        <f t="shared" si="4"/>
        <v>460.62919798538474</v>
      </c>
      <c r="AM32" s="62">
        <f t="shared" si="5"/>
        <v>752.74030909649582</v>
      </c>
      <c r="AN32" s="62">
        <f ca="1">AVERAGE(OFFSET($AM$3,0,0,'Données projet'!$E$10+1,1))-AVERAGE(OFFSET($H$3,0,0,'Données projet'!$E$10+1,1))</f>
        <v>366.86025470473652</v>
      </c>
      <c r="AO32" s="62">
        <f t="shared" si="36"/>
        <v>513.80016421153414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16.625</v>
      </c>
      <c r="BD32" s="13">
        <f>IF('Données projet'!$A$88&gt;35,BD31+BC32-BL31,IF(A32&lt;'Données projet'!$A$88,$BA$205^A32,IF(A32='Données projet'!$A$88,'Données projet'!$B$88,BD31+BC32-BL31)))</f>
        <v>292.37500000000011</v>
      </c>
      <c r="BE32" s="14">
        <f>BD32*VLOOKUP('Données projet'!$B$11,Paramètres!$A$1:$I$89,3,0)*VLOOKUP('Données projet'!$B$11,Paramètres!$A$1:$I$89,5,0)</f>
        <v>174.84025000000008</v>
      </c>
      <c r="BF32" s="14">
        <f t="shared" si="37"/>
        <v>44.172300963535264</v>
      </c>
      <c r="BG32" s="22">
        <f t="shared" si="7"/>
        <v>381.44685959482405</v>
      </c>
      <c r="BH32" s="62">
        <f t="shared" si="8"/>
        <v>673.55797070593519</v>
      </c>
      <c r="BI32" s="62">
        <f ca="1">AVERAGE(OFFSET($BH$3,0,0,'Données projet'!$E$11+1,1))-AVERAGE(OFFSET($H$3,0,0,'Données projet'!$E$11+1,1))</f>
        <v>187.13674266165236</v>
      </c>
      <c r="BJ32" s="62">
        <f t="shared" si="38"/>
        <v>439.28159165815276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9.3818394765219537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2.4383235495325604</v>
      </c>
      <c r="BS32" s="24">
        <f t="shared" si="9"/>
        <v>11.820163026054514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>
        <f>BY32*VLOOKUP('Données projet'!$B$12,Paramètres!$A$1:$I$89,3,0)*VLOOKUP('Données projet'!$B$12,Paramètres!$A$1:$I$89,5,0)</f>
        <v>0</v>
      </c>
      <c r="CA32" s="14" t="e">
        <f t="shared" si="39"/>
        <v>#NUM!</v>
      </c>
      <c r="CB32" s="22" t="e">
        <f t="shared" si="10"/>
        <v>#NUM!</v>
      </c>
      <c r="CC32" s="62" t="e">
        <f t="shared" si="11"/>
        <v>#NUM!</v>
      </c>
      <c r="CD32" s="62">
        <f ca="1">AVERAGE(OFFSET($CC$3,0,0,'Données projet'!$E$12+1,1))-AVERAGE(OFFSET($H$3,0,0,'Données projet'!$E$12+1,1))</f>
        <v>123.96745898973995</v>
      </c>
      <c r="CE32" s="62">
        <f t="shared" si="40"/>
        <v>638.75149573151157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121.68455725927159</v>
      </c>
      <c r="CL32" s="23">
        <f>EXP(-LN(2)/25)*CL31+(1-EXP(-LN(2)/25))/(LN(2)/25)*Calculateur!CG32*Calculateur!CI32*VLOOKUP('Données projet'!$B$12,Paramètres!$A$1:$I$89,3,0)*0.475*44/12</f>
        <v>30.781344993375082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152.46590225264666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121.59687193641378</v>
      </c>
      <c r="T33" s="62">
        <f t="shared" si="34"/>
        <v>625.69364310937681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116.70495389184966</v>
      </c>
      <c r="AA33" s="23">
        <f>EXP(-LN(2)/25)*AA32+(1-EXP(-LN(2)/25))/(LN(2)/25)*Calculateur!V33*Calculateur!X33*VLOOKUP('Données projet'!$B$9,Paramètres!$A$1:$I$89,3,0)*0.475*44/12</f>
        <v>29.288766028510437</v>
      </c>
      <c r="AB33" s="23">
        <f>EXP(-LN(2)/2)*AB32+(1-EXP(-LN(2)/2))/(LN(2)/2)*V33*Y33*VLOOKUP('Données projet'!$B$9,Paramètres!$A$1:$I$89,3,0)*0.475*44/12</f>
        <v>0</v>
      </c>
      <c r="AC33" s="24">
        <f t="shared" si="3"/>
        <v>145.99371992036009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243</v>
      </c>
      <c r="AG33" s="13">
        <f>VLOOKUP(A33,'Données projet'!$A$61:$I$81,9,0)</f>
        <v>8.6</v>
      </c>
      <c r="AH33" s="13">
        <f t="array" ref="AH33">INDEX(AG:AG,MIN(IF(ISNUMBER(AG33:AG229),ROW(AG33:AG229),"")))</f>
        <v>8.6</v>
      </c>
      <c r="AI33" s="14">
        <f>IF('Données projet'!$A$62&gt;35,AI32+AH33-AQ32,IF(A33&lt;'Données projet'!$A$62,$AF$205^A33,IF(A33='Données projet'!$A$62,'Données projet'!$B$62,AI32+AH33-AQ32)))</f>
        <v>242.99999999999997</v>
      </c>
      <c r="AJ33" s="14">
        <f>AI33*VLOOKUP('Données projet'!$B$10,Paramètres!$A$1:$I$89,3,0)*VLOOKUP('Données projet'!$B$10,Paramètres!$A$1:$I$89,5,0)</f>
        <v>219.86639999999997</v>
      </c>
      <c r="AK33" s="14">
        <f t="shared" si="35"/>
        <v>54.085847394182416</v>
      </c>
      <c r="AL33" s="22">
        <f t="shared" si="4"/>
        <v>477.13349754486762</v>
      </c>
      <c r="AM33" s="62">
        <f t="shared" si="5"/>
        <v>770.46683087820088</v>
      </c>
      <c r="AN33" s="62">
        <f ca="1">AVERAGE(OFFSET($AM$3,0,0,'Données projet'!$E$10+1,1))-AVERAGE(OFFSET($H$3,0,0,'Données projet'!$E$10+1,1))</f>
        <v>366.86025470473652</v>
      </c>
      <c r="AO33" s="62">
        <f t="shared" si="36"/>
        <v>513.80016421153414</v>
      </c>
      <c r="AP33" s="16">
        <f>IF(ISNA(VLOOKUP(A33,'Données projet'!$A$61:$I$81,3,0)),0,VLOOKUP(A33,'Données projet'!$A$61:$I$81,3,0))</f>
        <v>6</v>
      </c>
      <c r="AQ33" s="16">
        <f>IF(ISNA(VLOOKUP(A33,'Données projet'!$A$61:$I$81,4,0)),0,VLOOKUP(A33,'Données projet'!$A$61:$I$81,4,0))</f>
        <v>11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309</v>
      </c>
      <c r="BB33" s="13">
        <f>VLOOKUP(A33,'Données projet'!$A$87:$I$107,9,0)</f>
        <v>16.625</v>
      </c>
      <c r="BC33" s="13">
        <f t="array" ref="BC33">INDEX(BB:BB,MIN(IF(ISNUMBER(BB33:BB229),ROW(BB33:BB229),"")))</f>
        <v>16.625</v>
      </c>
      <c r="BD33" s="13">
        <f>IF('Données projet'!$A$88&gt;35,BD32+BC33-BL32,IF(A33&lt;'Données projet'!$A$88,$BA$205^A33,IF(A33='Données projet'!$A$88,'Données projet'!$B$88,BD32+BC33-BL32)))</f>
        <v>309.00000000000011</v>
      </c>
      <c r="BE33" s="14">
        <f>BD33*VLOOKUP('Données projet'!$B$11,Paramètres!$A$1:$I$89,3,0)*VLOOKUP('Données projet'!$B$11,Paramètres!$A$1:$I$89,5,0)</f>
        <v>184.7820000000001</v>
      </c>
      <c r="BF33" s="14">
        <f t="shared" si="37"/>
        <v>46.384464109944147</v>
      </c>
      <c r="BG33" s="22">
        <f t="shared" si="7"/>
        <v>402.61492499148613</v>
      </c>
      <c r="BH33" s="62">
        <f t="shared" si="8"/>
        <v>695.94825832481945</v>
      </c>
      <c r="BI33" s="62">
        <f ca="1">AVERAGE(OFFSET($BH$3,0,0,'Données projet'!$E$11+1,1))-AVERAGE(OFFSET($H$3,0,0,'Données projet'!$E$11+1,1))</f>
        <v>187.13674266165236</v>
      </c>
      <c r="BJ33" s="62">
        <f t="shared" si="38"/>
        <v>439.28159165815276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309</v>
      </c>
      <c r="BM33" s="17">
        <f>IF(ISNA(VLOOKUP(A33,'Données projet'!$A$87:$I$107,5,0)),0%,VLOOKUP(A33,'Données projet'!$A$87:$I$107,5,0)*VLOOKUP('Données projet'!$B$11,Paramètres!$A$1:$I$89,7,0))</f>
        <v>0.18000000000000002</v>
      </c>
      <c r="BN33" s="17">
        <f>IF(ISNA(VLOOKUP(A33,'Données projet'!$A$87:$I$107,6,0)),0%,VLOOKUP(A33,'Données projet'!$A$87:$I$107,6,0)*VLOOKUP('Données projet'!$B$11,Paramètres!$A$1:$I$89,7,0))</f>
        <v>0.18000000000000002</v>
      </c>
      <c r="BO33" s="17">
        <f>IF(ISNA(VLOOKUP(A33,'Données projet'!$A$87:$I$107,7,0)),0%,VLOOKUP(A33,'Données projet'!$A$87:$I$107,7,0))</f>
        <v>0.2</v>
      </c>
      <c r="BP33" s="23">
        <f>EXP(-LN(2)/35)*BP32+(1-EXP(-LN(2)/35))/(LN(2)/35)*BL33*BM33*VLOOKUP('Données projet'!$B$11,Paramètres!$A$1:$I$89,3,0)*0.475*44/12</f>
        <v>53.320409303649647</v>
      </c>
      <c r="BQ33" s="23">
        <f>EXP(-LN(2)/25)*BQ32+(1-EXP(-LN(2)/25))/(LN(2)/25)*Calculateur!BL33*Calculateur!BN33*VLOOKUP('Données projet'!$B$11,Paramètres!$A$1:$I$89,3,0)*0.475*44/12</f>
        <v>43.948814717135633</v>
      </c>
      <c r="BR33" s="23">
        <f>EXP(-LN(2)/2)*BR32+(1-EXP(-LN(2)/2))/(LN(2)/2)*BL33*BO33*VLOOKUP('Données projet'!$B$11,Paramètres!$A$1:$I$89,3,0)*0.475*44/12</f>
        <v>43.567384796908406</v>
      </c>
      <c r="BS33" s="24">
        <f t="shared" si="9"/>
        <v>140.8366088176937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>
        <f>BY33*VLOOKUP('Données projet'!$B$12,Paramètres!$A$1:$I$89,3,0)*VLOOKUP('Données projet'!$B$12,Paramètres!$A$1:$I$89,5,0)</f>
        <v>0</v>
      </c>
      <c r="CA33" s="14" t="e">
        <f t="shared" si="39"/>
        <v>#NUM!</v>
      </c>
      <c r="CB33" s="22" t="e">
        <f t="shared" si="10"/>
        <v>#NUM!</v>
      </c>
      <c r="CC33" s="62" t="e">
        <f t="shared" si="11"/>
        <v>#NUM!</v>
      </c>
      <c r="CD33" s="62">
        <f ca="1">AVERAGE(OFFSET($CC$3,0,0,'Données projet'!$E$12+1,1))-AVERAGE(OFFSET($H$3,0,0,'Données projet'!$E$12+1,1))</f>
        <v>123.96745898973995</v>
      </c>
      <c r="CE33" s="62">
        <f t="shared" si="40"/>
        <v>638.75149573151157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119.29839731166855</v>
      </c>
      <c r="CL33" s="23">
        <f>EXP(-LN(2)/25)*CL32+(1-EXP(-LN(2)/25))/(LN(2)/25)*Calculateur!CG33*Calculateur!CI33*VLOOKUP('Données projet'!$B$12,Paramètres!$A$1:$I$89,3,0)*0.475*44/12</f>
        <v>29.939627495810658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149.23802480747921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121.59687193641378</v>
      </c>
      <c r="T34" s="62">
        <f t="shared" si="34"/>
        <v>625.69364310937681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114.41644092902362</v>
      </c>
      <c r="AA34" s="23">
        <f>EXP(-LN(2)/25)*AA33+(1-EXP(-LN(2)/25))/(LN(2)/25)*Calculateur!V34*Calculateur!X34*VLOOKUP('Données projet'!$B$9,Paramètres!$A$1:$I$89,3,0)*0.475*44/12</f>
        <v>28.487863181231553</v>
      </c>
      <c r="AB34" s="23">
        <f>EXP(-LN(2)/2)*AB33+(1-EXP(-LN(2)/2))/(LN(2)/2)*V34*Y34*VLOOKUP('Données projet'!$B$9,Paramètres!$A$1:$I$89,3,0)*0.475*44/12</f>
        <v>0</v>
      </c>
      <c r="AC34" s="24">
        <f t="shared" si="3"/>
        <v>142.90430411025517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</v>
      </c>
      <c r="AI34" s="14">
        <f>IF('Données projet'!$A$62&gt;35,AI33+AH34-AQ33,IF(A34&lt;'Données projet'!$A$62,$AF$205^A34,IF(A34='Données projet'!$A$62,'Données projet'!$B$62,AI33+AH34-AQ33)))</f>
        <v>238.99999999999997</v>
      </c>
      <c r="AJ34" s="14">
        <f>AI34*VLOOKUP('Données projet'!$B$10,Paramètres!$A$1:$I$89,3,0)*VLOOKUP('Données projet'!$B$10,Paramètres!$A$1:$I$89,5,0)</f>
        <v>216.24719999999996</v>
      </c>
      <c r="AK34" s="14">
        <f t="shared" si="35"/>
        <v>53.298418226645332</v>
      </c>
      <c r="AL34" s="22">
        <f t="shared" si="4"/>
        <v>469.45861841140714</v>
      </c>
      <c r="AM34" s="62">
        <f t="shared" si="5"/>
        <v>762.79195174474046</v>
      </c>
      <c r="AN34" s="62">
        <f ca="1">AVERAGE(OFFSET($AM$3,0,0,'Données projet'!$E$10+1,1))-AVERAGE(OFFSET($H$3,0,0,'Données projet'!$E$10+1,1))</f>
        <v>366.86025470473652</v>
      </c>
      <c r="AO34" s="62">
        <f t="shared" si="36"/>
        <v>513.80016421153414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1.1368683772161603E-13</v>
      </c>
      <c r="BE34" s="14">
        <f>BD34*VLOOKUP('Données projet'!$B$11,Paramètres!$A$1:$I$89,3,0)*VLOOKUP('Données projet'!$B$11,Paramètres!$A$1:$I$89,5,0)</f>
        <v>6.7984728957526396E-14</v>
      </c>
      <c r="BF34" s="14">
        <f t="shared" si="37"/>
        <v>1.0682447123141398E-12</v>
      </c>
      <c r="BG34" s="22">
        <f t="shared" si="7"/>
        <v>1.978932943548152E-12</v>
      </c>
      <c r="BH34" s="62">
        <f t="shared" si="8"/>
        <v>293.3333333333353</v>
      </c>
      <c r="BI34" s="62">
        <f ca="1">AVERAGE(OFFSET($BH$3,0,0,'Données projet'!$E$11+1,1))-AVERAGE(OFFSET($H$3,0,0,'Données projet'!$E$11+1,1))</f>
        <v>187.13674266165236</v>
      </c>
      <c r="BJ34" s="62">
        <f t="shared" si="38"/>
        <v>439.28159165815276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52.274828599443445</v>
      </c>
      <c r="BQ34" s="23">
        <f>EXP(-LN(2)/25)*BQ33+(1-EXP(-LN(2)/25))/(LN(2)/25)*Calculateur!BL34*Calculateur!BN34*VLOOKUP('Données projet'!$B$11,Paramètres!$A$1:$I$89,3,0)*0.475*44/12</f>
        <v>42.74703206752784</v>
      </c>
      <c r="BR34" s="23">
        <f>EXP(-LN(2)/2)*BR33+(1-EXP(-LN(2)/2))/(LN(2)/2)*BL34*BO34*VLOOKUP('Données projet'!$B$11,Paramètres!$A$1:$I$89,3,0)*0.475*44/12</f>
        <v>30.806793228457632</v>
      </c>
      <c r="BS34" s="24">
        <f t="shared" si="9"/>
        <v>125.82865389542893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>
        <f>BY34*VLOOKUP('Données projet'!$B$12,Paramètres!$A$1:$I$89,3,0)*VLOOKUP('Données projet'!$B$12,Paramètres!$A$1:$I$89,5,0)</f>
        <v>0</v>
      </c>
      <c r="CA34" s="14" t="e">
        <f t="shared" si="39"/>
        <v>#NUM!</v>
      </c>
      <c r="CB34" s="22" t="e">
        <f t="shared" si="10"/>
        <v>#NUM!</v>
      </c>
      <c r="CC34" s="62" t="e">
        <f t="shared" si="11"/>
        <v>#NUM!</v>
      </c>
      <c r="CD34" s="62">
        <f ca="1">AVERAGE(OFFSET($CC$3,0,0,'Données projet'!$E$12+1,1))-AVERAGE(OFFSET($H$3,0,0,'Données projet'!$E$12+1,1))</f>
        <v>123.96745898973995</v>
      </c>
      <c r="CE34" s="62">
        <f t="shared" si="40"/>
        <v>638.75149573151157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116.95902850522415</v>
      </c>
      <c r="CL34" s="23">
        <f>EXP(-LN(2)/25)*CL33+(1-EXP(-LN(2)/25))/(LN(2)/25)*Calculateur!CG34*Calculateur!CI34*VLOOKUP('Données projet'!$B$12,Paramètres!$A$1:$I$89,3,0)*0.475*44/12</f>
        <v>29.120926807481133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146.07995531270529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121.59687193641378</v>
      </c>
      <c r="T35" s="62">
        <f t="shared" si="34"/>
        <v>625.69364310937681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112.17280430954352</v>
      </c>
      <c r="AA35" s="23">
        <f>EXP(-LN(2)/25)*AA34+(1-EXP(-LN(2)/25))/(LN(2)/25)*Calculateur!V35*Calculateur!X35*VLOOKUP('Données projet'!$B$9,Paramètres!$A$1:$I$89,3,0)*0.475*44/12</f>
        <v>27.708861064429161</v>
      </c>
      <c r="AB35" s="23">
        <f>EXP(-LN(2)/2)*AB34+(1-EXP(-LN(2)/2))/(LN(2)/2)*V35*Y35*VLOOKUP('Données projet'!$B$9,Paramètres!$A$1:$I$89,3,0)*0.475*44/12</f>
        <v>0</v>
      </c>
      <c r="AC35" s="24">
        <f t="shared" si="3"/>
        <v>139.88166537397268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</v>
      </c>
      <c r="AI35" s="14">
        <f>IF('Données projet'!$A$62&gt;35,AI34+AH35-AQ34,IF(A35&lt;'Données projet'!$A$62,$AF$205^A35,IF(A35='Données projet'!$A$62,'Données projet'!$B$62,AI34+AH35-AQ34)))</f>
        <v>245.99999999999997</v>
      </c>
      <c r="AJ35" s="14">
        <f>AI35*VLOOKUP('Données projet'!$B$10,Paramètres!$A$1:$I$89,3,0)*VLOOKUP('Données projet'!$B$10,Paramètres!$A$1:$I$89,5,0)</f>
        <v>222.58079999999998</v>
      </c>
      <c r="AK35" s="14">
        <f t="shared" si="35"/>
        <v>54.675428546153199</v>
      </c>
      <c r="AL35" s="22">
        <f t="shared" si="4"/>
        <v>482.88793138455003</v>
      </c>
      <c r="AM35" s="62">
        <f t="shared" si="5"/>
        <v>776.22126471788329</v>
      </c>
      <c r="AN35" s="62">
        <f ca="1">AVERAGE(OFFSET($AM$3,0,0,'Données projet'!$E$10+1,1))-AVERAGE(OFFSET($H$3,0,0,'Données projet'!$E$10+1,1))</f>
        <v>366.86025470473652</v>
      </c>
      <c r="AO35" s="62">
        <f t="shared" si="36"/>
        <v>513.80016421153414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1.1368683772161603E-13</v>
      </c>
      <c r="BE35" s="14">
        <f>BD35*VLOOKUP('Données projet'!$B$11,Paramètres!$A$1:$I$89,3,0)*VLOOKUP('Données projet'!$B$11,Paramètres!$A$1:$I$89,5,0)</f>
        <v>6.7984728957526396E-14</v>
      </c>
      <c r="BF35" s="14">
        <f t="shared" si="37"/>
        <v>1.0682447123141398E-12</v>
      </c>
      <c r="BG35" s="22">
        <f t="shared" si="7"/>
        <v>1.978932943548152E-12</v>
      </c>
      <c r="BH35" s="62">
        <f t="shared" si="8"/>
        <v>293.3333333333353</v>
      </c>
      <c r="BI35" s="62">
        <f ca="1">AVERAGE(OFFSET($BH$3,0,0,'Données projet'!$E$11+1,1))-AVERAGE(OFFSET($H$3,0,0,'Données projet'!$E$11+1,1))</f>
        <v>187.13674266165236</v>
      </c>
      <c r="BJ35" s="62">
        <f t="shared" si="38"/>
        <v>439.28159165815276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51.249751095105474</v>
      </c>
      <c r="BQ35" s="23">
        <f>EXP(-LN(2)/25)*BQ34+(1-EXP(-LN(2)/25))/(LN(2)/25)*Calculateur!BL35*Calculateur!BN35*VLOOKUP('Données projet'!$B$11,Paramètres!$A$1:$I$89,3,0)*0.475*44/12</f>
        <v>41.578112227672577</v>
      </c>
      <c r="BR35" s="23">
        <f>EXP(-LN(2)/2)*BR34+(1-EXP(-LN(2)/2))/(LN(2)/2)*BL35*BO35*VLOOKUP('Données projet'!$B$11,Paramètres!$A$1:$I$89,3,0)*0.475*44/12</f>
        <v>21.783692398454207</v>
      </c>
      <c r="BS35" s="24">
        <f t="shared" si="9"/>
        <v>114.61155572123226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>
        <f>BY35*VLOOKUP('Données projet'!$B$12,Paramètres!$A$1:$I$89,3,0)*VLOOKUP('Données projet'!$B$12,Paramètres!$A$1:$I$89,5,0)</f>
        <v>0</v>
      </c>
      <c r="CA35" s="14" t="e">
        <f t="shared" si="39"/>
        <v>#NUM!</v>
      </c>
      <c r="CB35" s="22" t="e">
        <f t="shared" si="10"/>
        <v>#NUM!</v>
      </c>
      <c r="CC35" s="62" t="e">
        <f t="shared" si="11"/>
        <v>#NUM!</v>
      </c>
      <c r="CD35" s="62">
        <f ca="1">AVERAGE(OFFSET($CC$3,0,0,'Données projet'!$E$12+1,1))-AVERAGE(OFFSET($H$3,0,0,'Données projet'!$E$12+1,1))</f>
        <v>123.96745898973995</v>
      </c>
      <c r="CE35" s="62">
        <f t="shared" si="40"/>
        <v>638.75149573151157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114.66553329420006</v>
      </c>
      <c r="CL35" s="23">
        <f>EXP(-LN(2)/25)*CL34+(1-EXP(-LN(2)/25))/(LN(2)/25)*Calculateur!CG35*Calculateur!CI35*VLOOKUP('Données projet'!$B$12,Paramètres!$A$1:$I$89,3,0)*0.475*44/12</f>
        <v>28.324613532527579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142.99014682672765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121.59687193641378</v>
      </c>
      <c r="T36" s="62">
        <f t="shared" si="34"/>
        <v>625.69364310937681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109.97316403568823</v>
      </c>
      <c r="AA36" s="23">
        <f>EXP(-LN(2)/25)*AA35+(1-EXP(-LN(2)/25))/(LN(2)/25)*Calculateur!V36*Calculateur!X36*VLOOKUP('Données projet'!$B$9,Paramètres!$A$1:$I$89,3,0)*0.475*44/12</f>
        <v>26.951160801476671</v>
      </c>
      <c r="AB36" s="23">
        <f>EXP(-LN(2)/2)*AB35+(1-EXP(-LN(2)/2))/(LN(2)/2)*V36*Y36*VLOOKUP('Données projet'!$B$9,Paramètres!$A$1:$I$89,3,0)*0.475*44/12</f>
        <v>0</v>
      </c>
      <c r="AC36" s="24">
        <f t="shared" si="3"/>
        <v>136.9243248371649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</v>
      </c>
      <c r="AI36" s="14">
        <f>IF('Données projet'!$A$62&gt;35,AI35+AH36-AQ35,IF(A36&lt;'Données projet'!$A$62,$AF$205^A36,IF(A36='Données projet'!$A$62,'Données projet'!$B$62,AI35+AH36-AQ35)))</f>
        <v>252.99999999999997</v>
      </c>
      <c r="AJ36" s="14">
        <f>AI36*VLOOKUP('Données projet'!$B$10,Paramètres!$A$1:$I$89,3,0)*VLOOKUP('Données projet'!$B$10,Paramètres!$A$1:$I$89,5,0)</f>
        <v>228.91439999999997</v>
      </c>
      <c r="AK36" s="14">
        <f t="shared" si="35"/>
        <v>56.047884834417424</v>
      </c>
      <c r="AL36" s="22">
        <f t="shared" si="4"/>
        <v>496.30931275327697</v>
      </c>
      <c r="AM36" s="62">
        <f t="shared" si="5"/>
        <v>789.64264608661028</v>
      </c>
      <c r="AN36" s="62">
        <f ca="1">AVERAGE(OFFSET($AM$3,0,0,'Données projet'!$E$10+1,1))-AVERAGE(OFFSET($H$3,0,0,'Données projet'!$E$10+1,1))</f>
        <v>366.86025470473652</v>
      </c>
      <c r="AO36" s="62">
        <f t="shared" si="36"/>
        <v>513.80016421153414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1.1368683772161603E-13</v>
      </c>
      <c r="BE36" s="14">
        <f>BD36*VLOOKUP('Données projet'!$B$11,Paramètres!$A$1:$I$89,3,0)*VLOOKUP('Données projet'!$B$11,Paramètres!$A$1:$I$89,5,0)</f>
        <v>6.7984728957526396E-14</v>
      </c>
      <c r="BF36" s="14">
        <f t="shared" si="37"/>
        <v>1.0682447123141398E-12</v>
      </c>
      <c r="BG36" s="22">
        <f t="shared" si="7"/>
        <v>1.978932943548152E-12</v>
      </c>
      <c r="BH36" s="62">
        <f t="shared" si="8"/>
        <v>293.3333333333353</v>
      </c>
      <c r="BI36" s="62">
        <f ca="1">AVERAGE(OFFSET($BH$3,0,0,'Données projet'!$E$11+1,1))-AVERAGE(OFFSET($H$3,0,0,'Données projet'!$E$11+1,1))</f>
        <v>187.13674266165236</v>
      </c>
      <c r="BJ36" s="62">
        <f t="shared" si="38"/>
        <v>439.28159165815276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50.244774735392028</v>
      </c>
      <c r="BQ36" s="23">
        <f>EXP(-LN(2)/25)*BQ35+(1-EXP(-LN(2)/25))/(LN(2)/25)*Calculateur!BL36*Calculateur!BN36*VLOOKUP('Données projet'!$B$11,Paramètres!$A$1:$I$89,3,0)*0.475*44/12</f>
        <v>40.441156562308976</v>
      </c>
      <c r="BR36" s="23">
        <f>EXP(-LN(2)/2)*BR35+(1-EXP(-LN(2)/2))/(LN(2)/2)*BL36*BO36*VLOOKUP('Données projet'!$B$11,Paramètres!$A$1:$I$89,3,0)*0.475*44/12</f>
        <v>15.403396614228818</v>
      </c>
      <c r="BS36" s="24">
        <f t="shared" si="9"/>
        <v>106.08932791192981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>
        <f>BY36*VLOOKUP('Données projet'!$B$12,Paramètres!$A$1:$I$89,3,0)*VLOOKUP('Données projet'!$B$12,Paramètres!$A$1:$I$89,5,0)</f>
        <v>0</v>
      </c>
      <c r="CA36" s="14" t="e">
        <f t="shared" si="39"/>
        <v>#NUM!</v>
      </c>
      <c r="CB36" s="22" t="e">
        <f t="shared" si="10"/>
        <v>#NUM!</v>
      </c>
      <c r="CC36" s="62" t="e">
        <f t="shared" si="11"/>
        <v>#NUM!</v>
      </c>
      <c r="CD36" s="62">
        <f ca="1">AVERAGE(OFFSET($CC$3,0,0,'Données projet'!$E$12+1,1))-AVERAGE(OFFSET($H$3,0,0,'Données projet'!$E$12+1,1))</f>
        <v>123.96745898973995</v>
      </c>
      <c r="CE36" s="62">
        <f t="shared" si="40"/>
        <v>638.75149573151157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112.41701212537019</v>
      </c>
      <c r="CL36" s="23">
        <f>EXP(-LN(2)/25)*CL35+(1-EXP(-LN(2)/25))/(LN(2)/25)*Calculateur!CG36*Calculateur!CI36*VLOOKUP('Données projet'!$B$12,Paramètres!$A$1:$I$89,3,0)*0.475*44/12</f>
        <v>27.550075485953922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139.9670876113241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121.59687193641378</v>
      </c>
      <c r="T37" s="62">
        <f t="shared" si="34"/>
        <v>625.69364310937681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107.81665736595514</v>
      </c>
      <c r="AA37" s="23">
        <f>EXP(-LN(2)/25)*AA36+(1-EXP(-LN(2)/25))/(LN(2)/25)*Calculateur!V37*Calculateur!X37*VLOOKUP('Données projet'!$B$9,Paramètres!$A$1:$I$89,3,0)*0.475*44/12</f>
        <v>26.214179892060343</v>
      </c>
      <c r="AB37" s="23">
        <f>EXP(-LN(2)/2)*AB36+(1-EXP(-LN(2)/2))/(LN(2)/2)*V37*Y37*VLOOKUP('Données projet'!$B$9,Paramètres!$A$1:$I$89,3,0)*0.475*44/12</f>
        <v>0</v>
      </c>
      <c r="AC37" s="24">
        <f t="shared" si="3"/>
        <v>134.03083725801548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</v>
      </c>
      <c r="AI37" s="14">
        <f>IF('Données projet'!$A$62&gt;35,AI36+AH37-AQ36,IF(A37&lt;'Données projet'!$A$62,$AF$205^A37,IF(A37='Données projet'!$A$62,'Données projet'!$B$62,AI36+AH37-AQ36)))</f>
        <v>260</v>
      </c>
      <c r="AJ37" s="14">
        <f>AI37*VLOOKUP('Données projet'!$B$10,Paramètres!$A$1:$I$89,3,0)*VLOOKUP('Données projet'!$B$10,Paramètres!$A$1:$I$89,5,0)</f>
        <v>235.24799999999999</v>
      </c>
      <c r="AK37" s="14">
        <f t="shared" si="35"/>
        <v>57.41592756883739</v>
      </c>
      <c r="AL37" s="22">
        <f t="shared" si="4"/>
        <v>509.72300718239177</v>
      </c>
      <c r="AM37" s="62">
        <f t="shared" si="5"/>
        <v>803.05634051572508</v>
      </c>
      <c r="AN37" s="62">
        <f ca="1">AVERAGE(OFFSET($AM$3,0,0,'Données projet'!$E$10+1,1))-AVERAGE(OFFSET($H$3,0,0,'Données projet'!$E$10+1,1))</f>
        <v>366.86025470473652</v>
      </c>
      <c r="AO37" s="62">
        <f t="shared" si="36"/>
        <v>513.80016421153414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1.1368683772161603E-13</v>
      </c>
      <c r="BE37" s="14">
        <f>BD37*VLOOKUP('Données projet'!$B$11,Paramètres!$A$1:$I$89,3,0)*VLOOKUP('Données projet'!$B$11,Paramètres!$A$1:$I$89,5,0)</f>
        <v>6.7984728957526396E-14</v>
      </c>
      <c r="BF37" s="14">
        <f t="shared" si="37"/>
        <v>1.0682447123141398E-12</v>
      </c>
      <c r="BG37" s="22">
        <f t="shared" si="7"/>
        <v>1.978932943548152E-12</v>
      </c>
      <c r="BH37" s="62">
        <f t="shared" si="8"/>
        <v>293.3333333333353</v>
      </c>
      <c r="BI37" s="62">
        <f ca="1">AVERAGE(OFFSET($BH$3,0,0,'Données projet'!$E$11+1,1))-AVERAGE(OFFSET($H$3,0,0,'Données projet'!$E$11+1,1))</f>
        <v>187.13674266165236</v>
      </c>
      <c r="BJ37" s="62">
        <f t="shared" si="38"/>
        <v>439.28159165815276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49.259505349117511</v>
      </c>
      <c r="BQ37" s="23">
        <f>EXP(-LN(2)/25)*BQ36+(1-EXP(-LN(2)/25))/(LN(2)/25)*Calculateur!BL37*Calculateur!BN37*VLOOKUP('Données projet'!$B$11,Paramètres!$A$1:$I$89,3,0)*0.475*44/12</f>
        <v>39.335291009404642</v>
      </c>
      <c r="BR37" s="23">
        <f>EXP(-LN(2)/2)*BR36+(1-EXP(-LN(2)/2))/(LN(2)/2)*BL37*BO37*VLOOKUP('Données projet'!$B$11,Paramètres!$A$1:$I$89,3,0)*0.475*44/12</f>
        <v>10.891846199227105</v>
      </c>
      <c r="BS37" s="24">
        <f t="shared" si="9"/>
        <v>99.486642557749263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>
        <f>BY37*VLOOKUP('Données projet'!$B$12,Paramètres!$A$1:$I$89,3,0)*VLOOKUP('Données projet'!$B$12,Paramètres!$A$1:$I$89,5,0)</f>
        <v>0</v>
      </c>
      <c r="CA37" s="14" t="e">
        <f t="shared" si="39"/>
        <v>#NUM!</v>
      </c>
      <c r="CB37" s="22" t="e">
        <f t="shared" si="10"/>
        <v>#NUM!</v>
      </c>
      <c r="CC37" s="62" t="e">
        <f t="shared" si="11"/>
        <v>#NUM!</v>
      </c>
      <c r="CD37" s="62">
        <f ca="1">AVERAGE(OFFSET($CC$3,0,0,'Données projet'!$E$12+1,1))-AVERAGE(OFFSET($H$3,0,0,'Données projet'!$E$12+1,1))</f>
        <v>123.96745898973995</v>
      </c>
      <c r="CE37" s="62">
        <f t="shared" si="40"/>
        <v>638.75149573151157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110.21258308519859</v>
      </c>
      <c r="CL37" s="23">
        <f>EXP(-LN(2)/25)*CL36+(1-EXP(-LN(2)/25))/(LN(2)/25)*Calculateur!CG37*Calculateur!CI37*VLOOKUP('Données projet'!$B$12,Paramètres!$A$1:$I$89,3,0)*0.475*44/12</f>
        <v>26.79671722299501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137.00930030819359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121.59687193641378</v>
      </c>
      <c r="T38" s="62">
        <f t="shared" si="34"/>
        <v>625.69364310937681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105.70243847667632</v>
      </c>
      <c r="AA38" s="23">
        <f>EXP(-LN(2)/25)*AA37+(1-EXP(-LN(2)/25))/(LN(2)/25)*Calculateur!V38*Calculateur!X38*VLOOKUP('Données projet'!$B$9,Paramètres!$A$1:$I$89,3,0)*0.475*44/12</f>
        <v>25.497351764368148</v>
      </c>
      <c r="AB38" s="23">
        <f>EXP(-LN(2)/2)*AB37+(1-EXP(-LN(2)/2))/(LN(2)/2)*V38*Y38*VLOOKUP('Données projet'!$B$9,Paramètres!$A$1:$I$89,3,0)*0.475*44/12</f>
        <v>0</v>
      </c>
      <c r="AC38" s="24">
        <f t="shared" si="3"/>
        <v>131.19979024104447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267</v>
      </c>
      <c r="AG38" s="13">
        <f>VLOOKUP(A38,'Données projet'!$A$61:$I$81,9,0)</f>
        <v>7</v>
      </c>
      <c r="AH38" s="13">
        <f t="array" ref="AH38">INDEX(AG:AG,MIN(IF(ISNUMBER(AG38:AG234),ROW(AG38:AG234),"")))</f>
        <v>7</v>
      </c>
      <c r="AI38" s="14">
        <f>IF('Données projet'!$A$62&gt;35,AI37+AH38-AQ37,IF(A38&lt;'Données projet'!$A$62,$AF$205^A38,IF(A38='Données projet'!$A$62,'Données projet'!$B$62,AI37+AH38-AQ37)))</f>
        <v>267</v>
      </c>
      <c r="AJ38" s="14">
        <f>AI38*VLOOKUP('Données projet'!$B$10,Paramètres!$A$1:$I$89,3,0)*VLOOKUP('Données projet'!$B$10,Paramètres!$A$1:$I$89,5,0)</f>
        <v>241.58159999999998</v>
      </c>
      <c r="AK38" s="14">
        <f t="shared" si="35"/>
        <v>58.779689232021951</v>
      </c>
      <c r="AL38" s="22">
        <f t="shared" si="4"/>
        <v>523.12924541243819</v>
      </c>
      <c r="AM38" s="62">
        <f t="shared" si="5"/>
        <v>816.46257874577145</v>
      </c>
      <c r="AN38" s="62">
        <f ca="1">AVERAGE(OFFSET($AM$3,0,0,'Données projet'!$E$10+1,1))-AVERAGE(OFFSET($H$3,0,0,'Données projet'!$E$10+1,1))</f>
        <v>366.86025470473652</v>
      </c>
      <c r="AO38" s="62">
        <f t="shared" si="36"/>
        <v>513.80016421153414</v>
      </c>
      <c r="AP38" s="16">
        <f>IF(ISNA(VLOOKUP(A38,'Données projet'!$A$61:$I$81,3,0)),0,VLOOKUP(A38,'Données projet'!$A$61:$I$81,3,0))</f>
        <v>7</v>
      </c>
      <c r="AQ38" s="16">
        <f>IF(ISNA(VLOOKUP(A38,'Données projet'!$A$61:$I$81,4,0)),0,VLOOKUP(A38,'Données projet'!$A$61:$I$81,4,0))</f>
        <v>9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1.1368683772161603E-13</v>
      </c>
      <c r="BE38" s="14">
        <f>BD38*VLOOKUP('Données projet'!$B$11,Paramètres!$A$1:$I$89,3,0)*VLOOKUP('Données projet'!$B$11,Paramètres!$A$1:$I$89,5,0)</f>
        <v>6.7984728957526396E-14</v>
      </c>
      <c r="BF38" s="14">
        <f t="shared" si="37"/>
        <v>1.0682447123141398E-12</v>
      </c>
      <c r="BG38" s="22">
        <f t="shared" si="7"/>
        <v>1.978932943548152E-12</v>
      </c>
      <c r="BH38" s="62">
        <f t="shared" si="8"/>
        <v>293.3333333333353</v>
      </c>
      <c r="BI38" s="62">
        <f ca="1">AVERAGE(OFFSET($BH$3,0,0,'Données projet'!$E$11+1,1))-AVERAGE(OFFSET($H$3,0,0,'Données projet'!$E$11+1,1))</f>
        <v>187.13674266165236</v>
      </c>
      <c r="BJ38" s="62">
        <f t="shared" si="38"/>
        <v>439.28159165815276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48.293556494552853</v>
      </c>
      <c r="BQ38" s="23">
        <f>EXP(-LN(2)/25)*BQ37+(1-EXP(-LN(2)/25))/(LN(2)/25)*Calculateur!BL38*Calculateur!BN38*VLOOKUP('Données projet'!$B$11,Paramètres!$A$1:$I$89,3,0)*0.475*44/12</f>
        <v>38.259665408199417</v>
      </c>
      <c r="BR38" s="23">
        <f>EXP(-LN(2)/2)*BR37+(1-EXP(-LN(2)/2))/(LN(2)/2)*BL38*BO38*VLOOKUP('Données projet'!$B$11,Paramètres!$A$1:$I$89,3,0)*0.475*44/12</f>
        <v>7.7016983071144107</v>
      </c>
      <c r="BS38" s="24">
        <f t="shared" si="9"/>
        <v>94.254920209866683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>
        <f>BY38*VLOOKUP('Données projet'!$B$12,Paramètres!$A$1:$I$89,3,0)*VLOOKUP('Données projet'!$B$12,Paramètres!$A$1:$I$89,5,0)</f>
        <v>0</v>
      </c>
      <c r="CA38" s="14" t="e">
        <f t="shared" si="39"/>
        <v>#NUM!</v>
      </c>
      <c r="CB38" s="22" t="e">
        <f t="shared" si="10"/>
        <v>#NUM!</v>
      </c>
      <c r="CC38" s="62" t="e">
        <f t="shared" si="11"/>
        <v>#NUM!</v>
      </c>
      <c r="CD38" s="62">
        <f ca="1">AVERAGE(OFFSET($CC$3,0,0,'Données projet'!$E$12+1,1))-AVERAGE(OFFSET($H$3,0,0,'Données projet'!$E$12+1,1))</f>
        <v>123.96745898973995</v>
      </c>
      <c r="CE38" s="62">
        <f t="shared" si="40"/>
        <v>638.75149573151157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108.0513815539358</v>
      </c>
      <c r="CL38" s="23">
        <f>EXP(-LN(2)/25)*CL37+(1-EXP(-LN(2)/25))/(LN(2)/25)*Calculateur!CG38*Calculateur!CI38*VLOOKUP('Données projet'!$B$12,Paramètres!$A$1:$I$89,3,0)*0.475*44/12</f>
        <v>26.063959581354098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134.1153411352899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121.59687193641378</v>
      </c>
      <c r="T39" s="62">
        <f t="shared" si="34"/>
        <v>625.69364310937681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103.62967813027008</v>
      </c>
      <c r="AA39" s="23">
        <f>EXP(-LN(2)/25)*AA38+(1-EXP(-LN(2)/25))/(LN(2)/25)*Calculateur!V39*Calculateur!X39*VLOOKUP('Données projet'!$B$9,Paramètres!$A$1:$I$89,3,0)*0.475*44/12</f>
        <v>24.800125339524048</v>
      </c>
      <c r="AB39" s="23">
        <f>EXP(-LN(2)/2)*AB38+(1-EXP(-LN(2)/2))/(LN(2)/2)*V39*Y39*VLOOKUP('Données projet'!$B$9,Paramètres!$A$1:$I$89,3,0)*0.475*44/12</f>
        <v>0</v>
      </c>
      <c r="AC39" s="24">
        <f t="shared" si="3"/>
        <v>128.42980346979414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6.2</v>
      </c>
      <c r="AI39" s="14">
        <f>IF('Données projet'!$A$62&gt;35,AI38+AH39-AQ38,IF(A39&lt;'Données projet'!$A$62,$AF$205^A39,IF(A39='Données projet'!$A$62,'Données projet'!$B$62,AI38+AH39-AQ38)))</f>
        <v>264.2</v>
      </c>
      <c r="AJ39" s="14">
        <f>AI39*VLOOKUP('Données projet'!$B$10,Paramètres!$A$1:$I$89,3,0)*VLOOKUP('Données projet'!$B$10,Paramètres!$A$1:$I$89,5,0)</f>
        <v>239.04816</v>
      </c>
      <c r="AK39" s="14">
        <f t="shared" si="35"/>
        <v>58.234690128947292</v>
      </c>
      <c r="AL39" s="22">
        <f t="shared" si="4"/>
        <v>517.76763064124987</v>
      </c>
      <c r="AM39" s="62">
        <f t="shared" si="5"/>
        <v>811.10096397458324</v>
      </c>
      <c r="AN39" s="62">
        <f ca="1">AVERAGE(OFFSET($AM$3,0,0,'Données projet'!$E$10+1,1))-AVERAGE(OFFSET($H$3,0,0,'Données projet'!$E$10+1,1))</f>
        <v>366.86025470473652</v>
      </c>
      <c r="AO39" s="62">
        <f t="shared" si="36"/>
        <v>513.80016421153414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1.1368683772161603E-13</v>
      </c>
      <c r="BE39" s="14">
        <f>BD39*VLOOKUP('Données projet'!$B$11,Paramètres!$A$1:$I$89,3,0)*VLOOKUP('Données projet'!$B$11,Paramètres!$A$1:$I$89,5,0)</f>
        <v>6.7984728957526396E-14</v>
      </c>
      <c r="BF39" s="14">
        <f t="shared" si="37"/>
        <v>1.0682447123141398E-12</v>
      </c>
      <c r="BG39" s="22">
        <f t="shared" si="7"/>
        <v>1.978932943548152E-12</v>
      </c>
      <c r="BH39" s="62">
        <f t="shared" si="8"/>
        <v>293.3333333333353</v>
      </c>
      <c r="BI39" s="62">
        <f ca="1">AVERAGE(OFFSET($BH$3,0,0,'Données projet'!$E$11+1,1))-AVERAGE(OFFSET($H$3,0,0,'Données projet'!$E$11+1,1))</f>
        <v>187.13674266165236</v>
      </c>
      <c r="BJ39" s="62">
        <f t="shared" si="38"/>
        <v>439.28159165815276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47.346549307855575</v>
      </c>
      <c r="BQ39" s="23">
        <f>EXP(-LN(2)/25)*BQ38+(1-EXP(-LN(2)/25))/(LN(2)/25)*Calculateur!BL39*Calculateur!BN39*VLOOKUP('Données projet'!$B$11,Paramètres!$A$1:$I$89,3,0)*0.475*44/12</f>
        <v>37.213452845623841</v>
      </c>
      <c r="BR39" s="23">
        <f>EXP(-LN(2)/2)*BR38+(1-EXP(-LN(2)/2))/(LN(2)/2)*BL39*BO39*VLOOKUP('Données projet'!$B$11,Paramètres!$A$1:$I$89,3,0)*0.475*44/12</f>
        <v>5.4459230996135535</v>
      </c>
      <c r="BS39" s="24">
        <f t="shared" si="9"/>
        <v>90.005925253092968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>
        <f>BY39*VLOOKUP('Données projet'!$B$12,Paramètres!$A$1:$I$89,3,0)*VLOOKUP('Données projet'!$B$12,Paramètres!$A$1:$I$89,5,0)</f>
        <v>0</v>
      </c>
      <c r="CA39" s="14" t="e">
        <f t="shared" si="39"/>
        <v>#NUM!</v>
      </c>
      <c r="CB39" s="22" t="e">
        <f t="shared" si="10"/>
        <v>#NUM!</v>
      </c>
      <c r="CC39" s="62" t="e">
        <f t="shared" si="11"/>
        <v>#NUM!</v>
      </c>
      <c r="CD39" s="62">
        <f ca="1">AVERAGE(OFFSET($CC$3,0,0,'Données projet'!$E$12+1,1))-AVERAGE(OFFSET($H$3,0,0,'Données projet'!$E$12+1,1))</f>
        <v>123.96745898973995</v>
      </c>
      <c r="CE39" s="62">
        <f t="shared" si="40"/>
        <v>638.75149573151157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105.93255986649831</v>
      </c>
      <c r="CL39" s="23">
        <f>EXP(-LN(2)/25)*CL38+(1-EXP(-LN(2)/25))/(LN(2)/25)*Calculateur!CG39*Calculateur!CI39*VLOOKUP('Données projet'!$B$12,Paramètres!$A$1:$I$89,3,0)*0.475*44/12</f>
        <v>25.351239235957905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131.28379910245621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121.59687193641378</v>
      </c>
      <c r="T40" s="62">
        <f t="shared" si="34"/>
        <v>625.69364310937681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101.59756334999788</v>
      </c>
      <c r="AA40" s="23">
        <f>EXP(-LN(2)/25)*AA39+(1-EXP(-LN(2)/25))/(LN(2)/25)*Calculateur!V40*Calculateur!X40*VLOOKUP('Données projet'!$B$9,Paramètres!$A$1:$I$89,3,0)*0.475*44/12</f>
        <v>24.121964607932853</v>
      </c>
      <c r="AB40" s="23">
        <f>EXP(-LN(2)/2)*AB39+(1-EXP(-LN(2)/2))/(LN(2)/2)*V40*Y40*VLOOKUP('Données projet'!$B$9,Paramètres!$A$1:$I$89,3,0)*0.475*44/12</f>
        <v>0</v>
      </c>
      <c r="AC40" s="24">
        <f t="shared" si="3"/>
        <v>125.71952795793074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6.2</v>
      </c>
      <c r="AI40" s="14">
        <f>IF('Données projet'!$A$62&gt;35,AI39+AH40-AQ39,IF(A40&lt;'Données projet'!$A$62,$AF$205^A40,IF(A40='Données projet'!$A$62,'Données projet'!$B$62,AI39+AH40-AQ39)))</f>
        <v>270.39999999999998</v>
      </c>
      <c r="AJ40" s="14">
        <f>AI40*VLOOKUP('Données projet'!$B$10,Paramètres!$A$1:$I$89,3,0)*VLOOKUP('Données projet'!$B$10,Paramètres!$A$1:$I$89,5,0)</f>
        <v>244.65791999999996</v>
      </c>
      <c r="AK40" s="14">
        <f t="shared" si="35"/>
        <v>59.44058075210868</v>
      </c>
      <c r="AL40" s="22">
        <f t="shared" si="4"/>
        <v>529.6382221432558</v>
      </c>
      <c r="AM40" s="62">
        <f t="shared" si="5"/>
        <v>822.97155547658917</v>
      </c>
      <c r="AN40" s="62">
        <f ca="1">AVERAGE(OFFSET($AM$3,0,0,'Données projet'!$E$10+1,1))-AVERAGE(OFFSET($H$3,0,0,'Données projet'!$E$10+1,1))</f>
        <v>366.86025470473652</v>
      </c>
      <c r="AO40" s="62">
        <f t="shared" si="36"/>
        <v>513.80016421153414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1.1368683772161603E-13</v>
      </c>
      <c r="BE40" s="14">
        <f>BD40*VLOOKUP('Données projet'!$B$11,Paramètres!$A$1:$I$89,3,0)*VLOOKUP('Données projet'!$B$11,Paramètres!$A$1:$I$89,5,0)</f>
        <v>6.7984728957526396E-14</v>
      </c>
      <c r="BF40" s="14">
        <f t="shared" si="37"/>
        <v>1.0682447123141398E-12</v>
      </c>
      <c r="BG40" s="22">
        <f t="shared" si="7"/>
        <v>1.978932943548152E-12</v>
      </c>
      <c r="BH40" s="62">
        <f t="shared" si="8"/>
        <v>293.3333333333353</v>
      </c>
      <c r="BI40" s="62">
        <f ca="1">AVERAGE(OFFSET($BH$3,0,0,'Données projet'!$E$11+1,1))-AVERAGE(OFFSET($H$3,0,0,'Données projet'!$E$11+1,1))</f>
        <v>187.13674266165236</v>
      </c>
      <c r="BJ40" s="62">
        <f t="shared" si="38"/>
        <v>439.28159165815276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46.418112354472086</v>
      </c>
      <c r="BQ40" s="23">
        <f>EXP(-LN(2)/25)*BQ39+(1-EXP(-LN(2)/25))/(LN(2)/25)*Calculateur!BL40*Calculateur!BN40*VLOOKUP('Données projet'!$B$11,Paramètres!$A$1:$I$89,3,0)*0.475*44/12</f>
        <v>36.195849020589826</v>
      </c>
      <c r="BR40" s="23">
        <f>EXP(-LN(2)/2)*BR39+(1-EXP(-LN(2)/2))/(LN(2)/2)*BL40*BO40*VLOOKUP('Données projet'!$B$11,Paramètres!$A$1:$I$89,3,0)*0.475*44/12</f>
        <v>3.8508491535572058</v>
      </c>
      <c r="BS40" s="24">
        <f t="shared" si="9"/>
        <v>86.464810528619111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>
        <f>BY40*VLOOKUP('Données projet'!$B$12,Paramètres!$A$1:$I$89,3,0)*VLOOKUP('Données projet'!$B$12,Paramètres!$A$1:$I$89,5,0)</f>
        <v>0</v>
      </c>
      <c r="CA40" s="14" t="e">
        <f t="shared" si="39"/>
        <v>#NUM!</v>
      </c>
      <c r="CB40" s="22" t="e">
        <f t="shared" si="10"/>
        <v>#NUM!</v>
      </c>
      <c r="CC40" s="62" t="e">
        <f t="shared" si="11"/>
        <v>#NUM!</v>
      </c>
      <c r="CD40" s="62">
        <f ca="1">AVERAGE(OFFSET($CC$3,0,0,'Données projet'!$E$12+1,1))-AVERAGE(OFFSET($H$3,0,0,'Données projet'!$E$12+1,1))</f>
        <v>123.96745898973995</v>
      </c>
      <c r="CE40" s="62">
        <f t="shared" si="40"/>
        <v>638.75149573151157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103.85528697999784</v>
      </c>
      <c r="CL40" s="23">
        <f>EXP(-LN(2)/25)*CL39+(1-EXP(-LN(2)/25))/(LN(2)/25)*Calculateur!CG40*Calculateur!CI40*VLOOKUP('Données projet'!$B$12,Paramètres!$A$1:$I$89,3,0)*0.475*44/12</f>
        <v>24.658008265886906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128.51329524588476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121.59687193641378</v>
      </c>
      <c r="T41" s="62">
        <f t="shared" si="34"/>
        <v>625.69364310937681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99.605297101099197</v>
      </c>
      <c r="AA41" s="23">
        <f>EXP(-LN(2)/25)*AA40+(1-EXP(-LN(2)/25))/(LN(2)/25)*Calculateur!V41*Calculateur!X41*VLOOKUP('Données projet'!$B$9,Paramètres!$A$1:$I$89,3,0)*0.475*44/12</f>
        <v>23.462348217209943</v>
      </c>
      <c r="AB41" s="23">
        <f>EXP(-LN(2)/2)*AB40+(1-EXP(-LN(2)/2))/(LN(2)/2)*V41*Y41*VLOOKUP('Données projet'!$B$9,Paramètres!$A$1:$I$89,3,0)*0.475*44/12</f>
        <v>0</v>
      </c>
      <c r="AC41" s="24">
        <f t="shared" si="3"/>
        <v>123.06764531830913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6.2</v>
      </c>
      <c r="AI41" s="14">
        <f>IF('Données projet'!$A$62&gt;35,AI40+AH41-AQ40,IF(A41&lt;'Données projet'!$A$62,$AF$205^A41,IF(A41='Données projet'!$A$62,'Données projet'!$B$62,AI40+AH41-AQ40)))</f>
        <v>276.59999999999997</v>
      </c>
      <c r="AJ41" s="14">
        <f>AI41*VLOOKUP('Données projet'!$B$10,Paramètres!$A$1:$I$89,3,0)*VLOOKUP('Données projet'!$B$10,Paramètres!$A$1:$I$89,5,0)</f>
        <v>250.26767999999996</v>
      </c>
      <c r="AK41" s="14">
        <f t="shared" si="35"/>
        <v>60.643256925083442</v>
      </c>
      <c r="AL41" s="22">
        <f t="shared" si="4"/>
        <v>541.50321514452014</v>
      </c>
      <c r="AM41" s="62">
        <f t="shared" si="5"/>
        <v>834.83654847785351</v>
      </c>
      <c r="AN41" s="62">
        <f ca="1">AVERAGE(OFFSET($AM$3,0,0,'Données projet'!$E$10+1,1))-AVERAGE(OFFSET($H$3,0,0,'Données projet'!$E$10+1,1))</f>
        <v>366.86025470473652</v>
      </c>
      <c r="AO41" s="62">
        <f t="shared" si="36"/>
        <v>513.80016421153414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1.1368683772161603E-13</v>
      </c>
      <c r="BE41" s="14">
        <f>BD41*VLOOKUP('Données projet'!$B$11,Paramètres!$A$1:$I$89,3,0)*VLOOKUP('Données projet'!$B$11,Paramètres!$A$1:$I$89,5,0)</f>
        <v>6.7984728957526396E-14</v>
      </c>
      <c r="BF41" s="14">
        <f t="shared" si="37"/>
        <v>1.0682447123141398E-12</v>
      </c>
      <c r="BG41" s="22">
        <f t="shared" si="7"/>
        <v>1.978932943548152E-12</v>
      </c>
      <c r="BH41" s="62">
        <f t="shared" si="8"/>
        <v>293.3333333333353</v>
      </c>
      <c r="BI41" s="62">
        <f ca="1">AVERAGE(OFFSET($BH$3,0,0,'Données projet'!$E$11+1,1))-AVERAGE(OFFSET($H$3,0,0,'Données projet'!$E$11+1,1))</f>
        <v>187.13674266165236</v>
      </c>
      <c r="BJ41" s="62">
        <f t="shared" si="38"/>
        <v>439.28159165815276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45.507881483453822</v>
      </c>
      <c r="BQ41" s="23">
        <f>EXP(-LN(2)/25)*BQ40+(1-EXP(-LN(2)/25))/(LN(2)/25)*Calculateur!BL41*Calculateur!BN41*VLOOKUP('Données projet'!$B$11,Paramètres!$A$1:$I$89,3,0)*0.475*44/12</f>
        <v>35.206071625664826</v>
      </c>
      <c r="BR41" s="23">
        <f>EXP(-LN(2)/2)*BR40+(1-EXP(-LN(2)/2))/(LN(2)/2)*BL41*BO41*VLOOKUP('Données projet'!$B$11,Paramètres!$A$1:$I$89,3,0)*0.475*44/12</f>
        <v>2.7229615498067772</v>
      </c>
      <c r="BS41" s="24">
        <f t="shared" si="9"/>
        <v>83.436914658925431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>
        <f>BY41*VLOOKUP('Données projet'!$B$12,Paramètres!$A$1:$I$89,3,0)*VLOOKUP('Données projet'!$B$12,Paramètres!$A$1:$I$89,5,0)</f>
        <v>0</v>
      </c>
      <c r="CA41" s="14" t="e">
        <f t="shared" si="39"/>
        <v>#NUM!</v>
      </c>
      <c r="CB41" s="22" t="e">
        <f t="shared" si="10"/>
        <v>#NUM!</v>
      </c>
      <c r="CC41" s="62" t="e">
        <f t="shared" si="11"/>
        <v>#NUM!</v>
      </c>
      <c r="CD41" s="62">
        <f ca="1">AVERAGE(OFFSET($CC$3,0,0,'Données projet'!$E$12+1,1))-AVERAGE(OFFSET($H$3,0,0,'Données projet'!$E$12+1,1))</f>
        <v>123.96745898973995</v>
      </c>
      <c r="CE41" s="62">
        <f t="shared" si="40"/>
        <v>638.75149573151157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101.8187481477903</v>
      </c>
      <c r="CL41" s="23">
        <f>EXP(-LN(2)/25)*CL40+(1-EXP(-LN(2)/25))/(LN(2)/25)*Calculateur!CG41*Calculateur!CI41*VLOOKUP('Données projet'!$B$12,Paramètres!$A$1:$I$89,3,0)*0.475*44/12</f>
        <v>23.983733733147929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125.80248188093823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121.59687193641378</v>
      </c>
      <c r="T42" s="62">
        <f t="shared" si="34"/>
        <v>625.69364310937681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97.652097978178986</v>
      </c>
      <c r="AA42" s="23">
        <f>EXP(-LN(2)/25)*AA41+(1-EXP(-LN(2)/25))/(LN(2)/25)*Calculateur!V42*Calculateur!X42*VLOOKUP('Données projet'!$B$9,Paramètres!$A$1:$I$89,3,0)*0.475*44/12</f>
        <v>22.820769071379068</v>
      </c>
      <c r="AB42" s="23">
        <f>EXP(-LN(2)/2)*AB41+(1-EXP(-LN(2)/2))/(LN(2)/2)*V42*Y42*VLOOKUP('Données projet'!$B$9,Paramètres!$A$1:$I$89,3,0)*0.475*44/12</f>
        <v>0</v>
      </c>
      <c r="AC42" s="24">
        <f t="shared" si="3"/>
        <v>120.47286704955806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6.2</v>
      </c>
      <c r="AI42" s="14">
        <f>IF('Données projet'!$A$62&gt;35,AI41+AH42-AQ41,IF(A42&lt;'Données projet'!$A$62,$AF$205^A42,IF(A42='Données projet'!$A$62,'Données projet'!$B$62,AI41+AH42-AQ41)))</f>
        <v>282.79999999999995</v>
      </c>
      <c r="AJ42" s="14">
        <f>AI42*VLOOKUP('Données projet'!$B$10,Paramètres!$A$1:$I$89,3,0)*VLOOKUP('Données projet'!$B$10,Paramètres!$A$1:$I$89,5,0)</f>
        <v>255.87743999999998</v>
      </c>
      <c r="AK42" s="14">
        <f t="shared" si="35"/>
        <v>61.842798995505326</v>
      </c>
      <c r="AL42" s="22">
        <f t="shared" si="4"/>
        <v>553.36274958383854</v>
      </c>
      <c r="AM42" s="62">
        <f t="shared" si="5"/>
        <v>846.69608291717191</v>
      </c>
      <c r="AN42" s="62">
        <f ca="1">AVERAGE(OFFSET($AM$3,0,0,'Données projet'!$E$10+1,1))-AVERAGE(OFFSET($H$3,0,0,'Données projet'!$E$10+1,1))</f>
        <v>366.86025470473652</v>
      </c>
      <c r="AO42" s="62">
        <f t="shared" si="36"/>
        <v>513.80016421153414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1.1368683772161603E-13</v>
      </c>
      <c r="BE42" s="14">
        <f>BD42*VLOOKUP('Données projet'!$B$11,Paramètres!$A$1:$I$89,3,0)*VLOOKUP('Données projet'!$B$11,Paramètres!$A$1:$I$89,5,0)</f>
        <v>6.7984728957526396E-14</v>
      </c>
      <c r="BF42" s="14">
        <f t="shared" si="37"/>
        <v>1.0682447123141398E-12</v>
      </c>
      <c r="BG42" s="22">
        <f t="shared" si="7"/>
        <v>1.978932943548152E-12</v>
      </c>
      <c r="BH42" s="62">
        <f t="shared" si="8"/>
        <v>293.3333333333353</v>
      </c>
      <c r="BI42" s="62">
        <f ca="1">AVERAGE(OFFSET($BH$3,0,0,'Données projet'!$E$11+1,1))-AVERAGE(OFFSET($H$3,0,0,'Données projet'!$E$11+1,1))</f>
        <v>187.13674266165236</v>
      </c>
      <c r="BJ42" s="62">
        <f t="shared" si="38"/>
        <v>439.28159165815276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44.615499684630215</v>
      </c>
      <c r="BQ42" s="23">
        <f>EXP(-LN(2)/25)*BQ41+(1-EXP(-LN(2)/25))/(LN(2)/25)*Calculateur!BL42*Calculateur!BN42*VLOOKUP('Données projet'!$B$11,Paramètres!$A$1:$I$89,3,0)*0.475*44/12</f>
        <v>34.243359745654182</v>
      </c>
      <c r="BR42" s="23">
        <f>EXP(-LN(2)/2)*BR41+(1-EXP(-LN(2)/2))/(LN(2)/2)*BL42*BO42*VLOOKUP('Données projet'!$B$11,Paramètres!$A$1:$I$89,3,0)*0.475*44/12</f>
        <v>1.9254245767786033</v>
      </c>
      <c r="BS42" s="24">
        <f t="shared" si="9"/>
        <v>80.784284007063007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>
        <f>BY42*VLOOKUP('Données projet'!$B$12,Paramètres!$A$1:$I$89,3,0)*VLOOKUP('Données projet'!$B$12,Paramètres!$A$1:$I$89,5,0)</f>
        <v>0</v>
      </c>
      <c r="CA42" s="14" t="e">
        <f t="shared" si="39"/>
        <v>#NUM!</v>
      </c>
      <c r="CB42" s="22" t="e">
        <f t="shared" si="10"/>
        <v>#NUM!</v>
      </c>
      <c r="CC42" s="62" t="e">
        <f t="shared" si="11"/>
        <v>#NUM!</v>
      </c>
      <c r="CD42" s="62">
        <f ca="1">AVERAGE(OFFSET($CC$3,0,0,'Données projet'!$E$12+1,1))-AVERAGE(OFFSET($H$3,0,0,'Données projet'!$E$12+1,1))</f>
        <v>123.96745898973995</v>
      </c>
      <c r="CE42" s="62">
        <f t="shared" si="40"/>
        <v>638.75149573151157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99.822144599916314</v>
      </c>
      <c r="CL42" s="23">
        <f>EXP(-LN(2)/25)*CL41+(1-EXP(-LN(2)/25))/(LN(2)/25)*Calculateur!CG42*Calculateur!CI42*VLOOKUP('Données projet'!$B$12,Paramètres!$A$1:$I$89,3,0)*0.475*44/12</f>
        <v>23.327897272965256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123.15004187288157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121.59687193641378</v>
      </c>
      <c r="T43" s="62">
        <f t="shared" si="34"/>
        <v>625.69364310937681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95.737199898725407</v>
      </c>
      <c r="AA43" s="23">
        <f>EXP(-LN(2)/25)*AA42+(1-EXP(-LN(2)/25))/(LN(2)/25)*Calculateur!V43*Calculateur!X43*VLOOKUP('Données projet'!$B$9,Paramètres!$A$1:$I$89,3,0)*0.475*44/12</f>
        <v>22.196733941030121</v>
      </c>
      <c r="AB43" s="23">
        <f>EXP(-LN(2)/2)*AB42+(1-EXP(-LN(2)/2))/(LN(2)/2)*V43*Y43*VLOOKUP('Données projet'!$B$9,Paramètres!$A$1:$I$89,3,0)*0.475*44/12</f>
        <v>0</v>
      </c>
      <c r="AC43" s="24">
        <f t="shared" si="3"/>
        <v>117.93393383975553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289</v>
      </c>
      <c r="AG43" s="13">
        <f>VLOOKUP(A43,'Données projet'!$A$61:$I$81,9,0)</f>
        <v>6.2</v>
      </c>
      <c r="AH43" s="13">
        <f t="array" ref="AH43">INDEX(AG:AG,MIN(IF(ISNUMBER(AG43:AG239),ROW(AG43:AG239),"")))</f>
        <v>6.2</v>
      </c>
      <c r="AI43" s="14">
        <f>IF('Données projet'!$A$62&gt;35,AI42+AH43-AQ42,IF(A43&lt;'Données projet'!$A$62,$AF$205^A43,IF(A43='Données projet'!$A$62,'Données projet'!$B$62,AI42+AH43-AQ42)))</f>
        <v>288.99999999999994</v>
      </c>
      <c r="AJ43" s="14">
        <f>AI43*VLOOKUP('Données projet'!$B$10,Paramètres!$A$1:$I$89,3,0)*VLOOKUP('Données projet'!$B$10,Paramètres!$A$1:$I$89,5,0)</f>
        <v>261.48719999999992</v>
      </c>
      <c r="AK43" s="14">
        <f t="shared" si="35"/>
        <v>63.039283586802391</v>
      </c>
      <c r="AL43" s="22">
        <f t="shared" si="4"/>
        <v>565.21695891368074</v>
      </c>
      <c r="AM43" s="62">
        <f t="shared" si="5"/>
        <v>858.55029224701411</v>
      </c>
      <c r="AN43" s="62">
        <f ca="1">AVERAGE(OFFSET($AM$3,0,0,'Données projet'!$E$10+1,1))-AVERAGE(OFFSET($H$3,0,0,'Données projet'!$E$10+1,1))</f>
        <v>366.86025470473652</v>
      </c>
      <c r="AO43" s="62">
        <f t="shared" si="36"/>
        <v>513.80016421153414</v>
      </c>
      <c r="AP43" s="16">
        <f>IF(ISNA(VLOOKUP(A43,'Données projet'!$A$61:$I$81,3,0)),0,VLOOKUP(A43,'Données projet'!$A$61:$I$81,3,0))</f>
        <v>8</v>
      </c>
      <c r="AQ43" s="16">
        <f>IF(ISNA(VLOOKUP(A43,'Données projet'!$A$61:$I$81,4,0)),0,VLOOKUP(A43,'Données projet'!$A$61:$I$81,4,0))</f>
        <v>7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1.1368683772161603E-13</v>
      </c>
      <c r="BE43" s="14">
        <f>BD43*VLOOKUP('Données projet'!$B$11,Paramètres!$A$1:$I$89,3,0)*VLOOKUP('Données projet'!$B$11,Paramètres!$A$1:$I$89,5,0)</f>
        <v>6.7984728957526396E-14</v>
      </c>
      <c r="BF43" s="14">
        <f t="shared" si="37"/>
        <v>1.0682447123141398E-12</v>
      </c>
      <c r="BG43" s="22">
        <f t="shared" si="7"/>
        <v>1.978932943548152E-12</v>
      </c>
      <c r="BH43" s="62">
        <f t="shared" si="8"/>
        <v>293.3333333333353</v>
      </c>
      <c r="BI43" s="62">
        <f ca="1">AVERAGE(OFFSET($BH$3,0,0,'Données projet'!$E$11+1,1))-AVERAGE(OFFSET($H$3,0,0,'Données projet'!$E$11+1,1))</f>
        <v>187.13674266165236</v>
      </c>
      <c r="BJ43" s="62">
        <f t="shared" si="38"/>
        <v>439.28159165815276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43.740616948582385</v>
      </c>
      <c r="BQ43" s="23">
        <f>EXP(-LN(2)/25)*BQ42+(1-EXP(-LN(2)/25))/(LN(2)/25)*Calculateur!BL43*Calculateur!BN43*VLOOKUP('Données projet'!$B$11,Paramètres!$A$1:$I$89,3,0)*0.475*44/12</f>
        <v>33.306973272629243</v>
      </c>
      <c r="BR43" s="23">
        <f>EXP(-LN(2)/2)*BR42+(1-EXP(-LN(2)/2))/(LN(2)/2)*BL43*BO43*VLOOKUP('Données projet'!$B$11,Paramètres!$A$1:$I$89,3,0)*0.475*44/12</f>
        <v>1.3614807749033888</v>
      </c>
      <c r="BS43" s="24">
        <f t="shared" si="9"/>
        <v>78.40907099611502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>
        <f>BY43*VLOOKUP('Données projet'!$B$12,Paramètres!$A$1:$I$89,3,0)*VLOOKUP('Données projet'!$B$12,Paramètres!$A$1:$I$89,5,0)</f>
        <v>0</v>
      </c>
      <c r="CA43" s="14" t="e">
        <f t="shared" si="39"/>
        <v>#NUM!</v>
      </c>
      <c r="CB43" s="22" t="e">
        <f t="shared" si="10"/>
        <v>#NUM!</v>
      </c>
      <c r="CC43" s="62" t="e">
        <f t="shared" si="11"/>
        <v>#NUM!</v>
      </c>
      <c r="CD43" s="62">
        <f ca="1">AVERAGE(OFFSET($CC$3,0,0,'Données projet'!$E$12+1,1))-AVERAGE(OFFSET($H$3,0,0,'Données projet'!$E$12+1,1))</f>
        <v>123.96745898973995</v>
      </c>
      <c r="CE43" s="62">
        <f t="shared" si="40"/>
        <v>638.75149573151157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97.864693229808211</v>
      </c>
      <c r="CL43" s="23">
        <f>EXP(-LN(2)/25)*CL42+(1-EXP(-LN(2)/25))/(LN(2)/25)*Calculateur!CG43*Calculateur!CI43*VLOOKUP('Données projet'!$B$12,Paramètres!$A$1:$I$89,3,0)*0.475*44/12</f>
        <v>22.689994695275221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120.55468792508343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121.59687193641378</v>
      </c>
      <c r="T44" s="62">
        <f t="shared" si="34"/>
        <v>625.69364310937681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93.859851802637422</v>
      </c>
      <c r="AA44" s="23">
        <f>EXP(-LN(2)/25)*AA43+(1-EXP(-LN(2)/25))/(LN(2)/25)*Calculateur!V44*Calculateur!X44*VLOOKUP('Données projet'!$B$9,Paramètres!$A$1:$I$89,3,0)*0.475*44/12</f>
        <v>21.589763084137147</v>
      </c>
      <c r="AB44" s="23">
        <f>EXP(-LN(2)/2)*AB43+(1-EXP(-LN(2)/2))/(LN(2)/2)*V44*Y44*VLOOKUP('Données projet'!$B$9,Paramètres!$A$1:$I$89,3,0)*0.475*44/12</f>
        <v>0</v>
      </c>
      <c r="AC44" s="24">
        <f t="shared" si="3"/>
        <v>115.44961488677457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6</v>
      </c>
      <c r="AI44" s="14">
        <f>IF('Données projet'!$A$62&gt;35,AI43+AH44-AQ43,IF(A44&lt;'Données projet'!$A$62,$AF$205^A44,IF(A44='Données projet'!$A$62,'Données projet'!$B$62,AI43+AH44-AQ43)))</f>
        <v>287.99999999999994</v>
      </c>
      <c r="AJ44" s="14">
        <f>AI44*VLOOKUP('Données projet'!$B$10,Paramètres!$A$1:$I$89,3,0)*VLOOKUP('Données projet'!$B$10,Paramètres!$A$1:$I$89,5,0)</f>
        <v>260.58239999999995</v>
      </c>
      <c r="AK44" s="14">
        <f t="shared" si="35"/>
        <v>62.846505929896907</v>
      </c>
      <c r="AL44" s="22">
        <f t="shared" si="4"/>
        <v>563.30534449457025</v>
      </c>
      <c r="AM44" s="62">
        <f t="shared" si="5"/>
        <v>856.63867782790362</v>
      </c>
      <c r="AN44" s="62">
        <f ca="1">AVERAGE(OFFSET($AM$3,0,0,'Données projet'!$E$10+1,1))-AVERAGE(OFFSET($H$3,0,0,'Données projet'!$E$10+1,1))</f>
        <v>366.86025470473652</v>
      </c>
      <c r="AO44" s="62">
        <f t="shared" si="36"/>
        <v>513.80016421153414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1.1368683772161603E-13</v>
      </c>
      <c r="BE44" s="14">
        <f>BD44*VLOOKUP('Données projet'!$B$11,Paramètres!$A$1:$I$89,3,0)*VLOOKUP('Données projet'!$B$11,Paramètres!$A$1:$I$89,5,0)</f>
        <v>6.7984728957526396E-14</v>
      </c>
      <c r="BF44" s="14">
        <f t="shared" si="37"/>
        <v>1.0682447123141398E-12</v>
      </c>
      <c r="BG44" s="22">
        <f t="shared" si="7"/>
        <v>1.978932943548152E-12</v>
      </c>
      <c r="BH44" s="62">
        <f t="shared" si="8"/>
        <v>293.3333333333353</v>
      </c>
      <c r="BI44" s="62">
        <f ca="1">AVERAGE(OFFSET($BH$3,0,0,'Données projet'!$E$11+1,1))-AVERAGE(OFFSET($H$3,0,0,'Données projet'!$E$11+1,1))</f>
        <v>187.13674266165236</v>
      </c>
      <c r="BJ44" s="62">
        <f t="shared" si="38"/>
        <v>439.28159165815276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42.882890129362679</v>
      </c>
      <c r="BQ44" s="23">
        <f>EXP(-LN(2)/25)*BQ43+(1-EXP(-LN(2)/25))/(LN(2)/25)*Calculateur!BL44*Calculateur!BN44*VLOOKUP('Données projet'!$B$11,Paramètres!$A$1:$I$89,3,0)*0.475*44/12</f>
        <v>32.396192336951593</v>
      </c>
      <c r="BR44" s="23">
        <f>EXP(-LN(2)/2)*BR43+(1-EXP(-LN(2)/2))/(LN(2)/2)*BL44*BO44*VLOOKUP('Données projet'!$B$11,Paramètres!$A$1:$I$89,3,0)*0.475*44/12</f>
        <v>0.96271228838930178</v>
      </c>
      <c r="BS44" s="24">
        <f t="shared" si="9"/>
        <v>76.241794754703562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>
        <f>BY44*VLOOKUP('Données projet'!$B$12,Paramètres!$A$1:$I$89,3,0)*VLOOKUP('Données projet'!$B$12,Paramètres!$A$1:$I$89,5,0)</f>
        <v>0</v>
      </c>
      <c r="CA44" s="14" t="e">
        <f t="shared" si="39"/>
        <v>#NUM!</v>
      </c>
      <c r="CB44" s="22" t="e">
        <f t="shared" si="10"/>
        <v>#NUM!</v>
      </c>
      <c r="CC44" s="62" t="e">
        <f t="shared" si="11"/>
        <v>#NUM!</v>
      </c>
      <c r="CD44" s="62">
        <f ca="1">AVERAGE(OFFSET($CC$3,0,0,'Données projet'!$E$12+1,1))-AVERAGE(OFFSET($H$3,0,0,'Données projet'!$E$12+1,1))</f>
        <v>123.96745898973995</v>
      </c>
      <c r="CE44" s="62">
        <f t="shared" si="40"/>
        <v>638.75149573151157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95.945626287140485</v>
      </c>
      <c r="CL44" s="23">
        <f>EXP(-LN(2)/25)*CL43+(1-EXP(-LN(2)/25))/(LN(2)/25)*Calculateur!CG44*Calculateur!CI44*VLOOKUP('Données projet'!$B$12,Paramètres!$A$1:$I$89,3,0)*0.475*44/12</f>
        <v>22.069535597117959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118.01516188425845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121.59687193641378</v>
      </c>
      <c r="T45" s="62">
        <f t="shared" si="34"/>
        <v>625.69364310937681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92.019317357644454</v>
      </c>
      <c r="AA45" s="23">
        <f>EXP(-LN(2)/25)*AA44+(1-EXP(-LN(2)/25))/(LN(2)/25)*Calculateur!V45*Calculateur!X45*VLOOKUP('Données projet'!$B$9,Paramètres!$A$1:$I$89,3,0)*0.475*44/12</f>
        <v>20.999389877245118</v>
      </c>
      <c r="AB45" s="23">
        <f>EXP(-LN(2)/2)*AB44+(1-EXP(-LN(2)/2))/(LN(2)/2)*V45*Y45*VLOOKUP('Données projet'!$B$9,Paramètres!$A$1:$I$89,3,0)*0.475*44/12</f>
        <v>0</v>
      </c>
      <c r="AC45" s="24">
        <f t="shared" si="3"/>
        <v>113.01870723488958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6</v>
      </c>
      <c r="AI45" s="14">
        <f>IF('Données projet'!$A$62&gt;35,AI44+AH45-AQ44,IF(A45&lt;'Données projet'!$A$62,$AF$205^A45,IF(A45='Données projet'!$A$62,'Données projet'!$B$62,AI44+AH45-AQ44)))</f>
        <v>293.99999999999994</v>
      </c>
      <c r="AJ45" s="14">
        <f>AI45*VLOOKUP('Données projet'!$B$10,Paramètres!$A$1:$I$89,3,0)*VLOOKUP('Données projet'!$B$10,Paramètres!$A$1:$I$89,5,0)</f>
        <v>266.01119999999992</v>
      </c>
      <c r="AK45" s="14">
        <f t="shared" si="35"/>
        <v>64.00201337612566</v>
      </c>
      <c r="AL45" s="22">
        <f t="shared" si="4"/>
        <v>574.77301329675208</v>
      </c>
      <c r="AM45" s="62">
        <f t="shared" si="5"/>
        <v>868.10634663008545</v>
      </c>
      <c r="AN45" s="62">
        <f ca="1">AVERAGE(OFFSET($AM$3,0,0,'Données projet'!$E$10+1,1))-AVERAGE(OFFSET($H$3,0,0,'Données projet'!$E$10+1,1))</f>
        <v>366.86025470473652</v>
      </c>
      <c r="AO45" s="62">
        <f t="shared" si="36"/>
        <v>513.80016421153414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1.1368683772161603E-13</v>
      </c>
      <c r="BE45" s="14">
        <f>BD45*VLOOKUP('Données projet'!$B$11,Paramètres!$A$1:$I$89,3,0)*VLOOKUP('Données projet'!$B$11,Paramètres!$A$1:$I$89,5,0)</f>
        <v>6.7984728957526396E-14</v>
      </c>
      <c r="BF45" s="14">
        <f t="shared" si="37"/>
        <v>1.0682447123141398E-12</v>
      </c>
      <c r="BG45" s="22">
        <f t="shared" si="7"/>
        <v>1.978932943548152E-12</v>
      </c>
      <c r="BH45" s="62">
        <f t="shared" si="8"/>
        <v>293.3333333333353</v>
      </c>
      <c r="BI45" s="62">
        <f ca="1">AVERAGE(OFFSET($BH$3,0,0,'Données projet'!$E$11+1,1))-AVERAGE(OFFSET($H$3,0,0,'Données projet'!$E$11+1,1))</f>
        <v>187.13674266165236</v>
      </c>
      <c r="BJ45" s="62">
        <f t="shared" si="38"/>
        <v>439.28159165815276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42.041982809906166</v>
      </c>
      <c r="BQ45" s="23">
        <f>EXP(-LN(2)/25)*BQ44+(1-EXP(-LN(2)/25))/(LN(2)/25)*Calculateur!BL45*Calculateur!BN45*VLOOKUP('Données projet'!$B$11,Paramètres!$A$1:$I$89,3,0)*0.475*44/12</f>
        <v>31.510316753855939</v>
      </c>
      <c r="BR45" s="23">
        <f>EXP(-LN(2)/2)*BR44+(1-EXP(-LN(2)/2))/(LN(2)/2)*BL45*BO45*VLOOKUP('Données projet'!$B$11,Paramètres!$A$1:$I$89,3,0)*0.475*44/12</f>
        <v>0.68074038745169452</v>
      </c>
      <c r="BS45" s="24">
        <f t="shared" si="9"/>
        <v>74.233039951213797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>
        <f>BY45*VLOOKUP('Données projet'!$B$12,Paramètres!$A$1:$I$89,3,0)*VLOOKUP('Données projet'!$B$12,Paramètres!$A$1:$I$89,5,0)</f>
        <v>0</v>
      </c>
      <c r="CA45" s="14" t="e">
        <f t="shared" si="39"/>
        <v>#NUM!</v>
      </c>
      <c r="CB45" s="22" t="e">
        <f t="shared" si="10"/>
        <v>#NUM!</v>
      </c>
      <c r="CC45" s="62" t="e">
        <f t="shared" si="11"/>
        <v>#NUM!</v>
      </c>
      <c r="CD45" s="62">
        <f ca="1">AVERAGE(OFFSET($CC$3,0,0,'Données projet'!$E$12+1,1))-AVERAGE(OFFSET($H$3,0,0,'Données projet'!$E$12+1,1))</f>
        <v>123.96745898973995</v>
      </c>
      <c r="CE45" s="62">
        <f t="shared" si="40"/>
        <v>638.75149573151157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94.064191076703224</v>
      </c>
      <c r="CL45" s="23">
        <f>EXP(-LN(2)/25)*CL44+(1-EXP(-LN(2)/25))/(LN(2)/25)*Calculateur!CG45*Calculateur!CI45*VLOOKUP('Données projet'!$B$12,Paramètres!$A$1:$I$89,3,0)*0.475*44/12</f>
        <v>21.466042985628331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115.53023406233156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121.59687193641378</v>
      </c>
      <c r="T46" s="62">
        <f t="shared" si="34"/>
        <v>625.69364310937681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90.214874670502624</v>
      </c>
      <c r="AA46" s="23">
        <f>EXP(-LN(2)/25)*AA45+(1-EXP(-LN(2)/25))/(LN(2)/25)*Calculateur!V46*Calculateur!X46*VLOOKUP('Données projet'!$B$9,Paramètres!$A$1:$I$89,3,0)*0.475*44/12</f>
        <v>20.425160456741931</v>
      </c>
      <c r="AB46" s="23">
        <f>EXP(-LN(2)/2)*AB45+(1-EXP(-LN(2)/2))/(LN(2)/2)*V46*Y46*VLOOKUP('Données projet'!$B$9,Paramètres!$A$1:$I$89,3,0)*0.475*44/12</f>
        <v>0</v>
      </c>
      <c r="AC46" s="24">
        <f t="shared" si="3"/>
        <v>110.64003512724456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6</v>
      </c>
      <c r="AI46" s="14">
        <f>IF('Données projet'!$A$62&gt;35,AI45+AH46-AQ45,IF(A46&lt;'Données projet'!$A$62,$AF$205^A46,IF(A46='Données projet'!$A$62,'Données projet'!$B$62,AI45+AH46-AQ45)))</f>
        <v>299.99999999999994</v>
      </c>
      <c r="AJ46" s="14">
        <f>AI46*VLOOKUP('Données projet'!$B$10,Paramètres!$A$1:$I$89,3,0)*VLOOKUP('Données projet'!$B$10,Paramètres!$A$1:$I$89,5,0)</f>
        <v>271.43999999999994</v>
      </c>
      <c r="AK46" s="14">
        <f t="shared" si="35"/>
        <v>65.154778959151173</v>
      </c>
      <c r="AL46" s="22">
        <f t="shared" si="4"/>
        <v>586.23590668718805</v>
      </c>
      <c r="AM46" s="62">
        <f t="shared" si="5"/>
        <v>879.56924002052142</v>
      </c>
      <c r="AN46" s="62">
        <f ca="1">AVERAGE(OFFSET($AM$3,0,0,'Données projet'!$E$10+1,1))-AVERAGE(OFFSET($H$3,0,0,'Données projet'!$E$10+1,1))</f>
        <v>366.86025470473652</v>
      </c>
      <c r="AO46" s="62">
        <f t="shared" si="36"/>
        <v>513.80016421153414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1.1368683772161603E-13</v>
      </c>
      <c r="BE46" s="14">
        <f>BD46*VLOOKUP('Données projet'!$B$11,Paramètres!$A$1:$I$89,3,0)*VLOOKUP('Données projet'!$B$11,Paramètres!$A$1:$I$89,5,0)</f>
        <v>6.7984728957526396E-14</v>
      </c>
      <c r="BF46" s="14">
        <f t="shared" si="37"/>
        <v>1.0682447123141398E-12</v>
      </c>
      <c r="BG46" s="22">
        <f t="shared" si="7"/>
        <v>1.978932943548152E-12</v>
      </c>
      <c r="BH46" s="62">
        <f t="shared" si="8"/>
        <v>293.3333333333353</v>
      </c>
      <c r="BI46" s="62">
        <f ca="1">AVERAGE(OFFSET($BH$3,0,0,'Données projet'!$E$11+1,1))-AVERAGE(OFFSET($H$3,0,0,'Données projet'!$E$11+1,1))</f>
        <v>187.13674266165236</v>
      </c>
      <c r="BJ46" s="62">
        <f t="shared" si="38"/>
        <v>439.28159165815276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41.217565170081379</v>
      </c>
      <c r="BQ46" s="23">
        <f>EXP(-LN(2)/25)*BQ45+(1-EXP(-LN(2)/25))/(LN(2)/25)*Calculateur!BL46*Calculateur!BN46*VLOOKUP('Données projet'!$B$11,Paramètres!$A$1:$I$89,3,0)*0.475*44/12</f>
        <v>30.648665485166209</v>
      </c>
      <c r="BR46" s="23">
        <f>EXP(-LN(2)/2)*BR45+(1-EXP(-LN(2)/2))/(LN(2)/2)*BL46*BO46*VLOOKUP('Données projet'!$B$11,Paramètres!$A$1:$I$89,3,0)*0.475*44/12</f>
        <v>0.48135614419465095</v>
      </c>
      <c r="BS46" s="24">
        <f t="shared" si="9"/>
        <v>72.34758679944224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>
        <f>BY46*VLOOKUP('Données projet'!$B$12,Paramètres!$A$1:$I$89,3,0)*VLOOKUP('Données projet'!$B$12,Paramètres!$A$1:$I$89,5,0)</f>
        <v>0</v>
      </c>
      <c r="CA46" s="14" t="e">
        <f t="shared" si="39"/>
        <v>#NUM!</v>
      </c>
      <c r="CB46" s="22" t="e">
        <f t="shared" si="10"/>
        <v>#NUM!</v>
      </c>
      <c r="CC46" s="62" t="e">
        <f t="shared" si="11"/>
        <v>#NUM!</v>
      </c>
      <c r="CD46" s="62">
        <f ca="1">AVERAGE(OFFSET($CC$3,0,0,'Données projet'!$E$12+1,1))-AVERAGE(OFFSET($H$3,0,0,'Données projet'!$E$12+1,1))</f>
        <v>123.96745898973995</v>
      </c>
      <c r="CE46" s="62">
        <f t="shared" si="40"/>
        <v>638.75149573151157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92.219649663180462</v>
      </c>
      <c r="CL46" s="23">
        <f>EXP(-LN(2)/25)*CL45+(1-EXP(-LN(2)/25))/(LN(2)/25)*Calculateur!CG46*Calculateur!CI46*VLOOKUP('Données projet'!$B$12,Paramètres!$A$1:$I$89,3,0)*0.475*44/12</f>
        <v>20.879052911336185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113.09870257451665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121.59687193641378</v>
      </c>
      <c r="T47" s="62">
        <f t="shared" si="34"/>
        <v>625.69364310937681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88.44581600385429</v>
      </c>
      <c r="AA47" s="23">
        <f>EXP(-LN(2)/25)*AA46+(1-EXP(-LN(2)/25))/(LN(2)/25)*Calculateur!V47*Calculateur!X47*VLOOKUP('Données projet'!$B$9,Paramètres!$A$1:$I$89,3,0)*0.475*44/12</f>
        <v>19.866633369939816</v>
      </c>
      <c r="AB47" s="23">
        <f>EXP(-LN(2)/2)*AB46+(1-EXP(-LN(2)/2))/(LN(2)/2)*V47*Y47*VLOOKUP('Données projet'!$B$9,Paramètres!$A$1:$I$89,3,0)*0.475*44/12</f>
        <v>0</v>
      </c>
      <c r="AC47" s="24">
        <f t="shared" si="3"/>
        <v>108.31244937379411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6</v>
      </c>
      <c r="AI47" s="14">
        <f>IF('Données projet'!$A$62&gt;35,AI46+AH47-AQ46,IF(A47&lt;'Données projet'!$A$62,$AF$205^A47,IF(A47='Données projet'!$A$62,'Données projet'!$B$62,AI46+AH47-AQ46)))</f>
        <v>305.99999999999994</v>
      </c>
      <c r="AJ47" s="14">
        <f>AI47*VLOOKUP('Données projet'!$B$10,Paramètres!$A$1:$I$89,3,0)*VLOOKUP('Données projet'!$B$10,Paramètres!$A$1:$I$89,5,0)</f>
        <v>276.86879999999996</v>
      </c>
      <c r="AK47" s="14">
        <f t="shared" si="35"/>
        <v>66.30486383631866</v>
      </c>
      <c r="AL47" s="22">
        <f t="shared" si="4"/>
        <v>597.6941311815882</v>
      </c>
      <c r="AM47" s="62">
        <f t="shared" si="5"/>
        <v>891.02746451492158</v>
      </c>
      <c r="AN47" s="62">
        <f ca="1">AVERAGE(OFFSET($AM$3,0,0,'Données projet'!$E$10+1,1))-AVERAGE(OFFSET($H$3,0,0,'Données projet'!$E$10+1,1))</f>
        <v>366.86025470473652</v>
      </c>
      <c r="AO47" s="62">
        <f t="shared" si="36"/>
        <v>513.80016421153414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1.1368683772161603E-13</v>
      </c>
      <c r="BE47" s="14">
        <f>BD47*VLOOKUP('Données projet'!$B$11,Paramètres!$A$1:$I$89,3,0)*VLOOKUP('Données projet'!$B$11,Paramètres!$A$1:$I$89,5,0)</f>
        <v>6.7984728957526396E-14</v>
      </c>
      <c r="BF47" s="14">
        <f t="shared" si="37"/>
        <v>1.0682447123141398E-12</v>
      </c>
      <c r="BG47" s="22">
        <f t="shared" si="7"/>
        <v>1.978932943548152E-12</v>
      </c>
      <c r="BH47" s="62">
        <f t="shared" si="8"/>
        <v>293.3333333333353</v>
      </c>
      <c r="BI47" s="62">
        <f ca="1">AVERAGE(OFFSET($BH$3,0,0,'Données projet'!$E$11+1,1))-AVERAGE(OFFSET($H$3,0,0,'Données projet'!$E$11+1,1))</f>
        <v>187.13674266165236</v>
      </c>
      <c r="BJ47" s="62">
        <f t="shared" si="38"/>
        <v>439.28159165815276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40.409313857328442</v>
      </c>
      <c r="BQ47" s="23">
        <f>EXP(-LN(2)/25)*BQ46+(1-EXP(-LN(2)/25))/(LN(2)/25)*Calculateur!BL47*Calculateur!BN47*VLOOKUP('Données projet'!$B$11,Paramètres!$A$1:$I$89,3,0)*0.475*44/12</f>
        <v>29.81057611573107</v>
      </c>
      <c r="BR47" s="23">
        <f>EXP(-LN(2)/2)*BR46+(1-EXP(-LN(2)/2))/(LN(2)/2)*BL47*BO47*VLOOKUP('Données projet'!$B$11,Paramètres!$A$1:$I$89,3,0)*0.475*44/12</f>
        <v>0.34037019372584731</v>
      </c>
      <c r="BS47" s="24">
        <f t="shared" si="9"/>
        <v>70.560260166785355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>
        <f>BY47*VLOOKUP('Données projet'!$B$12,Paramètres!$A$1:$I$89,3,0)*VLOOKUP('Données projet'!$B$12,Paramètres!$A$1:$I$89,5,0)</f>
        <v>0</v>
      </c>
      <c r="CA47" s="14" t="e">
        <f t="shared" si="39"/>
        <v>#NUM!</v>
      </c>
      <c r="CB47" s="22" t="e">
        <f t="shared" si="10"/>
        <v>#NUM!</v>
      </c>
      <c r="CC47" s="62" t="e">
        <f t="shared" si="11"/>
        <v>#NUM!</v>
      </c>
      <c r="CD47" s="62">
        <f ca="1">AVERAGE(OFFSET($CC$3,0,0,'Données projet'!$E$12+1,1))-AVERAGE(OFFSET($H$3,0,0,'Données projet'!$E$12+1,1))</f>
        <v>123.96745898973995</v>
      </c>
      <c r="CE47" s="62">
        <f t="shared" si="40"/>
        <v>638.75149573151157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90.41127858171771</v>
      </c>
      <c r="CL47" s="23">
        <f>EXP(-LN(2)/25)*CL46+(1-EXP(-LN(2)/25))/(LN(2)/25)*Calculateur!CG47*Calculateur!CI47*VLOOKUP('Données projet'!$B$12,Paramètres!$A$1:$I$89,3,0)*0.475*44/12</f>
        <v>20.308114111494024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110.71939269321173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121.59687193641378</v>
      </c>
      <c r="T48" s="62">
        <f t="shared" si="34"/>
        <v>625.69364310937681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86.711447498639686</v>
      </c>
      <c r="AA48" s="23">
        <f>EXP(-LN(2)/25)*AA47+(1-EXP(-LN(2)/25))/(LN(2)/25)*Calculateur!V48*Calculateur!X48*VLOOKUP('Données projet'!$B$9,Paramètres!$A$1:$I$89,3,0)*0.475*44/12</f>
        <v>19.323379235697967</v>
      </c>
      <c r="AB48" s="23">
        <f>EXP(-LN(2)/2)*AB47+(1-EXP(-LN(2)/2))/(LN(2)/2)*V48*Y48*VLOOKUP('Données projet'!$B$9,Paramètres!$A$1:$I$89,3,0)*0.475*44/12</f>
        <v>0</v>
      </c>
      <c r="AC48" s="24">
        <f t="shared" si="3"/>
        <v>106.03482673433766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312</v>
      </c>
      <c r="AG48" s="13">
        <f>VLOOKUP(A48,'Données projet'!$A$61:$I$81,9,0)</f>
        <v>6</v>
      </c>
      <c r="AH48" s="13">
        <f t="array" ref="AH48">INDEX(AG:AG,MIN(IF(ISNUMBER(AG48:AG244),ROW(AG48:AG244),"")))</f>
        <v>6</v>
      </c>
      <c r="AI48" s="14">
        <f>IF('Données projet'!$A$62&gt;35,AI47+AH48-AQ47,IF(A48&lt;'Données projet'!$A$62,$AF$205^A48,IF(A48='Données projet'!$A$62,'Données projet'!$B$62,AI47+AH48-AQ47)))</f>
        <v>311.99999999999994</v>
      </c>
      <c r="AJ48" s="14">
        <f>AI48*VLOOKUP('Données projet'!$B$10,Paramètres!$A$1:$I$89,3,0)*VLOOKUP('Données projet'!$B$10,Paramètres!$A$1:$I$89,5,0)</f>
        <v>282.29759999999993</v>
      </c>
      <c r="AK48" s="14">
        <f t="shared" si="35"/>
        <v>67.452326629470178</v>
      </c>
      <c r="AL48" s="22">
        <f t="shared" si="4"/>
        <v>609.14778887966042</v>
      </c>
      <c r="AM48" s="62">
        <f t="shared" si="5"/>
        <v>902.4811222129938</v>
      </c>
      <c r="AN48" s="62">
        <f ca="1">AVERAGE(OFFSET($AM$3,0,0,'Données projet'!$E$10+1,1))-AVERAGE(OFFSET($H$3,0,0,'Données projet'!$E$10+1,1))</f>
        <v>366.86025470473652</v>
      </c>
      <c r="AO48" s="62">
        <f t="shared" si="36"/>
        <v>513.80016421153414</v>
      </c>
      <c r="AP48" s="16">
        <f>IF(ISNA(VLOOKUP(A48,'Données projet'!$A$61:$I$81,3,0)),0,VLOOKUP(A48,'Données projet'!$A$61:$I$81,3,0))</f>
        <v>9</v>
      </c>
      <c r="AQ48" s="16">
        <f>IF(ISNA(VLOOKUP(A48,'Données projet'!$A$61:$I$81,4,0)),0,VLOOKUP(A48,'Données projet'!$A$61:$I$81,4,0))</f>
        <v>312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1.1368683772161603E-13</v>
      </c>
      <c r="BE48" s="14">
        <f>BD48*VLOOKUP('Données projet'!$B$11,Paramètres!$A$1:$I$89,3,0)*VLOOKUP('Données projet'!$B$11,Paramètres!$A$1:$I$89,5,0)</f>
        <v>6.7984728957526396E-14</v>
      </c>
      <c r="BF48" s="14">
        <f t="shared" si="37"/>
        <v>1.0682447123141398E-12</v>
      </c>
      <c r="BG48" s="22">
        <f t="shared" si="7"/>
        <v>1.978932943548152E-12</v>
      </c>
      <c r="BH48" s="62">
        <f t="shared" si="8"/>
        <v>293.3333333333353</v>
      </c>
      <c r="BI48" s="62">
        <f ca="1">AVERAGE(OFFSET($BH$3,0,0,'Données projet'!$E$11+1,1))-AVERAGE(OFFSET($H$3,0,0,'Données projet'!$E$11+1,1))</f>
        <v>187.13674266165236</v>
      </c>
      <c r="BJ48" s="62">
        <f t="shared" si="38"/>
        <v>439.28159165815276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39.616911859833969</v>
      </c>
      <c r="BQ48" s="23">
        <f>EXP(-LN(2)/25)*BQ47+(1-EXP(-LN(2)/25))/(LN(2)/25)*Calculateur!BL48*Calculateur!BN48*VLOOKUP('Données projet'!$B$11,Paramètres!$A$1:$I$89,3,0)*0.475*44/12</f>
        <v>28.99540434417634</v>
      </c>
      <c r="BR48" s="23">
        <f>EXP(-LN(2)/2)*BR47+(1-EXP(-LN(2)/2))/(LN(2)/2)*BL48*BO48*VLOOKUP('Données projet'!$B$11,Paramètres!$A$1:$I$89,3,0)*0.475*44/12</f>
        <v>0.24067807209732553</v>
      </c>
      <c r="BS48" s="24">
        <f t="shared" si="9"/>
        <v>68.852994276107637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>
        <f>BY48*VLOOKUP('Données projet'!$B$12,Paramètres!$A$1:$I$89,3,0)*VLOOKUP('Données projet'!$B$12,Paramètres!$A$1:$I$89,5,0)</f>
        <v>0</v>
      </c>
      <c r="CA48" s="14" t="e">
        <f t="shared" si="39"/>
        <v>#NUM!</v>
      </c>
      <c r="CB48" s="22" t="e">
        <f t="shared" si="10"/>
        <v>#NUM!</v>
      </c>
      <c r="CC48" s="62" t="e">
        <f t="shared" si="11"/>
        <v>#NUM!</v>
      </c>
      <c r="CD48" s="62">
        <f ca="1">AVERAGE(OFFSET($CC$3,0,0,'Données projet'!$E$12+1,1))-AVERAGE(OFFSET($H$3,0,0,'Données projet'!$E$12+1,1))</f>
        <v>123.96745898973995</v>
      </c>
      <c r="CE48" s="62">
        <f t="shared" si="40"/>
        <v>638.75149573151157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88.638368554164998</v>
      </c>
      <c r="CL48" s="23">
        <f>EXP(-LN(2)/25)*CL47+(1-EXP(-LN(2)/25))/(LN(2)/25)*Calculateur!CG48*Calculateur!CI48*VLOOKUP('Données projet'!$B$12,Paramètres!$A$1:$I$89,3,0)*0.475*44/12</f>
        <v>19.752787663157914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108.39115621732292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121.59687193641378</v>
      </c>
      <c r="T49" s="62">
        <f t="shared" si="34"/>
        <v>625.69364310937681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85.011088901952007</v>
      </c>
      <c r="AA49" s="23">
        <f>EXP(-LN(2)/25)*AA48+(1-EXP(-LN(2)/25))/(LN(2)/25)*Calculateur!V49*Calculateur!X49*VLOOKUP('Données projet'!$B$9,Paramètres!$A$1:$I$89,3,0)*0.475*44/12</f>
        <v>18.794980414325455</v>
      </c>
      <c r="AB49" s="23">
        <f>EXP(-LN(2)/2)*AB48+(1-EXP(-LN(2)/2))/(LN(2)/2)*V49*Y49*VLOOKUP('Données projet'!$B$9,Paramètres!$A$1:$I$89,3,0)*0.475*44/12</f>
        <v>0</v>
      </c>
      <c r="AC49" s="24">
        <f t="shared" si="3"/>
        <v>103.80606931627746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-5.6843418860808015E-14</v>
      </c>
      <c r="AJ49" s="14">
        <f>AI49*VLOOKUP('Données projet'!$B$10,Paramètres!$A$1:$I$89,3,0)*VLOOKUP('Données projet'!$B$10,Paramètres!$A$1:$I$89,5,0)</f>
        <v>-5.1431925385259088E-14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366.86025470473652</v>
      </c>
      <c r="AO49" s="62">
        <f t="shared" si="36"/>
        <v>513.80016421153414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1.1368683772161603E-13</v>
      </c>
      <c r="BE49" s="14">
        <f>BD49*VLOOKUP('Données projet'!$B$11,Paramètres!$A$1:$I$89,3,0)*VLOOKUP('Données projet'!$B$11,Paramètres!$A$1:$I$89,5,0)</f>
        <v>6.7984728957526396E-14</v>
      </c>
      <c r="BF49" s="14">
        <f t="shared" si="37"/>
        <v>1.0682447123141398E-12</v>
      </c>
      <c r="BG49" s="22">
        <f t="shared" si="7"/>
        <v>1.978932943548152E-12</v>
      </c>
      <c r="BH49" s="62">
        <f t="shared" si="8"/>
        <v>293.3333333333353</v>
      </c>
      <c r="BI49" s="62">
        <f ca="1">AVERAGE(OFFSET($BH$3,0,0,'Données projet'!$E$11+1,1))-AVERAGE(OFFSET($H$3,0,0,'Données projet'!$E$11+1,1))</f>
        <v>187.13674266165236</v>
      </c>
      <c r="BJ49" s="62">
        <f t="shared" si="38"/>
        <v>439.28159165815276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38.840048382192869</v>
      </c>
      <c r="BQ49" s="23">
        <f>EXP(-LN(2)/25)*BQ48+(1-EXP(-LN(2)/25))/(LN(2)/25)*Calculateur!BL49*Calculateur!BN49*VLOOKUP('Données projet'!$B$11,Paramètres!$A$1:$I$89,3,0)*0.475*44/12</f>
        <v>28.202523487582791</v>
      </c>
      <c r="BR49" s="23">
        <f>EXP(-LN(2)/2)*BR48+(1-EXP(-LN(2)/2))/(LN(2)/2)*BL49*BO49*VLOOKUP('Données projet'!$B$11,Paramètres!$A$1:$I$89,3,0)*0.475*44/12</f>
        <v>0.17018509686292368</v>
      </c>
      <c r="BS49" s="24">
        <f t="shared" si="9"/>
        <v>67.21275696663858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>
        <f>BY49*VLOOKUP('Données projet'!$B$12,Paramètres!$A$1:$I$89,3,0)*VLOOKUP('Données projet'!$B$12,Paramètres!$A$1:$I$89,5,0)</f>
        <v>0</v>
      </c>
      <c r="CA49" s="14" t="e">
        <f t="shared" si="39"/>
        <v>#NUM!</v>
      </c>
      <c r="CB49" s="22" t="e">
        <f t="shared" si="10"/>
        <v>#NUM!</v>
      </c>
      <c r="CC49" s="62" t="e">
        <f t="shared" si="11"/>
        <v>#NUM!</v>
      </c>
      <c r="CD49" s="62">
        <f ca="1">AVERAGE(OFFSET($CC$3,0,0,'Données projet'!$E$12+1,1))-AVERAGE(OFFSET($H$3,0,0,'Données projet'!$E$12+1,1))</f>
        <v>123.96745898973995</v>
      </c>
      <c r="CE49" s="62">
        <f t="shared" si="40"/>
        <v>638.75149573151157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86.900224210884261</v>
      </c>
      <c r="CL49" s="23">
        <f>EXP(-LN(2)/25)*CL48+(1-EXP(-LN(2)/25))/(LN(2)/25)*Calculateur!CG49*Calculateur!CI49*VLOOKUP('Données projet'!$B$12,Paramètres!$A$1:$I$89,3,0)*0.475*44/12</f>
        <v>19.212646645754905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106.11287085663916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121.59687193641378</v>
      </c>
      <c r="T50" s="62">
        <f t="shared" si="34"/>
        <v>625.69364310937681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83.344073300229027</v>
      </c>
      <c r="AA50" s="23">
        <f>EXP(-LN(2)/25)*AA49+(1-EXP(-LN(2)/25))/(LN(2)/25)*Calculateur!V50*Calculateur!X50*VLOOKUP('Données projet'!$B$9,Paramètres!$A$1:$I$89,3,0)*0.475*44/12</f>
        <v>18.281030686510661</v>
      </c>
      <c r="AB50" s="23">
        <f>EXP(-LN(2)/2)*AB49+(1-EXP(-LN(2)/2))/(LN(2)/2)*V50*Y50*VLOOKUP('Données projet'!$B$9,Paramètres!$A$1:$I$89,3,0)*0.475*44/12</f>
        <v>0</v>
      </c>
      <c r="AC50" s="24">
        <f t="shared" si="3"/>
        <v>101.62510398673969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-5.6843418860808015E-14</v>
      </c>
      <c r="AJ50" s="14">
        <f>AI50*VLOOKUP('Données projet'!$B$10,Paramètres!$A$1:$I$89,3,0)*VLOOKUP('Données projet'!$B$10,Paramètres!$A$1:$I$89,5,0)</f>
        <v>-5.1431925385259088E-14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366.86025470473652</v>
      </c>
      <c r="AO50" s="62">
        <f t="shared" si="36"/>
        <v>513.80016421153414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1.1368683772161603E-13</v>
      </c>
      <c r="BE50" s="14">
        <f>BD50*VLOOKUP('Données projet'!$B$11,Paramètres!$A$1:$I$89,3,0)*VLOOKUP('Données projet'!$B$11,Paramètres!$A$1:$I$89,5,0)</f>
        <v>6.7984728957526396E-14</v>
      </c>
      <c r="BF50" s="14">
        <f t="shared" si="37"/>
        <v>1.0682447123141398E-12</v>
      </c>
      <c r="BG50" s="22">
        <f t="shared" si="7"/>
        <v>1.978932943548152E-12</v>
      </c>
      <c r="BH50" s="62">
        <f t="shared" si="8"/>
        <v>293.3333333333353</v>
      </c>
      <c r="BI50" s="62">
        <f ca="1">AVERAGE(OFFSET($BH$3,0,0,'Données projet'!$E$11+1,1))-AVERAGE(OFFSET($H$3,0,0,'Données projet'!$E$11+1,1))</f>
        <v>187.13674266165236</v>
      </c>
      <c r="BJ50" s="62">
        <f t="shared" si="38"/>
        <v>439.28159165815276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38.078418723508378</v>
      </c>
      <c r="BQ50" s="23">
        <f>EXP(-LN(2)/25)*BQ49+(1-EXP(-LN(2)/25))/(LN(2)/25)*Calculateur!BL50*Calculateur!BN50*VLOOKUP('Données projet'!$B$11,Paramètres!$A$1:$I$89,3,0)*0.475*44/12</f>
        <v>27.431323999708589</v>
      </c>
      <c r="BR50" s="23">
        <f>EXP(-LN(2)/2)*BR49+(1-EXP(-LN(2)/2))/(LN(2)/2)*BL50*BO50*VLOOKUP('Données projet'!$B$11,Paramètres!$A$1:$I$89,3,0)*0.475*44/12</f>
        <v>0.12033903604866278</v>
      </c>
      <c r="BS50" s="24">
        <f t="shared" si="9"/>
        <v>65.630081759265622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>
        <f>BY50*VLOOKUP('Données projet'!$B$12,Paramètres!$A$1:$I$89,3,0)*VLOOKUP('Données projet'!$B$12,Paramètres!$A$1:$I$89,5,0)</f>
        <v>0</v>
      </c>
      <c r="CA50" s="14" t="e">
        <f t="shared" si="39"/>
        <v>#NUM!</v>
      </c>
      <c r="CB50" s="22" t="e">
        <f t="shared" si="10"/>
        <v>#NUM!</v>
      </c>
      <c r="CC50" s="62" t="e">
        <f t="shared" si="11"/>
        <v>#NUM!</v>
      </c>
      <c r="CD50" s="62">
        <f ca="1">AVERAGE(OFFSET($CC$3,0,0,'Données projet'!$E$12+1,1))-AVERAGE(OFFSET($H$3,0,0,'Données projet'!$E$12+1,1))</f>
        <v>123.96745898973995</v>
      </c>
      <c r="CE50" s="62">
        <f t="shared" si="40"/>
        <v>638.75149573151157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85.196163818011883</v>
      </c>
      <c r="CL50" s="23">
        <f>EXP(-LN(2)/25)*CL49+(1-EXP(-LN(2)/25))/(LN(2)/25)*Calculateur!CG50*Calculateur!CI50*VLOOKUP('Données projet'!$B$12,Paramètres!$A$1:$I$89,3,0)*0.475*44/12</f>
        <v>18.687275812877562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103.88343963088944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121.59687193641378</v>
      </c>
      <c r="T51" s="62">
        <f t="shared" si="34"/>
        <v>625.69364310937681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81.70974685767672</v>
      </c>
      <c r="AA51" s="23">
        <f>EXP(-LN(2)/25)*AA50+(1-EXP(-LN(2)/25))/(LN(2)/25)*Calculateur!V51*Calculateur!X51*VLOOKUP('Données projet'!$B$9,Paramètres!$A$1:$I$89,3,0)*0.475*44/12</f>
        <v>17.781134941030405</v>
      </c>
      <c r="AB51" s="23">
        <f>EXP(-LN(2)/2)*AB50+(1-EXP(-LN(2)/2))/(LN(2)/2)*V51*Y51*VLOOKUP('Données projet'!$B$9,Paramètres!$A$1:$I$89,3,0)*0.475*44/12</f>
        <v>0</v>
      </c>
      <c r="AC51" s="24">
        <f t="shared" si="3"/>
        <v>99.490881798707122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-5.6843418860808015E-14</v>
      </c>
      <c r="AJ51" s="14">
        <f>AI51*VLOOKUP('Données projet'!$B$10,Paramètres!$A$1:$I$89,3,0)*VLOOKUP('Données projet'!$B$10,Paramètres!$A$1:$I$89,5,0)</f>
        <v>-5.1431925385259088E-14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366.86025470473652</v>
      </c>
      <c r="AO51" s="62">
        <f t="shared" si="36"/>
        <v>513.80016421153414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1.1368683772161603E-13</v>
      </c>
      <c r="BE51" s="14">
        <f>BD51*VLOOKUP('Données projet'!$B$11,Paramètres!$A$1:$I$89,3,0)*VLOOKUP('Données projet'!$B$11,Paramètres!$A$1:$I$89,5,0)</f>
        <v>6.7984728957526396E-14</v>
      </c>
      <c r="BF51" s="14">
        <f t="shared" si="37"/>
        <v>1.0682447123141398E-12</v>
      </c>
      <c r="BG51" s="22">
        <f t="shared" si="7"/>
        <v>1.978932943548152E-12</v>
      </c>
      <c r="BH51" s="62">
        <f t="shared" si="8"/>
        <v>293.3333333333353</v>
      </c>
      <c r="BI51" s="62">
        <f ca="1">AVERAGE(OFFSET($BH$3,0,0,'Données projet'!$E$11+1,1))-AVERAGE(OFFSET($H$3,0,0,'Données projet'!$E$11+1,1))</f>
        <v>187.13674266165236</v>
      </c>
      <c r="BJ51" s="62">
        <f t="shared" si="38"/>
        <v>439.28159165815276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37.331724157882469</v>
      </c>
      <c r="BQ51" s="23">
        <f>EXP(-LN(2)/25)*BQ50+(1-EXP(-LN(2)/25))/(LN(2)/25)*Calculateur!BL51*Calculateur!BN51*VLOOKUP('Données projet'!$B$11,Paramètres!$A$1:$I$89,3,0)*0.475*44/12</f>
        <v>26.681213002385924</v>
      </c>
      <c r="BR51" s="23">
        <f>EXP(-LN(2)/2)*BR50+(1-EXP(-LN(2)/2))/(LN(2)/2)*BL51*BO51*VLOOKUP('Données projet'!$B$11,Paramètres!$A$1:$I$89,3,0)*0.475*44/12</f>
        <v>8.5092548431461856E-2</v>
      </c>
      <c r="BS51" s="24">
        <f t="shared" si="9"/>
        <v>64.098029708699855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>
        <f>BY51*VLOOKUP('Données projet'!$B$12,Paramètres!$A$1:$I$89,3,0)*VLOOKUP('Données projet'!$B$12,Paramètres!$A$1:$I$89,5,0)</f>
        <v>0</v>
      </c>
      <c r="CA51" s="14" t="e">
        <f t="shared" si="39"/>
        <v>#NUM!</v>
      </c>
      <c r="CB51" s="22" t="e">
        <f t="shared" si="10"/>
        <v>#NUM!</v>
      </c>
      <c r="CC51" s="62" t="e">
        <f t="shared" si="11"/>
        <v>#NUM!</v>
      </c>
      <c r="CD51" s="62">
        <f ca="1">AVERAGE(OFFSET($CC$3,0,0,'Données projet'!$E$12+1,1))-AVERAGE(OFFSET($H$3,0,0,'Données projet'!$E$12+1,1))</f>
        <v>123.96745898973995</v>
      </c>
      <c r="CE51" s="62">
        <f t="shared" si="40"/>
        <v>638.75149573151157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83.52551901006953</v>
      </c>
      <c r="CL51" s="23">
        <f>EXP(-LN(2)/25)*CL50+(1-EXP(-LN(2)/25))/(LN(2)/25)*Calculateur!CG51*Calculateur!CI51*VLOOKUP('Données projet'!$B$12,Paramètres!$A$1:$I$89,3,0)*0.475*44/12</f>
        <v>18.176271273053299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101.70179028312283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121.59687193641378</v>
      </c>
      <c r="T52" s="62">
        <f t="shared" si="34"/>
        <v>625.69364310937681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80.107468559822166</v>
      </c>
      <c r="AA52" s="23">
        <f>EXP(-LN(2)/25)*AA51+(1-EXP(-LN(2)/25))/(LN(2)/25)*Calculateur!V52*Calculateur!X52*VLOOKUP('Données projet'!$B$9,Paramètres!$A$1:$I$89,3,0)*0.475*44/12</f>
        <v>17.294908870998682</v>
      </c>
      <c r="AB52" s="23">
        <f>EXP(-LN(2)/2)*AB51+(1-EXP(-LN(2)/2))/(LN(2)/2)*V52*Y52*VLOOKUP('Données projet'!$B$9,Paramètres!$A$1:$I$89,3,0)*0.475*44/12</f>
        <v>0</v>
      </c>
      <c r="AC52" s="24">
        <f t="shared" si="3"/>
        <v>97.402377430820849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-5.6843418860808015E-14</v>
      </c>
      <c r="AJ52" s="14">
        <f>AI52*VLOOKUP('Données projet'!$B$10,Paramètres!$A$1:$I$89,3,0)*VLOOKUP('Données projet'!$B$10,Paramètres!$A$1:$I$89,5,0)</f>
        <v>-5.1431925385259088E-14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366.86025470473652</v>
      </c>
      <c r="AO52" s="62">
        <f t="shared" si="36"/>
        <v>513.80016421153414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1.1368683772161603E-13</v>
      </c>
      <c r="BE52" s="14">
        <f>BD52*VLOOKUP('Données projet'!$B$11,Paramètres!$A$1:$I$89,3,0)*VLOOKUP('Données projet'!$B$11,Paramètres!$A$1:$I$89,5,0)</f>
        <v>6.7984728957526396E-14</v>
      </c>
      <c r="BF52" s="14">
        <f t="shared" si="37"/>
        <v>1.0682447123141398E-12</v>
      </c>
      <c r="BG52" s="22">
        <f t="shared" si="7"/>
        <v>1.978932943548152E-12</v>
      </c>
      <c r="BH52" s="62">
        <f t="shared" si="8"/>
        <v>293.3333333333353</v>
      </c>
      <c r="BI52" s="62">
        <f ca="1">AVERAGE(OFFSET($BH$3,0,0,'Données projet'!$E$11+1,1))-AVERAGE(OFFSET($H$3,0,0,'Données projet'!$E$11+1,1))</f>
        <v>187.13674266165236</v>
      </c>
      <c r="BJ52" s="62">
        <f t="shared" si="38"/>
        <v>439.28159165815276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36.599671817249771</v>
      </c>
      <c r="BQ52" s="23">
        <f>EXP(-LN(2)/25)*BQ51+(1-EXP(-LN(2)/25))/(LN(2)/25)*Calculateur!BL52*Calculateur!BN52*VLOOKUP('Données projet'!$B$11,Paramètres!$A$1:$I$89,3,0)*0.475*44/12</f>
        <v>25.95161382973167</v>
      </c>
      <c r="BR52" s="23">
        <f>EXP(-LN(2)/2)*BR51+(1-EXP(-LN(2)/2))/(LN(2)/2)*BL52*BO52*VLOOKUP('Données projet'!$B$11,Paramètres!$A$1:$I$89,3,0)*0.475*44/12</f>
        <v>6.0169518024331403E-2</v>
      </c>
      <c r="BS52" s="24">
        <f t="shared" si="9"/>
        <v>62.611455165005772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>
        <f>BY52*VLOOKUP('Données projet'!$B$12,Paramètres!$A$1:$I$89,3,0)*VLOOKUP('Données projet'!$B$12,Paramètres!$A$1:$I$89,5,0)</f>
        <v>0</v>
      </c>
      <c r="CA52" s="14" t="e">
        <f t="shared" si="39"/>
        <v>#NUM!</v>
      </c>
      <c r="CB52" s="22" t="e">
        <f t="shared" si="10"/>
        <v>#NUM!</v>
      </c>
      <c r="CC52" s="62" t="e">
        <f t="shared" si="11"/>
        <v>#NUM!</v>
      </c>
      <c r="CD52" s="62">
        <f ca="1">AVERAGE(OFFSET($CC$3,0,0,'Données projet'!$E$12+1,1))-AVERAGE(OFFSET($H$3,0,0,'Données projet'!$E$12+1,1))</f>
        <v>123.96745898973995</v>
      </c>
      <c r="CE52" s="62">
        <f t="shared" si="40"/>
        <v>638.75149573151157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81.887634527818207</v>
      </c>
      <c r="CL52" s="23">
        <f>EXP(-LN(2)/25)*CL51+(1-EXP(-LN(2)/25))/(LN(2)/25)*Calculateur!CG52*Calculateur!CI52*VLOOKUP('Données projet'!$B$12,Paramètres!$A$1:$I$89,3,0)*0.475*44/12</f>
        <v>17.679240179243092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99.566874707061302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121.59687193641378</v>
      </c>
      <c r="T53" s="62">
        <f t="shared" si="34"/>
        <v>625.69364310937681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78.536609962095284</v>
      </c>
      <c r="AA53" s="23">
        <f>EXP(-LN(2)/25)*AA52+(1-EXP(-LN(2)/25))/(LN(2)/25)*Calculateur!V53*Calculateur!X53*VLOOKUP('Données projet'!$B$9,Paramètres!$A$1:$I$89,3,0)*0.475*44/12</f>
        <v>16.821978678421495</v>
      </c>
      <c r="AB53" s="23">
        <f>EXP(-LN(2)/2)*AB52+(1-EXP(-LN(2)/2))/(LN(2)/2)*V53*Y53*VLOOKUP('Données projet'!$B$9,Paramètres!$A$1:$I$89,3,0)*0.475*44/12</f>
        <v>0</v>
      </c>
      <c r="AC53" s="24">
        <f t="shared" si="3"/>
        <v>95.358588640516786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-5.6843418860808015E-14</v>
      </c>
      <c r="AJ53" s="14">
        <f>AI53*VLOOKUP('Données projet'!$B$10,Paramètres!$A$1:$I$89,3,0)*VLOOKUP('Données projet'!$B$10,Paramètres!$A$1:$I$89,5,0)</f>
        <v>-5.1431925385259088E-14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366.86025470473652</v>
      </c>
      <c r="AO53" s="62">
        <f t="shared" si="36"/>
        <v>513.80016421153414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1.1368683772161603E-13</v>
      </c>
      <c r="BE53" s="14">
        <f>BD53*VLOOKUP('Données projet'!$B$11,Paramètres!$A$1:$I$89,3,0)*VLOOKUP('Données projet'!$B$11,Paramètres!$A$1:$I$89,5,0)</f>
        <v>6.7984728957526396E-14</v>
      </c>
      <c r="BF53" s="14">
        <f t="shared" si="37"/>
        <v>1.0682447123141398E-12</v>
      </c>
      <c r="BG53" s="22">
        <f t="shared" si="7"/>
        <v>1.978932943548152E-12</v>
      </c>
      <c r="BH53" s="62">
        <f t="shared" si="8"/>
        <v>293.3333333333353</v>
      </c>
      <c r="BI53" s="62">
        <f ca="1">AVERAGE(OFFSET($BH$3,0,0,'Données projet'!$E$11+1,1))-AVERAGE(OFFSET($H$3,0,0,'Données projet'!$E$11+1,1))</f>
        <v>187.13674266165236</v>
      </c>
      <c r="BJ53" s="62">
        <f t="shared" si="38"/>
        <v>439.28159165815276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35.881974576509037</v>
      </c>
      <c r="BQ53" s="23">
        <f>EXP(-LN(2)/25)*BQ52+(1-EXP(-LN(2)/25))/(LN(2)/25)*Calculateur!BL53*Calculateur!BN53*VLOOKUP('Données projet'!$B$11,Paramètres!$A$1:$I$89,3,0)*0.475*44/12</f>
        <v>25.2419655848216</v>
      </c>
      <c r="BR53" s="23">
        <f>EXP(-LN(2)/2)*BR52+(1-EXP(-LN(2)/2))/(LN(2)/2)*BL53*BO53*VLOOKUP('Données projet'!$B$11,Paramètres!$A$1:$I$89,3,0)*0.475*44/12</f>
        <v>4.2546274215730935E-2</v>
      </c>
      <c r="BS53" s="24">
        <f t="shared" si="9"/>
        <v>61.166486435546368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>
        <f>BY53*VLOOKUP('Données projet'!$B$12,Paramètres!$A$1:$I$89,3,0)*VLOOKUP('Données projet'!$B$12,Paramètres!$A$1:$I$89,5,0)</f>
        <v>0</v>
      </c>
      <c r="CA53" s="14" t="e">
        <f t="shared" si="39"/>
        <v>#NUM!</v>
      </c>
      <c r="CB53" s="22" t="e">
        <f t="shared" si="10"/>
        <v>#NUM!</v>
      </c>
      <c r="CC53" s="62" t="e">
        <f t="shared" si="11"/>
        <v>#NUM!</v>
      </c>
      <c r="CD53" s="62">
        <f ca="1">AVERAGE(OFFSET($CC$3,0,0,'Données projet'!$E$12+1,1))-AVERAGE(OFFSET($H$3,0,0,'Données projet'!$E$12+1,1))</f>
        <v>123.96745898973995</v>
      </c>
      <c r="CE53" s="62">
        <f t="shared" si="40"/>
        <v>638.75149573151157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80.281867961252942</v>
      </c>
      <c r="CL53" s="23">
        <f>EXP(-LN(2)/25)*CL52+(1-EXP(-LN(2)/25))/(LN(2)/25)*Calculateur!CG53*Calculateur!CI53*VLOOKUP('Données projet'!$B$12,Paramètres!$A$1:$I$89,3,0)*0.475*44/12</f>
        <v>17.195800426830854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97.477668388083799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121.59687193641378</v>
      </c>
      <c r="T54" s="62">
        <f t="shared" si="34"/>
        <v>625.69364310937681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76.996554943340684</v>
      </c>
      <c r="AA54" s="23">
        <f>EXP(-LN(2)/25)*AA53+(1-EXP(-LN(2)/25))/(LN(2)/25)*Calculateur!V54*Calculateur!X54*VLOOKUP('Données projet'!$B$9,Paramètres!$A$1:$I$89,3,0)*0.475*44/12</f>
        <v>16.361980786830646</v>
      </c>
      <c r="AB54" s="23">
        <f>EXP(-LN(2)/2)*AB53+(1-EXP(-LN(2)/2))/(LN(2)/2)*V54*Y54*VLOOKUP('Données projet'!$B$9,Paramètres!$A$1:$I$89,3,0)*0.475*44/12</f>
        <v>0</v>
      </c>
      <c r="AC54" s="24">
        <f t="shared" si="3"/>
        <v>93.358535730171326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-5.6843418860808015E-14</v>
      </c>
      <c r="AJ54" s="14">
        <f>AI54*VLOOKUP('Données projet'!$B$10,Paramètres!$A$1:$I$89,3,0)*VLOOKUP('Données projet'!$B$10,Paramètres!$A$1:$I$89,5,0)</f>
        <v>-5.1431925385259088E-14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366.86025470473652</v>
      </c>
      <c r="AO54" s="62">
        <f t="shared" si="36"/>
        <v>513.80016421153414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1.1368683772161603E-13</v>
      </c>
      <c r="BE54" s="14">
        <f>BD54*VLOOKUP('Données projet'!$B$11,Paramètres!$A$1:$I$89,3,0)*VLOOKUP('Données projet'!$B$11,Paramètres!$A$1:$I$89,5,0)</f>
        <v>6.7984728957526396E-14</v>
      </c>
      <c r="BF54" s="14">
        <f t="shared" si="37"/>
        <v>1.0682447123141398E-12</v>
      </c>
      <c r="BG54" s="22">
        <f t="shared" si="7"/>
        <v>1.978932943548152E-12</v>
      </c>
      <c r="BH54" s="62">
        <f t="shared" si="8"/>
        <v>293.3333333333353</v>
      </c>
      <c r="BI54" s="62">
        <f ca="1">AVERAGE(OFFSET($BH$3,0,0,'Données projet'!$E$11+1,1))-AVERAGE(OFFSET($H$3,0,0,'Données projet'!$E$11+1,1))</f>
        <v>187.13674266165236</v>
      </c>
      <c r="BJ54" s="62">
        <f t="shared" si="38"/>
        <v>439.28159165815276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35.178350940907137</v>
      </c>
      <c r="BQ54" s="23">
        <f>EXP(-LN(2)/25)*BQ53+(1-EXP(-LN(2)/25))/(LN(2)/25)*Calculateur!BL54*Calculateur!BN54*VLOOKUP('Données projet'!$B$11,Paramètres!$A$1:$I$89,3,0)*0.475*44/12</f>
        <v>24.551722708487375</v>
      </c>
      <c r="BR54" s="23">
        <f>EXP(-LN(2)/2)*BR53+(1-EXP(-LN(2)/2))/(LN(2)/2)*BL54*BO54*VLOOKUP('Données projet'!$B$11,Paramètres!$A$1:$I$89,3,0)*0.475*44/12</f>
        <v>3.0084759012165705E-2</v>
      </c>
      <c r="BS54" s="24">
        <f t="shared" si="9"/>
        <v>59.760158408406681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>
        <f>BY54*VLOOKUP('Données projet'!$B$12,Paramètres!$A$1:$I$89,3,0)*VLOOKUP('Données projet'!$B$12,Paramètres!$A$1:$I$89,5,0)</f>
        <v>0</v>
      </c>
      <c r="CA54" s="14" t="e">
        <f t="shared" si="39"/>
        <v>#NUM!</v>
      </c>
      <c r="CB54" s="22" t="e">
        <f t="shared" si="10"/>
        <v>#NUM!</v>
      </c>
      <c r="CC54" s="62" t="e">
        <f t="shared" si="11"/>
        <v>#NUM!</v>
      </c>
      <c r="CD54" s="62">
        <f ca="1">AVERAGE(OFFSET($CC$3,0,0,'Données projet'!$E$12+1,1))-AVERAGE(OFFSET($H$3,0,0,'Données projet'!$E$12+1,1))</f>
        <v>123.96745898973995</v>
      </c>
      <c r="CE54" s="62">
        <f t="shared" si="40"/>
        <v>638.75149573151157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78.70758949763713</v>
      </c>
      <c r="CL54" s="23">
        <f>EXP(-LN(2)/25)*CL53+(1-EXP(-LN(2)/25))/(LN(2)/25)*Calculateur!CG54*Calculateur!CI54*VLOOKUP('Données projet'!$B$12,Paramètres!$A$1:$I$89,3,0)*0.475*44/12</f>
        <v>16.725580359871319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95.433169857508446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121.59687193641378</v>
      </c>
      <c r="T55" s="62">
        <f t="shared" si="34"/>
        <v>625.69364310937681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75.486699464163053</v>
      </c>
      <c r="AA55" s="23">
        <f>EXP(-LN(2)/25)*AA54+(1-EXP(-LN(2)/25))/(LN(2)/25)*Calculateur!V55*Calculateur!X55*VLOOKUP('Données projet'!$B$9,Paramètres!$A$1:$I$89,3,0)*0.475*44/12</f>
        <v>15.914561561775589</v>
      </c>
      <c r="AB55" s="23">
        <f>EXP(-LN(2)/2)*AB54+(1-EXP(-LN(2)/2))/(LN(2)/2)*V55*Y55*VLOOKUP('Données projet'!$B$9,Paramètres!$A$1:$I$89,3,0)*0.475*44/12</f>
        <v>0</v>
      </c>
      <c r="AC55" s="24">
        <f t="shared" si="3"/>
        <v>91.401261025938638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-5.6843418860808015E-14</v>
      </c>
      <c r="AJ55" s="14">
        <f>AI55*VLOOKUP('Données projet'!$B$10,Paramètres!$A$1:$I$89,3,0)*VLOOKUP('Données projet'!$B$10,Paramètres!$A$1:$I$89,5,0)</f>
        <v>-5.1431925385259088E-14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366.86025470473652</v>
      </c>
      <c r="AO55" s="62">
        <f t="shared" si="36"/>
        <v>513.80016421153414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1.1368683772161603E-13</v>
      </c>
      <c r="BE55" s="14">
        <f>BD55*VLOOKUP('Données projet'!$B$11,Paramètres!$A$1:$I$89,3,0)*VLOOKUP('Données projet'!$B$11,Paramètres!$A$1:$I$89,5,0)</f>
        <v>6.7984728957526396E-14</v>
      </c>
      <c r="BF55" s="14">
        <f t="shared" si="37"/>
        <v>1.0682447123141398E-12</v>
      </c>
      <c r="BG55" s="22">
        <f t="shared" si="7"/>
        <v>1.978932943548152E-12</v>
      </c>
      <c r="BH55" s="62">
        <f t="shared" si="8"/>
        <v>293.3333333333353</v>
      </c>
      <c r="BI55" s="62">
        <f ca="1">AVERAGE(OFFSET($BH$3,0,0,'Données projet'!$E$11+1,1))-AVERAGE(OFFSET($H$3,0,0,'Données projet'!$E$11+1,1))</f>
        <v>187.13674266165236</v>
      </c>
      <c r="BJ55" s="62">
        <f t="shared" si="38"/>
        <v>439.28159165815276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34.488524935631354</v>
      </c>
      <c r="BQ55" s="23">
        <f>EXP(-LN(2)/25)*BQ54+(1-EXP(-LN(2)/25))/(LN(2)/25)*Calculateur!BL55*Calculateur!BN55*VLOOKUP('Données projet'!$B$11,Paramètres!$A$1:$I$89,3,0)*0.475*44/12</f>
        <v>23.880354559904806</v>
      </c>
      <c r="BR55" s="23">
        <f>EXP(-LN(2)/2)*BR54+(1-EXP(-LN(2)/2))/(LN(2)/2)*BL55*BO55*VLOOKUP('Données projet'!$B$11,Paramètres!$A$1:$I$89,3,0)*0.475*44/12</f>
        <v>2.1273137107865471E-2</v>
      </c>
      <c r="BS55" s="24">
        <f t="shared" si="9"/>
        <v>58.390152632644032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>
        <f>BY55*VLOOKUP('Données projet'!$B$12,Paramètres!$A$1:$I$89,3,0)*VLOOKUP('Données projet'!$B$12,Paramètres!$A$1:$I$89,5,0)</f>
        <v>0</v>
      </c>
      <c r="CA55" s="14" t="e">
        <f t="shared" si="39"/>
        <v>#NUM!</v>
      </c>
      <c r="CB55" s="22" t="e">
        <f t="shared" si="10"/>
        <v>#NUM!</v>
      </c>
      <c r="CC55" s="62" t="e">
        <f t="shared" si="11"/>
        <v>#NUM!</v>
      </c>
      <c r="CD55" s="62">
        <f ca="1">AVERAGE(OFFSET($CC$3,0,0,'Données projet'!$E$12+1,1))-AVERAGE(OFFSET($H$3,0,0,'Données projet'!$E$12+1,1))</f>
        <v>123.96745898973995</v>
      </c>
      <c r="CE55" s="62">
        <f t="shared" si="40"/>
        <v>638.75149573151157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77.164181674477774</v>
      </c>
      <c r="CL55" s="23">
        <f>EXP(-LN(2)/25)*CL54+(1-EXP(-LN(2)/25))/(LN(2)/25)*Calculateur!CG55*Calculateur!CI55*VLOOKUP('Données projet'!$B$12,Paramètres!$A$1:$I$89,3,0)*0.475*44/12</f>
        <v>16.268218485370593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93.43240015984837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121.59687193641378</v>
      </c>
      <c r="T56" s="62">
        <f t="shared" si="34"/>
        <v>625.69364310937681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74.006451330011188</v>
      </c>
      <c r="AA56" s="23">
        <f>EXP(-LN(2)/25)*AA55+(1-EXP(-LN(2)/25))/(LN(2)/25)*Calculateur!V56*Calculateur!X56*VLOOKUP('Données projet'!$B$9,Paramètres!$A$1:$I$89,3,0)*0.475*44/12</f>
        <v>15.479377038958416</v>
      </c>
      <c r="AB56" s="23">
        <f>EXP(-LN(2)/2)*AB55+(1-EXP(-LN(2)/2))/(LN(2)/2)*V56*Y56*VLOOKUP('Données projet'!$B$9,Paramètres!$A$1:$I$89,3,0)*0.475*44/12</f>
        <v>0</v>
      </c>
      <c r="AC56" s="24">
        <f t="shared" si="3"/>
        <v>89.485828368969607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-5.6843418860808015E-14</v>
      </c>
      <c r="AJ56" s="14">
        <f>AI56*VLOOKUP('Données projet'!$B$10,Paramètres!$A$1:$I$89,3,0)*VLOOKUP('Données projet'!$B$10,Paramètres!$A$1:$I$89,5,0)</f>
        <v>-5.1431925385259088E-14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366.86025470473652</v>
      </c>
      <c r="AO56" s="62">
        <f t="shared" si="36"/>
        <v>513.80016421153414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1.1368683772161603E-13</v>
      </c>
      <c r="BE56" s="14">
        <f>BD56*VLOOKUP('Données projet'!$B$11,Paramètres!$A$1:$I$89,3,0)*VLOOKUP('Données projet'!$B$11,Paramètres!$A$1:$I$89,5,0)</f>
        <v>6.7984728957526396E-14</v>
      </c>
      <c r="BF56" s="14">
        <f t="shared" si="37"/>
        <v>1.0682447123141398E-12</v>
      </c>
      <c r="BG56" s="22">
        <f t="shared" si="7"/>
        <v>1.978932943548152E-12</v>
      </c>
      <c r="BH56" s="62">
        <f t="shared" si="8"/>
        <v>293.3333333333353</v>
      </c>
      <c r="BI56" s="62">
        <f ca="1">AVERAGE(OFFSET($BH$3,0,0,'Données projet'!$E$11+1,1))-AVERAGE(OFFSET($H$3,0,0,'Données projet'!$E$11+1,1))</f>
        <v>187.13674266165236</v>
      </c>
      <c r="BJ56" s="62">
        <f t="shared" si="38"/>
        <v>439.28159165815276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33.812225997566706</v>
      </c>
      <c r="BQ56" s="23">
        <f>EXP(-LN(2)/25)*BQ55+(1-EXP(-LN(2)/25))/(LN(2)/25)*Calculateur!BL56*Calculateur!BN56*VLOOKUP('Données projet'!$B$11,Paramètres!$A$1:$I$89,3,0)*0.475*44/12</f>
        <v>23.227345008650943</v>
      </c>
      <c r="BR56" s="23">
        <f>EXP(-LN(2)/2)*BR55+(1-EXP(-LN(2)/2))/(LN(2)/2)*BL56*BO56*VLOOKUP('Données projet'!$B$11,Paramètres!$A$1:$I$89,3,0)*0.475*44/12</f>
        <v>1.5042379506082854E-2</v>
      </c>
      <c r="BS56" s="24">
        <f t="shared" si="9"/>
        <v>57.054613385723734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>
        <f>BY56*VLOOKUP('Données projet'!$B$12,Paramètres!$A$1:$I$89,3,0)*VLOOKUP('Données projet'!$B$12,Paramètres!$A$1:$I$89,5,0)</f>
        <v>0</v>
      </c>
      <c r="CA56" s="14" t="e">
        <f t="shared" si="39"/>
        <v>#NUM!</v>
      </c>
      <c r="CB56" s="22" t="e">
        <f t="shared" si="10"/>
        <v>#NUM!</v>
      </c>
      <c r="CC56" s="62" t="e">
        <f t="shared" si="11"/>
        <v>#NUM!</v>
      </c>
      <c r="CD56" s="62">
        <f ca="1">AVERAGE(OFFSET($CC$3,0,0,'Données projet'!$E$12+1,1))-AVERAGE(OFFSET($H$3,0,0,'Données projet'!$E$12+1,1))</f>
        <v>123.96745898973995</v>
      </c>
      <c r="CE56" s="62">
        <f t="shared" si="40"/>
        <v>638.75149573151157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75.651039137344753</v>
      </c>
      <c r="CL56" s="23">
        <f>EXP(-LN(2)/25)*CL55+(1-EXP(-LN(2)/25))/(LN(2)/25)*Calculateur!CG56*Calculateur!CI56*VLOOKUP('Données projet'!$B$12,Paramètres!$A$1:$I$89,3,0)*0.475*44/12</f>
        <v>15.823363195379706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91.474402332724452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121.59687193641378</v>
      </c>
      <c r="T57" s="62">
        <f t="shared" si="34"/>
        <v>625.69364310937681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72.55522995890783</v>
      </c>
      <c r="AA57" s="23">
        <f>EXP(-LN(2)/25)*AA56+(1-EXP(-LN(2)/25))/(LN(2)/25)*Calculateur!V57*Calculateur!X57*VLOOKUP('Données projet'!$B$9,Paramètres!$A$1:$I$89,3,0)*0.475*44/12</f>
        <v>15.056092659803038</v>
      </c>
      <c r="AB57" s="23">
        <f>EXP(-LN(2)/2)*AB56+(1-EXP(-LN(2)/2))/(LN(2)/2)*V57*Y57*VLOOKUP('Données projet'!$B$9,Paramètres!$A$1:$I$89,3,0)*0.475*44/12</f>
        <v>0</v>
      </c>
      <c r="AC57" s="24">
        <f t="shared" si="3"/>
        <v>87.611322618710872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-5.6843418860808015E-14</v>
      </c>
      <c r="AJ57" s="14">
        <f>AI57*VLOOKUP('Données projet'!$B$10,Paramètres!$A$1:$I$89,3,0)*VLOOKUP('Données projet'!$B$10,Paramètres!$A$1:$I$89,5,0)</f>
        <v>-5.1431925385259088E-14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366.86025470473652</v>
      </c>
      <c r="AO57" s="62">
        <f t="shared" si="36"/>
        <v>513.80016421153414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1.1368683772161603E-13</v>
      </c>
      <c r="BE57" s="14">
        <f>BD57*VLOOKUP('Données projet'!$B$11,Paramètres!$A$1:$I$89,3,0)*VLOOKUP('Données projet'!$B$11,Paramètres!$A$1:$I$89,5,0)</f>
        <v>6.7984728957526396E-14</v>
      </c>
      <c r="BF57" s="14">
        <f t="shared" si="37"/>
        <v>1.0682447123141398E-12</v>
      </c>
      <c r="BG57" s="22">
        <f t="shared" si="7"/>
        <v>1.978932943548152E-12</v>
      </c>
      <c r="BH57" s="62">
        <f t="shared" si="8"/>
        <v>293.3333333333353</v>
      </c>
      <c r="BI57" s="62">
        <f ca="1">AVERAGE(OFFSET($BH$3,0,0,'Données projet'!$E$11+1,1))-AVERAGE(OFFSET($H$3,0,0,'Données projet'!$E$11+1,1))</f>
        <v>187.13674266165236</v>
      </c>
      <c r="BJ57" s="62">
        <f t="shared" si="38"/>
        <v>439.28159165815276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33.149188869175887</v>
      </c>
      <c r="BQ57" s="23">
        <f>EXP(-LN(2)/25)*BQ56+(1-EXP(-LN(2)/25))/(LN(2)/25)*Calculateur!BL57*Calculateur!BN57*VLOOKUP('Données projet'!$B$11,Paramètres!$A$1:$I$89,3,0)*0.475*44/12</f>
        <v>22.592192037916394</v>
      </c>
      <c r="BR57" s="23">
        <f>EXP(-LN(2)/2)*BR56+(1-EXP(-LN(2)/2))/(LN(2)/2)*BL57*BO57*VLOOKUP('Données projet'!$B$11,Paramètres!$A$1:$I$89,3,0)*0.475*44/12</f>
        <v>1.0636568553932737E-2</v>
      </c>
      <c r="BS57" s="24">
        <f t="shared" si="9"/>
        <v>55.752017475646213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>
        <f>BY57*VLOOKUP('Données projet'!$B$12,Paramètres!$A$1:$I$89,3,0)*VLOOKUP('Données projet'!$B$12,Paramètres!$A$1:$I$89,5,0)</f>
        <v>0</v>
      </c>
      <c r="CA57" s="14" t="e">
        <f t="shared" si="39"/>
        <v>#NUM!</v>
      </c>
      <c r="CB57" s="22" t="e">
        <f t="shared" si="10"/>
        <v>#NUM!</v>
      </c>
      <c r="CC57" s="62" t="e">
        <f t="shared" si="11"/>
        <v>#NUM!</v>
      </c>
      <c r="CD57" s="62">
        <f ca="1">AVERAGE(OFFSET($CC$3,0,0,'Données projet'!$E$12+1,1))-AVERAGE(OFFSET($H$3,0,0,'Données projet'!$E$12+1,1))</f>
        <v>123.96745898973995</v>
      </c>
      <c r="CE57" s="62">
        <f t="shared" si="40"/>
        <v>638.75149573151157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74.167568402439102</v>
      </c>
      <c r="CL57" s="23">
        <f>EXP(-LN(2)/25)*CL56+(1-EXP(-LN(2)/25))/(LN(2)/25)*Calculateur!CG57*Calculateur!CI57*VLOOKUP('Données projet'!$B$12,Paramètres!$A$1:$I$89,3,0)*0.475*44/12</f>
        <v>15.390672496687541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89.558240899126645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121.59687193641378</v>
      </c>
      <c r="T58" s="62">
        <f t="shared" si="34"/>
        <v>625.69364310937681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71.132466153734171</v>
      </c>
      <c r="AA58" s="23">
        <f>EXP(-LN(2)/25)*AA57+(1-EXP(-LN(2)/25))/(LN(2)/25)*Calculateur!V58*Calculateur!X58*VLOOKUP('Données projet'!$B$9,Paramètres!$A$1:$I$89,3,0)*0.475*44/12</f>
        <v>14.644383014255222</v>
      </c>
      <c r="AB58" s="23">
        <f>EXP(-LN(2)/2)*AB57+(1-EXP(-LN(2)/2))/(LN(2)/2)*V58*Y58*VLOOKUP('Données projet'!$B$9,Paramètres!$A$1:$I$89,3,0)*0.475*44/12</f>
        <v>0</v>
      </c>
      <c r="AC58" s="24">
        <f t="shared" si="3"/>
        <v>85.776849167989397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-5.6843418860808015E-14</v>
      </c>
      <c r="AJ58" s="14">
        <f>AI58*VLOOKUP('Données projet'!$B$10,Paramètres!$A$1:$I$89,3,0)*VLOOKUP('Données projet'!$B$10,Paramètres!$A$1:$I$89,5,0)</f>
        <v>-5.1431925385259088E-14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366.86025470473652</v>
      </c>
      <c r="AO58" s="62">
        <f t="shared" si="36"/>
        <v>513.80016421153414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1.1368683772161603E-13</v>
      </c>
      <c r="BE58" s="14">
        <f>BD58*VLOOKUP('Données projet'!$B$11,Paramètres!$A$1:$I$89,3,0)*VLOOKUP('Données projet'!$B$11,Paramètres!$A$1:$I$89,5,0)</f>
        <v>6.7984728957526396E-14</v>
      </c>
      <c r="BF58" s="14">
        <f t="shared" si="37"/>
        <v>1.0682447123141398E-12</v>
      </c>
      <c r="BG58" s="22">
        <f t="shared" si="7"/>
        <v>1.978932943548152E-12</v>
      </c>
      <c r="BH58" s="62">
        <f t="shared" si="8"/>
        <v>293.3333333333353</v>
      </c>
      <c r="BI58" s="62">
        <f ca="1">AVERAGE(OFFSET($BH$3,0,0,'Données projet'!$E$11+1,1))-AVERAGE(OFFSET($H$3,0,0,'Données projet'!$E$11+1,1))</f>
        <v>187.13674266165236</v>
      </c>
      <c r="BJ58" s="62">
        <f t="shared" si="38"/>
        <v>439.28159165815276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32.499153494460096</v>
      </c>
      <c r="BQ58" s="23">
        <f>EXP(-LN(2)/25)*BQ57+(1-EXP(-LN(2)/25))/(LN(2)/25)*Calculateur!BL58*Calculateur!BN58*VLOOKUP('Données projet'!$B$11,Paramètres!$A$1:$I$89,3,0)*0.475*44/12</f>
        <v>21.974407358567827</v>
      </c>
      <c r="BR58" s="23">
        <f>EXP(-LN(2)/2)*BR57+(1-EXP(-LN(2)/2))/(LN(2)/2)*BL58*BO58*VLOOKUP('Données projet'!$B$11,Paramètres!$A$1:$I$89,3,0)*0.475*44/12</f>
        <v>7.5211897530414289E-3</v>
      </c>
      <c r="BS58" s="24">
        <f t="shared" si="9"/>
        <v>54.481082042780962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>
        <f>BY58*VLOOKUP('Données projet'!$B$12,Paramètres!$A$1:$I$89,3,0)*VLOOKUP('Données projet'!$B$12,Paramètres!$A$1:$I$89,5,0)</f>
        <v>0</v>
      </c>
      <c r="CA58" s="14" t="e">
        <f t="shared" si="39"/>
        <v>#NUM!</v>
      </c>
      <c r="CB58" s="22" t="e">
        <f t="shared" si="10"/>
        <v>#NUM!</v>
      </c>
      <c r="CC58" s="62" t="e">
        <f t="shared" si="11"/>
        <v>#NUM!</v>
      </c>
      <c r="CD58" s="62">
        <f ca="1">AVERAGE(OFFSET($CC$3,0,0,'Données projet'!$E$12+1,1))-AVERAGE(OFFSET($H$3,0,0,'Données projet'!$E$12+1,1))</f>
        <v>123.96745898973995</v>
      </c>
      <c r="CE58" s="62">
        <f t="shared" si="40"/>
        <v>638.75149573151157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72.713187623817134</v>
      </c>
      <c r="CL58" s="23">
        <f>EXP(-LN(2)/25)*CL57+(1-EXP(-LN(2)/25))/(LN(2)/25)*Calculateur!CG58*Calculateur!CI58*VLOOKUP('Données projet'!$B$12,Paramètres!$A$1:$I$89,3,0)*0.475*44/12</f>
        <v>14.969813747905329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87.683001371722469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121.59687193641378</v>
      </c>
      <c r="T59" s="62">
        <f t="shared" si="34"/>
        <v>625.69364310937681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69.737601878979731</v>
      </c>
      <c r="AA59" s="23">
        <f>EXP(-LN(2)/25)*AA58+(1-EXP(-LN(2)/25))/(LN(2)/25)*Calculateur!V59*Calculateur!X59*VLOOKUP('Données projet'!$B$9,Paramètres!$A$1:$I$89,3,0)*0.475*44/12</f>
        <v>14.24393159061578</v>
      </c>
      <c r="AB59" s="23">
        <f>EXP(-LN(2)/2)*AB58+(1-EXP(-LN(2)/2))/(LN(2)/2)*V59*Y59*VLOOKUP('Données projet'!$B$9,Paramètres!$A$1:$I$89,3,0)*0.475*44/12</f>
        <v>0</v>
      </c>
      <c r="AC59" s="24">
        <f t="shared" si="3"/>
        <v>83.981533469595519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-5.6843418860808015E-14</v>
      </c>
      <c r="AJ59" s="14">
        <f>AI59*VLOOKUP('Données projet'!$B$10,Paramètres!$A$1:$I$89,3,0)*VLOOKUP('Données projet'!$B$10,Paramètres!$A$1:$I$89,5,0)</f>
        <v>-5.1431925385259088E-14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366.86025470473652</v>
      </c>
      <c r="AO59" s="62">
        <f t="shared" si="36"/>
        <v>513.80016421153414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1.1368683772161603E-13</v>
      </c>
      <c r="BE59" s="14">
        <f>BD59*VLOOKUP('Données projet'!$B$11,Paramètres!$A$1:$I$89,3,0)*VLOOKUP('Données projet'!$B$11,Paramètres!$A$1:$I$89,5,0)</f>
        <v>6.7984728957526396E-14</v>
      </c>
      <c r="BF59" s="14">
        <f t="shared" si="37"/>
        <v>1.0682447123141398E-12</v>
      </c>
      <c r="BG59" s="22">
        <f t="shared" si="7"/>
        <v>1.978932943548152E-12</v>
      </c>
      <c r="BH59" s="62">
        <f t="shared" si="8"/>
        <v>293.3333333333353</v>
      </c>
      <c r="BI59" s="62">
        <f ca="1">AVERAGE(OFFSET($BH$3,0,0,'Données projet'!$E$11+1,1))-AVERAGE(OFFSET($H$3,0,0,'Données projet'!$E$11+1,1))</f>
        <v>187.13674266165236</v>
      </c>
      <c r="BJ59" s="62">
        <f t="shared" si="38"/>
        <v>439.28159165815276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31.861864916960052</v>
      </c>
      <c r="BQ59" s="23">
        <f>EXP(-LN(2)/25)*BQ58+(1-EXP(-LN(2)/25))/(LN(2)/25)*Calculateur!BL59*Calculateur!BN59*VLOOKUP('Données projet'!$B$11,Paramètres!$A$1:$I$89,3,0)*0.475*44/12</f>
        <v>21.373516033763931</v>
      </c>
      <c r="BR59" s="23">
        <f>EXP(-LN(2)/2)*BR58+(1-EXP(-LN(2)/2))/(LN(2)/2)*BL59*BO59*VLOOKUP('Données projet'!$B$11,Paramètres!$A$1:$I$89,3,0)*0.475*44/12</f>
        <v>5.3182842769663695E-3</v>
      </c>
      <c r="BS59" s="24">
        <f t="shared" si="9"/>
        <v>53.240699235000946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>
        <f>BY59*VLOOKUP('Données projet'!$B$12,Paramètres!$A$1:$I$89,3,0)*VLOOKUP('Données projet'!$B$12,Paramètres!$A$1:$I$89,5,0)</f>
        <v>0</v>
      </c>
      <c r="CA59" s="14" t="e">
        <f t="shared" si="39"/>
        <v>#NUM!</v>
      </c>
      <c r="CB59" s="22" t="e">
        <f t="shared" si="10"/>
        <v>#NUM!</v>
      </c>
      <c r="CC59" s="62" t="e">
        <f t="shared" si="11"/>
        <v>#NUM!</v>
      </c>
      <c r="CD59" s="62">
        <f ca="1">AVERAGE(OFFSET($CC$3,0,0,'Données projet'!$E$12+1,1))-AVERAGE(OFFSET($H$3,0,0,'Données projet'!$E$12+1,1))</f>
        <v>123.96745898973995</v>
      </c>
      <c r="CE59" s="62">
        <f t="shared" si="40"/>
        <v>638.75149573151157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71.287326365179268</v>
      </c>
      <c r="CL59" s="23">
        <f>EXP(-LN(2)/25)*CL58+(1-EXP(-LN(2)/25))/(LN(2)/25)*Calculateur!CG59*Calculateur!CI59*VLOOKUP('Données projet'!$B$12,Paramètres!$A$1:$I$89,3,0)*0.475*44/12</f>
        <v>14.560463403740567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85.847789768919839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121.59687193641378</v>
      </c>
      <c r="T60" s="62">
        <f t="shared" si="34"/>
        <v>625.69364310937681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68.370090041870029</v>
      </c>
      <c r="AA60" s="23">
        <f>EXP(-LN(2)/25)*AA59+(1-EXP(-LN(2)/25))/(LN(2)/25)*Calculateur!V60*Calculateur!X60*VLOOKUP('Données projet'!$B$9,Paramètres!$A$1:$I$89,3,0)*0.475*44/12</f>
        <v>13.854430532214584</v>
      </c>
      <c r="AB60" s="23">
        <f>EXP(-LN(2)/2)*AB59+(1-EXP(-LN(2)/2))/(LN(2)/2)*V60*Y60*VLOOKUP('Données projet'!$B$9,Paramètres!$A$1:$I$89,3,0)*0.475*44/12</f>
        <v>0</v>
      </c>
      <c r="AC60" s="24">
        <f t="shared" si="3"/>
        <v>82.224520574084607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-5.6843418860808015E-14</v>
      </c>
      <c r="AJ60" s="14">
        <f>AI60*VLOOKUP('Données projet'!$B$10,Paramètres!$A$1:$I$89,3,0)*VLOOKUP('Données projet'!$B$10,Paramètres!$A$1:$I$89,5,0)</f>
        <v>-5.1431925385259088E-14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366.86025470473652</v>
      </c>
      <c r="AO60" s="62">
        <f t="shared" si="36"/>
        <v>513.80016421153414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1.1368683772161603E-13</v>
      </c>
      <c r="BE60" s="14">
        <f>BD60*VLOOKUP('Données projet'!$B$11,Paramètres!$A$1:$I$89,3,0)*VLOOKUP('Données projet'!$B$11,Paramètres!$A$1:$I$89,5,0)</f>
        <v>6.7984728957526396E-14</v>
      </c>
      <c r="BF60" s="14">
        <f t="shared" si="37"/>
        <v>1.0682447123141398E-12</v>
      </c>
      <c r="BG60" s="22">
        <f t="shared" si="7"/>
        <v>1.978932943548152E-12</v>
      </c>
      <c r="BH60" s="62">
        <f t="shared" si="8"/>
        <v>293.3333333333353</v>
      </c>
      <c r="BI60" s="62">
        <f ca="1">AVERAGE(OFFSET($BH$3,0,0,'Données projet'!$E$11+1,1))-AVERAGE(OFFSET($H$3,0,0,'Données projet'!$E$11+1,1))</f>
        <v>187.13674266165236</v>
      </c>
      <c r="BJ60" s="62">
        <f t="shared" si="38"/>
        <v>439.28159165815276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31.237073179757132</v>
      </c>
      <c r="BQ60" s="23">
        <f>EXP(-LN(2)/25)*BQ59+(1-EXP(-LN(2)/25))/(LN(2)/25)*Calculateur!BL60*Calculateur!BN60*VLOOKUP('Données projet'!$B$11,Paramètres!$A$1:$I$89,3,0)*0.475*44/12</f>
        <v>20.789056113836299</v>
      </c>
      <c r="BR60" s="23">
        <f>EXP(-LN(2)/2)*BR59+(1-EXP(-LN(2)/2))/(LN(2)/2)*BL60*BO60*VLOOKUP('Données projet'!$B$11,Paramètres!$A$1:$I$89,3,0)*0.475*44/12</f>
        <v>3.7605948765207149E-3</v>
      </c>
      <c r="BS60" s="24">
        <f t="shared" si="9"/>
        <v>52.029889888469945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>
        <f>BY60*VLOOKUP('Données projet'!$B$12,Paramètres!$A$1:$I$89,3,0)*VLOOKUP('Données projet'!$B$12,Paramètres!$A$1:$I$89,5,0)</f>
        <v>0</v>
      </c>
      <c r="CA60" s="14" t="e">
        <f t="shared" si="39"/>
        <v>#NUM!</v>
      </c>
      <c r="CB60" s="22" t="e">
        <f t="shared" si="10"/>
        <v>#NUM!</v>
      </c>
      <c r="CC60" s="62" t="e">
        <f t="shared" si="11"/>
        <v>#NUM!</v>
      </c>
      <c r="CD60" s="62">
        <f ca="1">AVERAGE(OFFSET($CC$3,0,0,'Données projet'!$E$12+1,1))-AVERAGE(OFFSET($H$3,0,0,'Données projet'!$E$12+1,1))</f>
        <v>123.96745898973995</v>
      </c>
      <c r="CE60" s="62">
        <f t="shared" si="40"/>
        <v>638.75149573151157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69.889425376133801</v>
      </c>
      <c r="CL60" s="23">
        <f>EXP(-LN(2)/25)*CL59+(1-EXP(-LN(2)/25))/(LN(2)/25)*Calculateur!CG60*Calculateur!CI60*VLOOKUP('Données projet'!$B$12,Paramètres!$A$1:$I$89,3,0)*0.475*44/12</f>
        <v>14.162306766263789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84.051732142397583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121.59687193641378</v>
      </c>
      <c r="T61" s="62">
        <f t="shared" si="34"/>
        <v>625.69364310937681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67.029394277786182</v>
      </c>
      <c r="AA61" s="23">
        <f>EXP(-LN(2)/25)*AA60+(1-EXP(-LN(2)/25))/(LN(2)/25)*Calculateur!V61*Calculateur!X61*VLOOKUP('Données projet'!$B$9,Paramètres!$A$1:$I$89,3,0)*0.475*44/12</f>
        <v>13.475580400738339</v>
      </c>
      <c r="AB61" s="23">
        <f>EXP(-LN(2)/2)*AB60+(1-EXP(-LN(2)/2))/(LN(2)/2)*V61*Y61*VLOOKUP('Données projet'!$B$9,Paramètres!$A$1:$I$89,3,0)*0.475*44/12</f>
        <v>0</v>
      </c>
      <c r="AC61" s="24">
        <f t="shared" si="3"/>
        <v>80.504974678524519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-5.6843418860808015E-14</v>
      </c>
      <c r="AJ61" s="14">
        <f>AI61*VLOOKUP('Données projet'!$B$10,Paramètres!$A$1:$I$89,3,0)*VLOOKUP('Données projet'!$B$10,Paramètres!$A$1:$I$89,5,0)</f>
        <v>-5.1431925385259088E-14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366.86025470473652</v>
      </c>
      <c r="AO61" s="62">
        <f t="shared" si="36"/>
        <v>513.80016421153414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1.1368683772161603E-13</v>
      </c>
      <c r="BE61" s="14">
        <f>BD61*VLOOKUP('Données projet'!$B$11,Paramètres!$A$1:$I$89,3,0)*VLOOKUP('Données projet'!$B$11,Paramètres!$A$1:$I$89,5,0)</f>
        <v>6.7984728957526396E-14</v>
      </c>
      <c r="BF61" s="14">
        <f t="shared" si="37"/>
        <v>1.0682447123141398E-12</v>
      </c>
      <c r="BG61" s="22">
        <f t="shared" si="7"/>
        <v>1.978932943548152E-12</v>
      </c>
      <c r="BH61" s="62">
        <f t="shared" si="8"/>
        <v>293.3333333333353</v>
      </c>
      <c r="BI61" s="62">
        <f ca="1">AVERAGE(OFFSET($BH$3,0,0,'Données projet'!$E$11+1,1))-AVERAGE(OFFSET($H$3,0,0,'Données projet'!$E$11+1,1))</f>
        <v>187.13674266165236</v>
      </c>
      <c r="BJ61" s="62">
        <f t="shared" si="38"/>
        <v>439.28159165815276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30.624533227435432</v>
      </c>
      <c r="BQ61" s="23">
        <f>EXP(-LN(2)/25)*BQ60+(1-EXP(-LN(2)/25))/(LN(2)/25)*Calculateur!BL61*Calculateur!BN61*VLOOKUP('Données projet'!$B$11,Paramètres!$A$1:$I$89,3,0)*0.475*44/12</f>
        <v>20.220578281154499</v>
      </c>
      <c r="BR61" s="23">
        <f>EXP(-LN(2)/2)*BR60+(1-EXP(-LN(2)/2))/(LN(2)/2)*BL61*BO61*VLOOKUP('Données projet'!$B$11,Paramètres!$A$1:$I$89,3,0)*0.475*44/12</f>
        <v>2.6591421384831852E-3</v>
      </c>
      <c r="BS61" s="24">
        <f t="shared" si="9"/>
        <v>50.847770650728414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>
        <f>BY61*VLOOKUP('Données projet'!$B$12,Paramètres!$A$1:$I$89,3,0)*VLOOKUP('Données projet'!$B$12,Paramètres!$A$1:$I$89,5,0)</f>
        <v>0</v>
      </c>
      <c r="CA61" s="14" t="e">
        <f t="shared" si="39"/>
        <v>#NUM!</v>
      </c>
      <c r="CB61" s="22" t="e">
        <f t="shared" si="10"/>
        <v>#NUM!</v>
      </c>
      <c r="CC61" s="62" t="e">
        <f t="shared" si="11"/>
        <v>#NUM!</v>
      </c>
      <c r="CD61" s="62">
        <f ca="1">AVERAGE(OFFSET($CC$3,0,0,'Données projet'!$E$12+1,1))-AVERAGE(OFFSET($H$3,0,0,'Données projet'!$E$12+1,1))</f>
        <v>123.96745898973995</v>
      </c>
      <c r="CE61" s="62">
        <f t="shared" si="40"/>
        <v>638.75149573151157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68.518936372848103</v>
      </c>
      <c r="CL61" s="23">
        <f>EXP(-LN(2)/25)*CL60+(1-EXP(-LN(2)/25))/(LN(2)/25)*Calculateur!CG61*Calculateur!CI61*VLOOKUP('Données projet'!$B$12,Paramètres!$A$1:$I$89,3,0)*0.475*44/12</f>
        <v>13.775037742976961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82.293974115825065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121.59687193641378</v>
      </c>
      <c r="T62" s="62">
        <f t="shared" si="34"/>
        <v>625.69364310937681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65.714988739892348</v>
      </c>
      <c r="AA62" s="23">
        <f>EXP(-LN(2)/25)*AA61+(1-EXP(-LN(2)/25))/(LN(2)/25)*Calculateur!V62*Calculateur!X62*VLOOKUP('Données projet'!$B$9,Paramètres!$A$1:$I$89,3,0)*0.475*44/12</f>
        <v>13.107089946030175</v>
      </c>
      <c r="AB62" s="23">
        <f>EXP(-LN(2)/2)*AB61+(1-EXP(-LN(2)/2))/(LN(2)/2)*V62*Y62*VLOOKUP('Données projet'!$B$9,Paramètres!$A$1:$I$89,3,0)*0.475*44/12</f>
        <v>0</v>
      </c>
      <c r="AC62" s="24">
        <f t="shared" si="3"/>
        <v>78.82207868592252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-5.6843418860808015E-14</v>
      </c>
      <c r="AJ62" s="14">
        <f>AI62*VLOOKUP('Données projet'!$B$10,Paramètres!$A$1:$I$89,3,0)*VLOOKUP('Données projet'!$B$10,Paramètres!$A$1:$I$89,5,0)</f>
        <v>-5.1431925385259088E-14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366.86025470473652</v>
      </c>
      <c r="AO62" s="62">
        <f t="shared" si="36"/>
        <v>513.80016421153414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1.1368683772161603E-13</v>
      </c>
      <c r="BE62" s="14">
        <f>BD62*VLOOKUP('Données projet'!$B$11,Paramètres!$A$1:$I$89,3,0)*VLOOKUP('Données projet'!$B$11,Paramètres!$A$1:$I$89,5,0)</f>
        <v>6.7984728957526396E-14</v>
      </c>
      <c r="BF62" s="14">
        <f t="shared" si="37"/>
        <v>1.0682447123141398E-12</v>
      </c>
      <c r="BG62" s="22">
        <f t="shared" si="7"/>
        <v>1.978932943548152E-12</v>
      </c>
      <c r="BH62" s="62">
        <f t="shared" si="8"/>
        <v>293.3333333333353</v>
      </c>
      <c r="BI62" s="62">
        <f ca="1">AVERAGE(OFFSET($BH$3,0,0,'Données projet'!$E$11+1,1))-AVERAGE(OFFSET($H$3,0,0,'Données projet'!$E$11+1,1))</f>
        <v>187.13674266165236</v>
      </c>
      <c r="BJ62" s="62">
        <f t="shared" si="38"/>
        <v>439.28159165815276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30.024004809966282</v>
      </c>
      <c r="BQ62" s="23">
        <f>EXP(-LN(2)/25)*BQ61+(1-EXP(-LN(2)/25))/(LN(2)/25)*Calculateur!BL62*Calculateur!BN62*VLOOKUP('Données projet'!$B$11,Paramètres!$A$1:$I$89,3,0)*0.475*44/12</f>
        <v>19.667645504702332</v>
      </c>
      <c r="BR62" s="23">
        <f>EXP(-LN(2)/2)*BR61+(1-EXP(-LN(2)/2))/(LN(2)/2)*BL62*BO62*VLOOKUP('Données projet'!$B$11,Paramètres!$A$1:$I$89,3,0)*0.475*44/12</f>
        <v>1.8802974382603579E-3</v>
      </c>
      <c r="BS62" s="24">
        <f t="shared" si="9"/>
        <v>49.693530612106876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>
        <f>BY62*VLOOKUP('Données projet'!$B$12,Paramètres!$A$1:$I$89,3,0)*VLOOKUP('Données projet'!$B$12,Paramètres!$A$1:$I$89,5,0)</f>
        <v>0</v>
      </c>
      <c r="CA62" s="14" t="e">
        <f t="shared" si="39"/>
        <v>#NUM!</v>
      </c>
      <c r="CB62" s="22" t="e">
        <f t="shared" si="10"/>
        <v>#NUM!</v>
      </c>
      <c r="CC62" s="62" t="e">
        <f t="shared" si="11"/>
        <v>#NUM!</v>
      </c>
      <c r="CD62" s="62">
        <f ca="1">AVERAGE(OFFSET($CC$3,0,0,'Données projet'!$E$12+1,1))-AVERAGE(OFFSET($H$3,0,0,'Données projet'!$E$12+1,1))</f>
        <v>123.96745898973995</v>
      </c>
      <c r="CE62" s="62">
        <f t="shared" si="40"/>
        <v>638.75149573151157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67.175321823001084</v>
      </c>
      <c r="CL62" s="23">
        <f>EXP(-LN(2)/25)*CL61+(1-EXP(-LN(2)/25))/(LN(2)/25)*Calculateur!CG62*Calculateur!CI62*VLOOKUP('Données projet'!$B$12,Paramètres!$A$1:$I$89,3,0)*0.475*44/12</f>
        <v>13.398358611497505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80.573680434498584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121.59687193641378</v>
      </c>
      <c r="T63" s="62">
        <f t="shared" si="34"/>
        <v>625.69364310937681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64.426357892888404</v>
      </c>
      <c r="AA63" s="23">
        <f>EXP(-LN(2)/25)*AA62+(1-EXP(-LN(2)/25))/(LN(2)/25)*Calculateur!V63*Calculateur!X63*VLOOKUP('Données projet'!$B$9,Paramètres!$A$1:$I$89,3,0)*0.475*44/12</f>
        <v>12.748675882184077</v>
      </c>
      <c r="AB63" s="23">
        <f>EXP(-LN(2)/2)*AB62+(1-EXP(-LN(2)/2))/(LN(2)/2)*V63*Y63*VLOOKUP('Données projet'!$B$9,Paramètres!$A$1:$I$89,3,0)*0.475*44/12</f>
        <v>0</v>
      </c>
      <c r="AC63" s="24">
        <f t="shared" si="3"/>
        <v>77.175033775072478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-5.6843418860808015E-14</v>
      </c>
      <c r="AJ63" s="14">
        <f>AI63*VLOOKUP('Données projet'!$B$10,Paramètres!$A$1:$I$89,3,0)*VLOOKUP('Données projet'!$B$10,Paramètres!$A$1:$I$89,5,0)</f>
        <v>-5.1431925385259088E-14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366.86025470473652</v>
      </c>
      <c r="AO63" s="62">
        <f t="shared" si="36"/>
        <v>513.80016421153414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1.1368683772161603E-13</v>
      </c>
      <c r="BE63" s="14">
        <f>BD63*VLOOKUP('Données projet'!$B$11,Paramètres!$A$1:$I$89,3,0)*VLOOKUP('Données projet'!$B$11,Paramètres!$A$1:$I$89,5,0)</f>
        <v>6.7984728957526396E-14</v>
      </c>
      <c r="BF63" s="14">
        <f t="shared" si="37"/>
        <v>1.0682447123141398E-12</v>
      </c>
      <c r="BG63" s="22">
        <f t="shared" si="7"/>
        <v>1.978932943548152E-12</v>
      </c>
      <c r="BH63" s="62">
        <f t="shared" si="8"/>
        <v>293.3333333333353</v>
      </c>
      <c r="BI63" s="62">
        <f ca="1">AVERAGE(OFFSET($BH$3,0,0,'Données projet'!$E$11+1,1))-AVERAGE(OFFSET($H$3,0,0,'Données projet'!$E$11+1,1))</f>
        <v>187.13674266165236</v>
      </c>
      <c r="BJ63" s="62">
        <f t="shared" si="38"/>
        <v>439.28159165815276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29.435252388477537</v>
      </c>
      <c r="BQ63" s="23">
        <f>EXP(-LN(2)/25)*BQ62+(1-EXP(-LN(2)/25))/(LN(2)/25)*Calculateur!BL63*Calculateur!BN63*VLOOKUP('Données projet'!$B$11,Paramètres!$A$1:$I$89,3,0)*0.475*44/12</f>
        <v>19.129832704099719</v>
      </c>
      <c r="BR63" s="23">
        <f>EXP(-LN(2)/2)*BR62+(1-EXP(-LN(2)/2))/(LN(2)/2)*BL63*BO63*VLOOKUP('Données projet'!$B$11,Paramètres!$A$1:$I$89,3,0)*0.475*44/12</f>
        <v>1.3295710692415928E-3</v>
      </c>
      <c r="BS63" s="24">
        <f t="shared" si="9"/>
        <v>48.566414663646498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>
        <f>BY63*VLOOKUP('Données projet'!$B$12,Paramètres!$A$1:$I$89,3,0)*VLOOKUP('Données projet'!$B$12,Paramètres!$A$1:$I$89,5,0)</f>
        <v>0</v>
      </c>
      <c r="CA63" s="14" t="e">
        <f t="shared" si="39"/>
        <v>#NUM!</v>
      </c>
      <c r="CB63" s="22" t="e">
        <f t="shared" si="10"/>
        <v>#NUM!</v>
      </c>
      <c r="CC63" s="62" t="e">
        <f t="shared" si="11"/>
        <v>#NUM!</v>
      </c>
      <c r="CD63" s="62">
        <f ca="1">AVERAGE(OFFSET($CC$3,0,0,'Données projet'!$E$12+1,1))-AVERAGE(OFFSET($H$3,0,0,'Données projet'!$E$12+1,1))</f>
        <v>123.96745898973995</v>
      </c>
      <c r="CE63" s="62">
        <f t="shared" si="40"/>
        <v>638.75149573151157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65.858054734952603</v>
      </c>
      <c r="CL63" s="23">
        <f>EXP(-LN(2)/25)*CL62+(1-EXP(-LN(2)/25))/(LN(2)/25)*Calculateur!CG63*Calculateur!CI63*VLOOKUP('Données projet'!$B$12,Paramètres!$A$1:$I$89,3,0)*0.475*44/12</f>
        <v>13.031979790677049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78.890034525629659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121.59687193641378</v>
      </c>
      <c r="T64" s="62">
        <f t="shared" si="34"/>
        <v>625.69364310937681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63.162996310807003</v>
      </c>
      <c r="AA64" s="23">
        <f>EXP(-LN(2)/25)*AA63+(1-EXP(-LN(2)/25))/(LN(2)/25)*Calculateur!V64*Calculateur!X64*VLOOKUP('Données projet'!$B$9,Paramètres!$A$1:$I$89,3,0)*0.475*44/12</f>
        <v>12.400062669762027</v>
      </c>
      <c r="AB64" s="23">
        <f>EXP(-LN(2)/2)*AB63+(1-EXP(-LN(2)/2))/(LN(2)/2)*V64*Y64*VLOOKUP('Données projet'!$B$9,Paramètres!$A$1:$I$89,3,0)*0.475*44/12</f>
        <v>0</v>
      </c>
      <c r="AC64" s="24">
        <f t="shared" si="3"/>
        <v>75.563058980569025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-5.6843418860808015E-14</v>
      </c>
      <c r="AJ64" s="14">
        <f>AI64*VLOOKUP('Données projet'!$B$10,Paramètres!$A$1:$I$89,3,0)*VLOOKUP('Données projet'!$B$10,Paramètres!$A$1:$I$89,5,0)</f>
        <v>-5.1431925385259088E-14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366.86025470473652</v>
      </c>
      <c r="AO64" s="62">
        <f t="shared" si="36"/>
        <v>513.80016421153414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1.1368683772161603E-13</v>
      </c>
      <c r="BE64" s="14">
        <f>BD64*VLOOKUP('Données projet'!$B$11,Paramètres!$A$1:$I$89,3,0)*VLOOKUP('Données projet'!$B$11,Paramètres!$A$1:$I$89,5,0)</f>
        <v>6.7984728957526396E-14</v>
      </c>
      <c r="BF64" s="14">
        <f t="shared" si="37"/>
        <v>1.0682447123141398E-12</v>
      </c>
      <c r="BG64" s="22">
        <f t="shared" si="7"/>
        <v>1.978932943548152E-12</v>
      </c>
      <c r="BH64" s="62">
        <f t="shared" si="8"/>
        <v>293.3333333333353</v>
      </c>
      <c r="BI64" s="62">
        <f ca="1">AVERAGE(OFFSET($BH$3,0,0,'Données projet'!$E$11+1,1))-AVERAGE(OFFSET($H$3,0,0,'Données projet'!$E$11+1,1))</f>
        <v>187.13674266165236</v>
      </c>
      <c r="BJ64" s="62">
        <f t="shared" si="38"/>
        <v>439.28159165815276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28.858045042870664</v>
      </c>
      <c r="BQ64" s="23">
        <f>EXP(-LN(2)/25)*BQ63+(1-EXP(-LN(2)/25))/(LN(2)/25)*Calculateur!BL64*Calculateur!BN64*VLOOKUP('Données projet'!$B$11,Paramètres!$A$1:$I$89,3,0)*0.475*44/12</f>
        <v>18.606726422811931</v>
      </c>
      <c r="BR64" s="23">
        <f>EXP(-LN(2)/2)*BR63+(1-EXP(-LN(2)/2))/(LN(2)/2)*BL64*BO64*VLOOKUP('Données projet'!$B$11,Paramètres!$A$1:$I$89,3,0)*0.475*44/12</f>
        <v>9.4014871913017904E-4</v>
      </c>
      <c r="BS64" s="24">
        <f t="shared" si="9"/>
        <v>47.465711614401727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>
        <f>BY64*VLOOKUP('Données projet'!$B$12,Paramètres!$A$1:$I$89,3,0)*VLOOKUP('Données projet'!$B$12,Paramètres!$A$1:$I$89,5,0)</f>
        <v>0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123.96745898973995</v>
      </c>
      <c r="CE64" s="62">
        <f t="shared" si="40"/>
        <v>638.75149573151157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64.566618451047162</v>
      </c>
      <c r="CL64" s="23">
        <f>EXP(-LN(2)/25)*CL63+(1-EXP(-LN(2)/25))/(LN(2)/25)*Calculateur!CG64*Calculateur!CI64*VLOOKUP('Données projet'!$B$12,Paramètres!$A$1:$I$89,3,0)*0.475*44/12</f>
        <v>12.675619617978953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77.242238069026115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121.59687193641378</v>
      </c>
      <c r="T65" s="62">
        <f t="shared" si="34"/>
        <v>625.69364310937681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61.924408478775739</v>
      </c>
      <c r="AA65" s="23">
        <f>EXP(-LN(2)/25)*AA64+(1-EXP(-LN(2)/25))/(LN(2)/25)*Calculateur!V65*Calculateur!X65*VLOOKUP('Données projet'!$B$9,Paramètres!$A$1:$I$89,3,0)*0.475*44/12</f>
        <v>12.06098230396643</v>
      </c>
      <c r="AB65" s="23">
        <f>EXP(-LN(2)/2)*AB64+(1-EXP(-LN(2)/2))/(LN(2)/2)*V65*Y65*VLOOKUP('Données projet'!$B$9,Paramètres!$A$1:$I$89,3,0)*0.475*44/12</f>
        <v>0</v>
      </c>
      <c r="AC65" s="24">
        <f t="shared" si="3"/>
        <v>73.985390782742172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-5.6843418860808015E-14</v>
      </c>
      <c r="AJ65" s="14">
        <f>AI65*VLOOKUP('Données projet'!$B$10,Paramètres!$A$1:$I$89,3,0)*VLOOKUP('Données projet'!$B$10,Paramètres!$A$1:$I$89,5,0)</f>
        <v>-5.1431925385259088E-14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366.86025470473652</v>
      </c>
      <c r="AO65" s="62">
        <f t="shared" si="36"/>
        <v>513.80016421153414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1.1368683772161603E-13</v>
      </c>
      <c r="BE65" s="14">
        <f>BD65*VLOOKUP('Données projet'!$B$11,Paramètres!$A$1:$I$89,3,0)*VLOOKUP('Données projet'!$B$11,Paramètres!$A$1:$I$89,5,0)</f>
        <v>6.7984728957526396E-14</v>
      </c>
      <c r="BF65" s="14">
        <f t="shared" si="37"/>
        <v>1.0682447123141398E-12</v>
      </c>
      <c r="BG65" s="22">
        <f t="shared" si="7"/>
        <v>1.978932943548152E-12</v>
      </c>
      <c r="BH65" s="62">
        <f t="shared" si="8"/>
        <v>293.3333333333353</v>
      </c>
      <c r="BI65" s="62">
        <f ca="1">AVERAGE(OFFSET($BH$3,0,0,'Données projet'!$E$11+1,1))-AVERAGE(OFFSET($H$3,0,0,'Données projet'!$E$11+1,1))</f>
        <v>187.13674266165236</v>
      </c>
      <c r="BJ65" s="62">
        <f t="shared" si="38"/>
        <v>439.28159165815276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28.292156381249427</v>
      </c>
      <c r="BQ65" s="23">
        <f>EXP(-LN(2)/25)*BQ64+(1-EXP(-LN(2)/25))/(LN(2)/25)*Calculateur!BL65*Calculateur!BN65*VLOOKUP('Données projet'!$B$11,Paramètres!$A$1:$I$89,3,0)*0.475*44/12</f>
        <v>18.097924510294924</v>
      </c>
      <c r="BR65" s="23">
        <f>EXP(-LN(2)/2)*BR64+(1-EXP(-LN(2)/2))/(LN(2)/2)*BL65*BO65*VLOOKUP('Données projet'!$B$11,Paramètres!$A$1:$I$89,3,0)*0.475*44/12</f>
        <v>6.6478553462079651E-4</v>
      </c>
      <c r="BS65" s="24">
        <f t="shared" si="9"/>
        <v>46.390745677078968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>
        <f>BY65*VLOOKUP('Données projet'!$B$12,Paramètres!$A$1:$I$89,3,0)*VLOOKUP('Données projet'!$B$12,Paramètres!$A$1:$I$89,5,0)</f>
        <v>0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123.96745898973995</v>
      </c>
      <c r="CE65" s="62">
        <f t="shared" si="40"/>
        <v>638.75149573151157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63.300506444970758</v>
      </c>
      <c r="CL65" s="23">
        <f>EXP(-LN(2)/25)*CL64+(1-EXP(-LN(2)/25))/(LN(2)/25)*Calculateur!CG65*Calculateur!CI65*VLOOKUP('Données projet'!$B$12,Paramètres!$A$1:$I$89,3,0)*0.475*44/12</f>
        <v>12.329004132943453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75.629510577914203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121.59687193641378</v>
      </c>
      <c r="T66" s="62">
        <f t="shared" si="34"/>
        <v>625.69364310937681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60.710108598666622</v>
      </c>
      <c r="AA66" s="23">
        <f>EXP(-LN(2)/25)*AA65+(1-EXP(-LN(2)/25))/(LN(2)/25)*Calculateur!V66*Calculateur!X66*VLOOKUP('Données projet'!$B$9,Paramètres!$A$1:$I$89,3,0)*0.475*44/12</f>
        <v>11.731174108604975</v>
      </c>
      <c r="AB66" s="23">
        <f>EXP(-LN(2)/2)*AB65+(1-EXP(-LN(2)/2))/(LN(2)/2)*V66*Y66*VLOOKUP('Données projet'!$B$9,Paramètres!$A$1:$I$89,3,0)*0.475*44/12</f>
        <v>0</v>
      </c>
      <c r="AC66" s="24">
        <f t="shared" si="3"/>
        <v>72.441282707271597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-5.6843418860808015E-14</v>
      </c>
      <c r="AJ66" s="14">
        <f>AI66*VLOOKUP('Données projet'!$B$10,Paramètres!$A$1:$I$89,3,0)*VLOOKUP('Données projet'!$B$10,Paramètres!$A$1:$I$89,5,0)</f>
        <v>-5.1431925385259088E-14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366.86025470473652</v>
      </c>
      <c r="AO66" s="62">
        <f t="shared" si="36"/>
        <v>513.80016421153414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1.1368683772161603E-13</v>
      </c>
      <c r="BE66" s="14">
        <f>BD66*VLOOKUP('Données projet'!$B$11,Paramètres!$A$1:$I$89,3,0)*VLOOKUP('Données projet'!$B$11,Paramètres!$A$1:$I$89,5,0)</f>
        <v>6.7984728957526396E-14</v>
      </c>
      <c r="BF66" s="14">
        <f t="shared" si="37"/>
        <v>1.0682447123141398E-12</v>
      </c>
      <c r="BG66" s="22">
        <f t="shared" si="7"/>
        <v>1.978932943548152E-12</v>
      </c>
      <c r="BH66" s="62">
        <f t="shared" si="8"/>
        <v>293.3333333333353</v>
      </c>
      <c r="BI66" s="62">
        <f ca="1">AVERAGE(OFFSET($BH$3,0,0,'Données projet'!$E$11+1,1))-AVERAGE(OFFSET($H$3,0,0,'Données projet'!$E$11+1,1))</f>
        <v>187.13674266165236</v>
      </c>
      <c r="BJ66" s="62">
        <f t="shared" si="38"/>
        <v>439.28159165815276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27.737364451124581</v>
      </c>
      <c r="BQ66" s="23">
        <f>EXP(-LN(2)/25)*BQ65+(1-EXP(-LN(2)/25))/(LN(2)/25)*Calculateur!BL66*Calculateur!BN66*VLOOKUP('Données projet'!$B$11,Paramètres!$A$1:$I$89,3,0)*0.475*44/12</f>
        <v>17.603035812832424</v>
      </c>
      <c r="BR66" s="23">
        <f>EXP(-LN(2)/2)*BR65+(1-EXP(-LN(2)/2))/(LN(2)/2)*BL66*BO66*VLOOKUP('Données projet'!$B$11,Paramètres!$A$1:$I$89,3,0)*0.475*44/12</f>
        <v>4.7007435956508963E-4</v>
      </c>
      <c r="BS66" s="24">
        <f t="shared" si="9"/>
        <v>45.34087033831657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>
        <f>BY66*VLOOKUP('Données projet'!$B$12,Paramètres!$A$1:$I$89,3,0)*VLOOKUP('Données projet'!$B$12,Paramètres!$A$1:$I$89,5,0)</f>
        <v>0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123.96745898973995</v>
      </c>
      <c r="CE66" s="62">
        <f t="shared" si="40"/>
        <v>638.75149573151157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62.05922212308144</v>
      </c>
      <c r="CL66" s="23">
        <f>EXP(-LN(2)/25)*CL65+(1-EXP(-LN(2)/25))/(LN(2)/25)*Calculateur!CG66*Calculateur!CI66*VLOOKUP('Données projet'!$B$12,Paramètres!$A$1:$I$89,3,0)*0.475*44/12</f>
        <v>11.991866866573965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74.051088989655398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121.59687193641378</v>
      </c>
      <c r="T67" s="62">
        <f t="shared" si="34"/>
        <v>625.69364310937681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59.519620398556654</v>
      </c>
      <c r="AA67" s="23">
        <f>EXP(-LN(2)/25)*AA66+(1-EXP(-LN(2)/25))/(LN(2)/25)*Calculateur!V67*Calculateur!X67*VLOOKUP('Données projet'!$B$9,Paramètres!$A$1:$I$89,3,0)*0.475*44/12</f>
        <v>11.410384535689538</v>
      </c>
      <c r="AB67" s="23">
        <f>EXP(-LN(2)/2)*AB66+(1-EXP(-LN(2)/2))/(LN(2)/2)*V67*Y67*VLOOKUP('Données projet'!$B$9,Paramètres!$A$1:$I$89,3,0)*0.475*44/12</f>
        <v>0</v>
      </c>
      <c r="AC67" s="24">
        <f t="shared" si="3"/>
        <v>70.930004934246199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-5.6843418860808015E-14</v>
      </c>
      <c r="AJ67" s="14">
        <f>AI67*VLOOKUP('Données projet'!$B$10,Paramètres!$A$1:$I$89,3,0)*VLOOKUP('Données projet'!$B$10,Paramètres!$A$1:$I$89,5,0)</f>
        <v>-5.1431925385259088E-14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366.86025470473652</v>
      </c>
      <c r="AO67" s="62">
        <f t="shared" si="36"/>
        <v>513.80016421153414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1.1368683772161603E-13</v>
      </c>
      <c r="BE67" s="14">
        <f>BD67*VLOOKUP('Données projet'!$B$11,Paramètres!$A$1:$I$89,3,0)*VLOOKUP('Données projet'!$B$11,Paramètres!$A$1:$I$89,5,0)</f>
        <v>6.7984728957526396E-14</v>
      </c>
      <c r="BF67" s="14">
        <f t="shared" si="37"/>
        <v>1.0682447123141398E-12</v>
      </c>
      <c r="BG67" s="22">
        <f t="shared" si="7"/>
        <v>1.978932943548152E-12</v>
      </c>
      <c r="BH67" s="62">
        <f t="shared" si="8"/>
        <v>293.3333333333353</v>
      </c>
      <c r="BI67" s="62">
        <f ca="1">AVERAGE(OFFSET($BH$3,0,0,'Données projet'!$E$11+1,1))-AVERAGE(OFFSET($H$3,0,0,'Données projet'!$E$11+1,1))</f>
        <v>187.13674266165236</v>
      </c>
      <c r="BJ67" s="62">
        <f t="shared" si="38"/>
        <v>439.28159165815276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27.193451652359816</v>
      </c>
      <c r="BQ67" s="23">
        <f>EXP(-LN(2)/25)*BQ66+(1-EXP(-LN(2)/25))/(LN(2)/25)*Calculateur!BL67*Calculateur!BN67*VLOOKUP('Données projet'!$B$11,Paramètres!$A$1:$I$89,3,0)*0.475*44/12</f>
        <v>17.121679872827102</v>
      </c>
      <c r="BR67" s="23">
        <f>EXP(-LN(2)/2)*BR66+(1-EXP(-LN(2)/2))/(LN(2)/2)*BL67*BO67*VLOOKUP('Données projet'!$B$11,Paramètres!$A$1:$I$89,3,0)*0.475*44/12</f>
        <v>3.3239276731039831E-4</v>
      </c>
      <c r="BS67" s="24">
        <f t="shared" si="9"/>
        <v>44.315463917954226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>
        <f>BY67*VLOOKUP('Données projet'!$B$12,Paramètres!$A$1:$I$89,3,0)*VLOOKUP('Données projet'!$B$12,Paramètres!$A$1:$I$89,5,0)</f>
        <v>0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123.96745898973995</v>
      </c>
      <c r="CE67" s="62">
        <f t="shared" si="40"/>
        <v>638.75149573151157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60.842278629635693</v>
      </c>
      <c r="CL67" s="23">
        <f>EXP(-LN(2)/25)*CL66+(1-EXP(-LN(2)/25))/(LN(2)/25)*Calculateur!CG67*Calculateur!CI67*VLOOKUP('Données projet'!$B$12,Paramètres!$A$1:$I$89,3,0)*0.475*44/12</f>
        <v>11.663948636482628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72.506227266118316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121.59687193641378</v>
      </c>
      <c r="T68" s="62">
        <f t="shared" si="34"/>
        <v>625.69364310937681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58.352476945924742</v>
      </c>
      <c r="AA68" s="23">
        <f>EXP(-LN(2)/25)*AA67+(1-EXP(-LN(2)/25))/(LN(2)/25)*Calculateur!V68*Calculateur!X68*VLOOKUP('Données projet'!$B$9,Paramètres!$A$1:$I$89,3,0)*0.475*44/12</f>
        <v>11.098366970515062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69.450843916439808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-5.6843418860808015E-14</v>
      </c>
      <c r="AJ68" s="14">
        <f>AI68*VLOOKUP('Données projet'!$B$10,Paramètres!$A$1:$I$89,3,0)*VLOOKUP('Données projet'!$B$10,Paramètres!$A$1:$I$89,5,0)</f>
        <v>-5.1431925385259088E-14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366.86025470473652</v>
      </c>
      <c r="AO68" s="62">
        <f t="shared" si="36"/>
        <v>513.80016421153414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1.1368683772161603E-13</v>
      </c>
      <c r="BE68" s="14">
        <f>BD68*VLOOKUP('Données projet'!$B$11,Paramètres!$A$1:$I$89,3,0)*VLOOKUP('Données projet'!$B$11,Paramètres!$A$1:$I$89,5,0)</f>
        <v>6.7984728957526396E-14</v>
      </c>
      <c r="BF68" s="14">
        <f t="shared" si="37"/>
        <v>1.0682447123141398E-12</v>
      </c>
      <c r="BG68" s="22">
        <f t="shared" ref="BG68:BG131" si="61">(BE68+BF68)*0.475*44/12</f>
        <v>1.978932943548152E-12</v>
      </c>
      <c r="BH68" s="62">
        <f t="shared" ref="BH68:BH131" si="62">BG68+(AY68+AZ68)*44/12</f>
        <v>293.3333333333353</v>
      </c>
      <c r="BI68" s="62">
        <f ca="1">AVERAGE(OFFSET($BH$3,0,0,'Données projet'!$E$11+1,1))-AVERAGE(OFFSET($H$3,0,0,'Données projet'!$E$11+1,1))</f>
        <v>187.13674266165236</v>
      </c>
      <c r="BJ68" s="62">
        <f t="shared" si="38"/>
        <v>439.28159165815276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26.660204651824781</v>
      </c>
      <c r="BQ68" s="23">
        <f>EXP(-LN(2)/25)*BQ67+(1-EXP(-LN(2)/25))/(LN(2)/25)*Calculateur!BL68*Calculateur!BN68*VLOOKUP('Données projet'!$B$11,Paramètres!$A$1:$I$89,3,0)*0.475*44/12</f>
        <v>16.653486636314632</v>
      </c>
      <c r="BR68" s="23">
        <f>EXP(-LN(2)/2)*BR67+(1-EXP(-LN(2)/2))/(LN(2)/2)*BL68*BO68*VLOOKUP('Données projet'!$B$11,Paramètres!$A$1:$I$89,3,0)*0.475*44/12</f>
        <v>2.3503717978254484E-4</v>
      </c>
      <c r="BS68" s="24">
        <f t="shared" ref="BS68:BS131" si="63">SUM(BP68:BR68)</f>
        <v>43.313926325319194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>
        <f>BY68*VLOOKUP('Données projet'!$B$12,Paramètres!$A$1:$I$89,3,0)*VLOOKUP('Données projet'!$B$12,Paramètres!$A$1:$I$89,5,0)</f>
        <v>0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123.96745898973995</v>
      </c>
      <c r="CE68" s="62">
        <f t="shared" si="40"/>
        <v>638.75149573151157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59.649198655834184</v>
      </c>
      <c r="CL68" s="23">
        <f>EXP(-LN(2)/25)*CL67+(1-EXP(-LN(2)/25))/(LN(2)/25)*Calculateur!CG68*Calculateur!CI68*VLOOKUP('Données projet'!$B$12,Paramètres!$A$1:$I$89,3,0)*0.475*44/12</f>
        <v>11.34499734763761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70.994196003471799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121.59687193641378</v>
      </c>
      <c r="T69" s="62">
        <f t="shared" ref="T69:T132" si="88">$T$3</f>
        <v>625.69364310937681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57.208220464511726</v>
      </c>
      <c r="AA69" s="23">
        <f>EXP(-LN(2)/25)*AA68+(1-EXP(-LN(2)/25))/(LN(2)/25)*Calculateur!V69*Calculateur!X69*VLOOKUP('Données projet'!$B$9,Paramètres!$A$1:$I$89,3,0)*0.475*44/12</f>
        <v>10.794881542068575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68.003102006580306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-5.6843418860808015E-14</v>
      </c>
      <c r="AJ69" s="14">
        <f>AI69*VLOOKUP('Données projet'!$B$10,Paramètres!$A$1:$I$89,3,0)*VLOOKUP('Données projet'!$B$10,Paramètres!$A$1:$I$89,5,0)</f>
        <v>-5.1431925385259088E-14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366.86025470473652</v>
      </c>
      <c r="AO69" s="62">
        <f t="shared" ref="AO69:AO132" si="90">$AO$3</f>
        <v>513.80016421153414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1.1368683772161603E-13</v>
      </c>
      <c r="BE69" s="14">
        <f>BD69*VLOOKUP('Données projet'!$B$11,Paramètres!$A$1:$I$89,3,0)*VLOOKUP('Données projet'!$B$11,Paramètres!$A$1:$I$89,5,0)</f>
        <v>6.7984728957526396E-14</v>
      </c>
      <c r="BF69" s="14">
        <f t="shared" ref="BF69:BF132" si="91">EXP(-1.0587+0.8836*LN(BE69)+0.284)</f>
        <v>1.0682447123141398E-12</v>
      </c>
      <c r="BG69" s="22">
        <f t="shared" si="61"/>
        <v>1.978932943548152E-12</v>
      </c>
      <c r="BH69" s="62">
        <f t="shared" si="62"/>
        <v>293.3333333333353</v>
      </c>
      <c r="BI69" s="62">
        <f ca="1">AVERAGE(OFFSET($BH$3,0,0,'Données projet'!$E$11+1,1))-AVERAGE(OFFSET($H$3,0,0,'Données projet'!$E$11+1,1))</f>
        <v>187.13674266165236</v>
      </c>
      <c r="BJ69" s="62">
        <f t="shared" ref="BJ69:BJ132" si="92">$BJ$3</f>
        <v>439.28159165815276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26.137414299721684</v>
      </c>
      <c r="BQ69" s="23">
        <f>EXP(-LN(2)/25)*BQ68+(1-EXP(-LN(2)/25))/(LN(2)/25)*Calculateur!BL69*Calculateur!BN69*VLOOKUP('Données projet'!$B$11,Paramètres!$A$1:$I$89,3,0)*0.475*44/12</f>
        <v>16.198096168475807</v>
      </c>
      <c r="BR69" s="23">
        <f>EXP(-LN(2)/2)*BR68+(1-EXP(-LN(2)/2))/(LN(2)/2)*BL69*BO69*VLOOKUP('Données projet'!$B$11,Paramètres!$A$1:$I$89,3,0)*0.475*44/12</f>
        <v>1.6619638365519918E-4</v>
      </c>
      <c r="BS69" s="24">
        <f t="shared" si="63"/>
        <v>42.335676664581143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>
        <f>BY69*VLOOKUP('Données projet'!$B$12,Paramètres!$A$1:$I$89,3,0)*VLOOKUP('Données projet'!$B$12,Paramètres!$A$1:$I$89,5,0)</f>
        <v>0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123.96745898973995</v>
      </c>
      <c r="CE69" s="62">
        <f t="shared" ref="CE69:CE132" si="94">$CE$3</f>
        <v>638.75149573151157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58.479514252611992</v>
      </c>
      <c r="CL69" s="23">
        <f>EXP(-LN(2)/25)*CL68+(1-EXP(-LN(2)/25))/(LN(2)/25)*Calculateur!CG69*Calculateur!CI69*VLOOKUP('Données projet'!$B$12,Paramètres!$A$1:$I$89,3,0)*0.475*44/12</f>
        <v>11.034767798558979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69.514282051170966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121.59687193641378</v>
      </c>
      <c r="T70" s="62">
        <f t="shared" si="88"/>
        <v>625.69364310937681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56.086402154771683</v>
      </c>
      <c r="AA70" s="23">
        <f>EXP(-LN(2)/25)*AA69+(1-EXP(-LN(2)/25))/(LN(2)/25)*Calculateur!V70*Calculateur!X70*VLOOKUP('Données projet'!$B$9,Paramètres!$A$1:$I$89,3,0)*0.475*44/12</f>
        <v>10.499694938622561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66.586097093394244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-5.6843418860808015E-14</v>
      </c>
      <c r="AJ70" s="14">
        <f>AI70*VLOOKUP('Données projet'!$B$10,Paramètres!$A$1:$I$89,3,0)*VLOOKUP('Données projet'!$B$10,Paramètres!$A$1:$I$89,5,0)</f>
        <v>-5.1431925385259088E-14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366.86025470473652</v>
      </c>
      <c r="AO70" s="62">
        <f t="shared" si="90"/>
        <v>513.80016421153414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1.1368683772161603E-13</v>
      </c>
      <c r="BE70" s="14">
        <f>BD70*VLOOKUP('Données projet'!$B$11,Paramètres!$A$1:$I$89,3,0)*VLOOKUP('Données projet'!$B$11,Paramètres!$A$1:$I$89,5,0)</f>
        <v>6.7984728957526396E-14</v>
      </c>
      <c r="BF70" s="14">
        <f t="shared" si="91"/>
        <v>1.0682447123141398E-12</v>
      </c>
      <c r="BG70" s="22">
        <f t="shared" si="61"/>
        <v>1.978932943548152E-12</v>
      </c>
      <c r="BH70" s="62">
        <f t="shared" si="62"/>
        <v>293.3333333333353</v>
      </c>
      <c r="BI70" s="62">
        <f ca="1">AVERAGE(OFFSET($BH$3,0,0,'Données projet'!$E$11+1,1))-AVERAGE(OFFSET($H$3,0,0,'Données projet'!$E$11+1,1))</f>
        <v>187.13674266165236</v>
      </c>
      <c r="BJ70" s="62">
        <f t="shared" si="92"/>
        <v>439.28159165815276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25.624875547552698</v>
      </c>
      <c r="BQ70" s="23">
        <f>EXP(-LN(2)/25)*BQ69+(1-EXP(-LN(2)/25))/(LN(2)/25)*Calculateur!BL70*Calculateur!BN70*VLOOKUP('Données projet'!$B$11,Paramètres!$A$1:$I$89,3,0)*0.475*44/12</f>
        <v>15.75515837692798</v>
      </c>
      <c r="BR70" s="23">
        <f>EXP(-LN(2)/2)*BR69+(1-EXP(-LN(2)/2))/(LN(2)/2)*BL70*BO70*VLOOKUP('Données projet'!$B$11,Paramètres!$A$1:$I$89,3,0)*0.475*44/12</f>
        <v>1.1751858989127243E-4</v>
      </c>
      <c r="BS70" s="24">
        <f t="shared" si="63"/>
        <v>41.380151443070567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>
        <f>BY70*VLOOKUP('Données projet'!$B$12,Paramètres!$A$1:$I$89,3,0)*VLOOKUP('Données projet'!$B$12,Paramètres!$A$1:$I$89,5,0)</f>
        <v>0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123.96745898973995</v>
      </c>
      <c r="CE70" s="62">
        <f t="shared" si="94"/>
        <v>638.75149573151157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57.332766647099945</v>
      </c>
      <c r="CL70" s="23">
        <f>EXP(-LN(2)/25)*CL69+(1-EXP(-LN(2)/25))/(LN(2)/25)*Calculateur!CG70*Calculateur!CI70*VLOOKUP('Données projet'!$B$12,Paramètres!$A$1:$I$89,3,0)*0.475*44/12</f>
        <v>10.733021492814165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68.065788139914105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121.59687193641378</v>
      </c>
      <c r="T71" s="62">
        <f t="shared" si="88"/>
        <v>625.69364310937681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54.986582017844036</v>
      </c>
      <c r="AA71" s="23">
        <f>EXP(-LN(2)/25)*AA70+(1-EXP(-LN(2)/25))/(LN(2)/25)*Calculateur!V71*Calculateur!X71*VLOOKUP('Données projet'!$B$9,Paramètres!$A$1:$I$89,3,0)*0.475*44/12</f>
        <v>10.212580228370967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65.199162246214996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-5.6843418860808015E-14</v>
      </c>
      <c r="AJ71" s="14">
        <f>AI71*VLOOKUP('Données projet'!$B$10,Paramètres!$A$1:$I$89,3,0)*VLOOKUP('Données projet'!$B$10,Paramètres!$A$1:$I$89,5,0)</f>
        <v>-5.1431925385259088E-14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366.86025470473652</v>
      </c>
      <c r="AO71" s="62">
        <f t="shared" si="90"/>
        <v>513.80016421153414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1.1368683772161603E-13</v>
      </c>
      <c r="BE71" s="14">
        <f>BD71*VLOOKUP('Données projet'!$B$11,Paramètres!$A$1:$I$89,3,0)*VLOOKUP('Données projet'!$B$11,Paramètres!$A$1:$I$89,5,0)</f>
        <v>6.7984728957526396E-14</v>
      </c>
      <c r="BF71" s="14">
        <f t="shared" si="91"/>
        <v>1.0682447123141398E-12</v>
      </c>
      <c r="BG71" s="22">
        <f t="shared" si="61"/>
        <v>1.978932943548152E-12</v>
      </c>
      <c r="BH71" s="62">
        <f t="shared" si="62"/>
        <v>293.3333333333353</v>
      </c>
      <c r="BI71" s="62">
        <f ca="1">AVERAGE(OFFSET($BH$3,0,0,'Données projet'!$E$11+1,1))-AVERAGE(OFFSET($H$3,0,0,'Données projet'!$E$11+1,1))</f>
        <v>187.13674266165236</v>
      </c>
      <c r="BJ71" s="62">
        <f t="shared" si="92"/>
        <v>439.28159165815276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25.122387367695975</v>
      </c>
      <c r="BQ71" s="23">
        <f>EXP(-LN(2)/25)*BQ70+(1-EXP(-LN(2)/25))/(LN(2)/25)*Calculateur!BL71*Calculateur!BN71*VLOOKUP('Données projet'!$B$11,Paramètres!$A$1:$I$89,3,0)*0.475*44/12</f>
        <v>15.324332742583115</v>
      </c>
      <c r="BR71" s="23">
        <f>EXP(-LN(2)/2)*BR70+(1-EXP(-LN(2)/2))/(LN(2)/2)*BL71*BO71*VLOOKUP('Données projet'!$B$11,Paramètres!$A$1:$I$89,3,0)*0.475*44/12</f>
        <v>8.3098191827599605E-5</v>
      </c>
      <c r="BS71" s="24">
        <f t="shared" si="63"/>
        <v>40.446803208470918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>
        <f>BY71*VLOOKUP('Données projet'!$B$12,Paramètres!$A$1:$I$89,3,0)*VLOOKUP('Données projet'!$B$12,Paramètres!$A$1:$I$89,5,0)</f>
        <v>0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123.96745898973995</v>
      </c>
      <c r="CE71" s="62">
        <f t="shared" si="94"/>
        <v>638.75149573151157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56.208506062685018</v>
      </c>
      <c r="CL71" s="23">
        <f>EXP(-LN(2)/25)*CL70+(1-EXP(-LN(2)/25))/(LN(2)/25)*Calculateur!CG71*Calculateur!CI71*VLOOKUP('Données projet'!$B$12,Paramètres!$A$1:$I$89,3,0)*0.475*44/12</f>
        <v>10.439526455668092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66.648032518353105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121.59687193641378</v>
      </c>
      <c r="T72" s="62">
        <f t="shared" si="88"/>
        <v>625.69364310937681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53.908328682977491</v>
      </c>
      <c r="AA72" s="23">
        <f>EXP(-LN(2)/25)*AA71+(1-EXP(-LN(2)/25))/(LN(2)/25)*Calculateur!V72*Calculateur!X72*VLOOKUP('Données projet'!$B$9,Paramètres!$A$1:$I$89,3,0)*0.475*44/12</f>
        <v>9.9333166849699097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63.8416453679474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-5.6843418860808015E-14</v>
      </c>
      <c r="AJ72" s="14">
        <f>AI72*VLOOKUP('Données projet'!$B$10,Paramètres!$A$1:$I$89,3,0)*VLOOKUP('Données projet'!$B$10,Paramètres!$A$1:$I$89,5,0)</f>
        <v>-5.1431925385259088E-14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366.86025470473652</v>
      </c>
      <c r="AO72" s="62">
        <f t="shared" si="90"/>
        <v>513.80016421153414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1.1368683772161603E-13</v>
      </c>
      <c r="BE72" s="14">
        <f>BD72*VLOOKUP('Données projet'!$B$11,Paramètres!$A$1:$I$89,3,0)*VLOOKUP('Données projet'!$B$11,Paramètres!$A$1:$I$89,5,0)</f>
        <v>6.7984728957526396E-14</v>
      </c>
      <c r="BF72" s="14">
        <f t="shared" si="91"/>
        <v>1.0682447123141398E-12</v>
      </c>
      <c r="BG72" s="22">
        <f t="shared" si="61"/>
        <v>1.978932943548152E-12</v>
      </c>
      <c r="BH72" s="62">
        <f t="shared" si="62"/>
        <v>293.3333333333353</v>
      </c>
      <c r="BI72" s="62">
        <f ca="1">AVERAGE(OFFSET($BH$3,0,0,'Données projet'!$E$11+1,1))-AVERAGE(OFFSET($H$3,0,0,'Données projet'!$E$11+1,1))</f>
        <v>187.13674266165236</v>
      </c>
      <c r="BJ72" s="62">
        <f t="shared" si="92"/>
        <v>439.28159165815276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24.629752674558716</v>
      </c>
      <c r="BQ72" s="23">
        <f>EXP(-LN(2)/25)*BQ71+(1-EXP(-LN(2)/25))/(LN(2)/25)*Calculateur!BL72*Calculateur!BN72*VLOOKUP('Données projet'!$B$11,Paramètres!$A$1:$I$89,3,0)*0.475*44/12</f>
        <v>14.905288057865546</v>
      </c>
      <c r="BR72" s="23">
        <f>EXP(-LN(2)/2)*BR71+(1-EXP(-LN(2)/2))/(LN(2)/2)*BL72*BO72*VLOOKUP('Données projet'!$B$11,Paramètres!$A$1:$I$89,3,0)*0.475*44/12</f>
        <v>5.8759294945636231E-5</v>
      </c>
      <c r="BS72" s="24">
        <f t="shared" si="63"/>
        <v>39.535099491719208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>
        <f>BY72*VLOOKUP('Données projet'!$B$12,Paramètres!$A$1:$I$89,3,0)*VLOOKUP('Données projet'!$B$12,Paramètres!$A$1:$I$89,5,0)</f>
        <v>0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123.96745898973995</v>
      </c>
      <c r="CE72" s="62">
        <f t="shared" si="94"/>
        <v>638.75149573151157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55.106291542599216</v>
      </c>
      <c r="CL72" s="23">
        <f>EXP(-LN(2)/25)*CL71+(1-EXP(-LN(2)/25))/(LN(2)/25)*Calculateur!CG72*Calculateur!CI72*VLOOKUP('Données projet'!$B$12,Paramètres!$A$1:$I$89,3,0)*0.475*44/12</f>
        <v>10.154057055747012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65.260348598346226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121.59687193641378</v>
      </c>
      <c r="T73" s="62">
        <f t="shared" si="88"/>
        <v>625.69364310937681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52.851219238338089</v>
      </c>
      <c r="AA73" s="23">
        <f>EXP(-LN(2)/25)*AA72+(1-EXP(-LN(2)/25))/(LN(2)/25)*Calculateur!V73*Calculateur!X73*VLOOKUP('Données projet'!$B$9,Paramètres!$A$1:$I$89,3,0)*0.475*44/12</f>
        <v>9.6616896178489853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62.512908856187074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-5.6843418860808015E-14</v>
      </c>
      <c r="AJ73" s="14">
        <f>AI73*VLOOKUP('Données projet'!$B$10,Paramètres!$A$1:$I$89,3,0)*VLOOKUP('Données projet'!$B$10,Paramètres!$A$1:$I$89,5,0)</f>
        <v>-5.1431925385259088E-14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366.86025470473652</v>
      </c>
      <c r="AO73" s="62">
        <f t="shared" si="90"/>
        <v>513.80016421153414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1.1368683772161603E-13</v>
      </c>
      <c r="BE73" s="14">
        <f>BD73*VLOOKUP('Données projet'!$B$11,Paramètres!$A$1:$I$89,3,0)*VLOOKUP('Données projet'!$B$11,Paramètres!$A$1:$I$89,5,0)</f>
        <v>6.7984728957526396E-14</v>
      </c>
      <c r="BF73" s="14">
        <f t="shared" si="91"/>
        <v>1.0682447123141398E-12</v>
      </c>
      <c r="BG73" s="22">
        <f t="shared" si="61"/>
        <v>1.978932943548152E-12</v>
      </c>
      <c r="BH73" s="62">
        <f t="shared" si="62"/>
        <v>293.3333333333353</v>
      </c>
      <c r="BI73" s="62">
        <f ca="1">AVERAGE(OFFSET($BH$3,0,0,'Données projet'!$E$11+1,1))-AVERAGE(OFFSET($H$3,0,0,'Données projet'!$E$11+1,1))</f>
        <v>187.13674266165236</v>
      </c>
      <c r="BJ73" s="62">
        <f t="shared" si="92"/>
        <v>439.28159165815276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24.146778247276387</v>
      </c>
      <c r="BQ73" s="23">
        <f>EXP(-LN(2)/25)*BQ72+(1-EXP(-LN(2)/25))/(LN(2)/25)*Calculateur!BL73*Calculateur!BN73*VLOOKUP('Données projet'!$B$11,Paramètres!$A$1:$I$89,3,0)*0.475*44/12</f>
        <v>14.49770217208818</v>
      </c>
      <c r="BR73" s="23">
        <f>EXP(-LN(2)/2)*BR72+(1-EXP(-LN(2)/2))/(LN(2)/2)*BL73*BO73*VLOOKUP('Données projet'!$B$11,Paramètres!$A$1:$I$89,3,0)*0.475*44/12</f>
        <v>4.1549095913799809E-5</v>
      </c>
      <c r="BS73" s="24">
        <f t="shared" si="63"/>
        <v>38.644521968460481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>
        <f>BY73*VLOOKUP('Données projet'!$B$12,Paramètres!$A$1:$I$89,3,0)*VLOOKUP('Données projet'!$B$12,Paramètres!$A$1:$I$89,5,0)</f>
        <v>0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123.96745898973995</v>
      </c>
      <c r="CE73" s="62">
        <f t="shared" si="94"/>
        <v>638.75149573151157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54.025690776967828</v>
      </c>
      <c r="CL73" s="23">
        <f>EXP(-LN(2)/25)*CL72+(1-EXP(-LN(2)/25))/(LN(2)/25)*Calculateur!CG73*Calculateur!CI73*VLOOKUP('Données projet'!$B$12,Paramètres!$A$1:$I$89,3,0)*0.475*44/12</f>
        <v>9.876393831578957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63.902084608546787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121.59687193641378</v>
      </c>
      <c r="T74" s="62">
        <f t="shared" si="88"/>
        <v>625.69364310937681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51.814839065134969</v>
      </c>
      <c r="AA74" s="23">
        <f>EXP(-LN(2)/25)*AA73+(1-EXP(-LN(2)/25))/(LN(2)/25)*Calculateur!V74*Calculateur!X74*VLOOKUP('Données projet'!$B$9,Paramètres!$A$1:$I$89,3,0)*0.475*44/12</f>
        <v>9.3974902071627291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61.212329272297694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-5.6843418860808015E-14</v>
      </c>
      <c r="AJ74" s="14">
        <f>AI74*VLOOKUP('Données projet'!$B$10,Paramètres!$A$1:$I$89,3,0)*VLOOKUP('Données projet'!$B$10,Paramètres!$A$1:$I$89,5,0)</f>
        <v>-5.1431925385259088E-14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366.86025470473652</v>
      </c>
      <c r="AO74" s="62">
        <f t="shared" si="90"/>
        <v>513.80016421153414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1.1368683772161603E-13</v>
      </c>
      <c r="BE74" s="14">
        <f>BD74*VLOOKUP('Données projet'!$B$11,Paramètres!$A$1:$I$89,3,0)*VLOOKUP('Données projet'!$B$11,Paramètres!$A$1:$I$89,5,0)</f>
        <v>6.7984728957526396E-14</v>
      </c>
      <c r="BF74" s="14">
        <f t="shared" si="91"/>
        <v>1.0682447123141398E-12</v>
      </c>
      <c r="BG74" s="22">
        <f t="shared" si="61"/>
        <v>1.978932943548152E-12</v>
      </c>
      <c r="BH74" s="62">
        <f t="shared" si="62"/>
        <v>293.3333333333353</v>
      </c>
      <c r="BI74" s="62">
        <f ca="1">AVERAGE(OFFSET($BH$3,0,0,'Données projet'!$E$11+1,1))-AVERAGE(OFFSET($H$3,0,0,'Données projet'!$E$11+1,1))</f>
        <v>187.13674266165236</v>
      </c>
      <c r="BJ74" s="62">
        <f t="shared" si="92"/>
        <v>439.28159165815276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23.673274653927752</v>
      </c>
      <c r="BQ74" s="23">
        <f>EXP(-LN(2)/25)*BQ73+(1-EXP(-LN(2)/25))/(LN(2)/25)*Calculateur!BL74*Calculateur!BN74*VLOOKUP('Données projet'!$B$11,Paramètres!$A$1:$I$89,3,0)*0.475*44/12</f>
        <v>14.101261743791406</v>
      </c>
      <c r="BR74" s="23">
        <f>EXP(-LN(2)/2)*BR73+(1-EXP(-LN(2)/2))/(LN(2)/2)*BL74*BO74*VLOOKUP('Données projet'!$B$11,Paramètres!$A$1:$I$89,3,0)*0.475*44/12</f>
        <v>2.9379647472818119E-5</v>
      </c>
      <c r="BS74" s="24">
        <f t="shared" si="63"/>
        <v>37.774565777366632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>
        <f>BY74*VLOOKUP('Données projet'!$B$12,Paramètres!$A$1:$I$89,3,0)*VLOOKUP('Données projet'!$B$12,Paramètres!$A$1:$I$89,5,0)</f>
        <v>0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123.96745898973995</v>
      </c>
      <c r="CE74" s="62">
        <f t="shared" si="94"/>
        <v>638.75149573151157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52.966279933249083</v>
      </c>
      <c r="CL74" s="23">
        <f>EXP(-LN(2)/25)*CL73+(1-EXP(-LN(2)/25))/(LN(2)/25)*Calculateur!CG74*Calculateur!CI74*VLOOKUP('Données projet'!$B$12,Paramètres!$A$1:$I$89,3,0)*0.475*44/12</f>
        <v>9.6063233228774525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62.572603256126534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121.59687193641378</v>
      </c>
      <c r="T75" s="62">
        <f t="shared" si="88"/>
        <v>625.69364310937681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50.798781674998871</v>
      </c>
      <c r="AA75" s="23">
        <f>EXP(-LN(2)/25)*AA74+(1-EXP(-LN(2)/25))/(LN(2)/25)*Calculateur!V75*Calculateur!X75*VLOOKUP('Données projet'!$B$9,Paramètres!$A$1:$I$89,3,0)*0.475*44/12</f>
        <v>9.1405153432553323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59.939297018254202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-5.6843418860808015E-14</v>
      </c>
      <c r="AJ75" s="14">
        <f>AI75*VLOOKUP('Données projet'!$B$10,Paramètres!$A$1:$I$89,3,0)*VLOOKUP('Données projet'!$B$10,Paramètres!$A$1:$I$89,5,0)</f>
        <v>-5.1431925385259088E-14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366.86025470473652</v>
      </c>
      <c r="AO75" s="62">
        <f t="shared" si="90"/>
        <v>513.80016421153414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1.1368683772161603E-13</v>
      </c>
      <c r="BE75" s="14">
        <f>BD75*VLOOKUP('Données projet'!$B$11,Paramètres!$A$1:$I$89,3,0)*VLOOKUP('Données projet'!$B$11,Paramètres!$A$1:$I$89,5,0)</f>
        <v>6.7984728957526396E-14</v>
      </c>
      <c r="BF75" s="14">
        <f t="shared" si="91"/>
        <v>1.0682447123141398E-12</v>
      </c>
      <c r="BG75" s="22">
        <f t="shared" si="61"/>
        <v>1.978932943548152E-12</v>
      </c>
      <c r="BH75" s="62">
        <f t="shared" si="62"/>
        <v>293.3333333333353</v>
      </c>
      <c r="BI75" s="62">
        <f ca="1">AVERAGE(OFFSET($BH$3,0,0,'Données projet'!$E$11+1,1))-AVERAGE(OFFSET($H$3,0,0,'Données projet'!$E$11+1,1))</f>
        <v>187.13674266165236</v>
      </c>
      <c r="BJ75" s="62">
        <f t="shared" si="92"/>
        <v>439.28159165815276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23.209056177236008</v>
      </c>
      <c r="BQ75" s="23">
        <f>EXP(-LN(2)/25)*BQ74+(1-EXP(-LN(2)/25))/(LN(2)/25)*Calculateur!BL75*Calculateur!BN75*VLOOKUP('Données projet'!$B$11,Paramètres!$A$1:$I$89,3,0)*0.475*44/12</f>
        <v>13.715661999854303</v>
      </c>
      <c r="BR75" s="23">
        <f>EXP(-LN(2)/2)*BR74+(1-EXP(-LN(2)/2))/(LN(2)/2)*BL75*BO75*VLOOKUP('Données projet'!$B$11,Paramètres!$A$1:$I$89,3,0)*0.475*44/12</f>
        <v>2.0774547956899908E-5</v>
      </c>
      <c r="BS75" s="24">
        <f t="shared" si="63"/>
        <v>36.924738951638268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>
        <f>BY75*VLOOKUP('Données projet'!$B$12,Paramètres!$A$1:$I$89,3,0)*VLOOKUP('Données projet'!$B$12,Paramètres!$A$1:$I$89,5,0)</f>
        <v>0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123.96745898973995</v>
      </c>
      <c r="CE75" s="62">
        <f t="shared" si="94"/>
        <v>638.75149573151157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51.92764348999885</v>
      </c>
      <c r="CL75" s="23">
        <f>EXP(-LN(2)/25)*CL74+(1-EXP(-LN(2)/25))/(LN(2)/25)*Calculateur!CG75*Calculateur!CI75*VLOOKUP('Données projet'!$B$12,Paramètres!$A$1:$I$89,3,0)*0.475*44/12</f>
        <v>9.3436379064387811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61.271281396437629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121.59687193641378</v>
      </c>
      <c r="T76" s="62">
        <f t="shared" si="88"/>
        <v>625.69364310937681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49.802648550549527</v>
      </c>
      <c r="AA76" s="23">
        <f>EXP(-LN(2)/25)*AA75+(1-EXP(-LN(2)/25))/(LN(2)/25)*Calculateur!V76*Calculateur!X76*VLOOKUP('Données projet'!$B$9,Paramètres!$A$1:$I$89,3,0)*0.475*44/12</f>
        <v>8.8905674705152045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58.693216021064728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-5.6843418860808015E-14</v>
      </c>
      <c r="AJ76" s="14">
        <f>AI76*VLOOKUP('Données projet'!$B$10,Paramètres!$A$1:$I$89,3,0)*VLOOKUP('Données projet'!$B$10,Paramètres!$A$1:$I$89,5,0)</f>
        <v>-5.1431925385259088E-14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366.86025470473652</v>
      </c>
      <c r="AO76" s="62">
        <f t="shared" si="90"/>
        <v>513.80016421153414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1.1368683772161603E-13</v>
      </c>
      <c r="BE76" s="14">
        <f>BD76*VLOOKUP('Données projet'!$B$11,Paramètres!$A$1:$I$89,3,0)*VLOOKUP('Données projet'!$B$11,Paramètres!$A$1:$I$89,5,0)</f>
        <v>6.7984728957526396E-14</v>
      </c>
      <c r="BF76" s="14">
        <f t="shared" si="91"/>
        <v>1.0682447123141398E-12</v>
      </c>
      <c r="BG76" s="22">
        <f t="shared" si="61"/>
        <v>1.978932943548152E-12</v>
      </c>
      <c r="BH76" s="62">
        <f t="shared" si="62"/>
        <v>293.3333333333353</v>
      </c>
      <c r="BI76" s="62">
        <f ca="1">AVERAGE(OFFSET($BH$3,0,0,'Données projet'!$E$11+1,1))-AVERAGE(OFFSET($H$3,0,0,'Données projet'!$E$11+1,1))</f>
        <v>187.13674266165236</v>
      </c>
      <c r="BJ76" s="62">
        <f t="shared" si="92"/>
        <v>439.28159165815276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22.753940741726876</v>
      </c>
      <c r="BQ76" s="23">
        <f>EXP(-LN(2)/25)*BQ75+(1-EXP(-LN(2)/25))/(LN(2)/25)*Calculateur!BL76*Calculateur!BN76*VLOOKUP('Données projet'!$B$11,Paramètres!$A$1:$I$89,3,0)*0.475*44/12</f>
        <v>13.340606501192971</v>
      </c>
      <c r="BR76" s="23">
        <f>EXP(-LN(2)/2)*BR75+(1-EXP(-LN(2)/2))/(LN(2)/2)*BL76*BO76*VLOOKUP('Données projet'!$B$11,Paramètres!$A$1:$I$89,3,0)*0.475*44/12</f>
        <v>1.4689823736409063E-5</v>
      </c>
      <c r="BS76" s="24">
        <f t="shared" si="63"/>
        <v>36.094561932743581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>
        <f>BY76*VLOOKUP('Données projet'!$B$12,Paramètres!$A$1:$I$89,3,0)*VLOOKUP('Données projet'!$B$12,Paramètres!$A$1:$I$89,5,0)</f>
        <v>0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123.96745898973995</v>
      </c>
      <c r="CE76" s="62">
        <f t="shared" si="94"/>
        <v>638.75149573151157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50.90937407389508</v>
      </c>
      <c r="CL76" s="23">
        <f>EXP(-LN(2)/25)*CL75+(1-EXP(-LN(2)/25))/(LN(2)/25)*Calculateur!CG76*Calculateur!CI76*VLOOKUP('Données projet'!$B$12,Paramètres!$A$1:$I$89,3,0)*0.475*44/12</f>
        <v>9.0881356365266495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59.997509710421731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121.59687193641378</v>
      </c>
      <c r="T77" s="62">
        <f t="shared" si="88"/>
        <v>625.69364310937681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48.826048989089422</v>
      </c>
      <c r="AA77" s="23">
        <f>EXP(-LN(2)/25)*AA76+(1-EXP(-LN(2)/25))/(LN(2)/25)*Calculateur!V77*Calculateur!X77*VLOOKUP('Données projet'!$B$9,Paramètres!$A$1:$I$89,3,0)*0.475*44/12</f>
        <v>8.647454435499343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57.473503424588763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-5.6843418860808015E-14</v>
      </c>
      <c r="AJ77" s="14">
        <f>AI77*VLOOKUP('Données projet'!$B$10,Paramètres!$A$1:$I$89,3,0)*VLOOKUP('Données projet'!$B$10,Paramètres!$A$1:$I$89,5,0)</f>
        <v>-5.1431925385259088E-14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366.86025470473652</v>
      </c>
      <c r="AO77" s="62">
        <f t="shared" si="90"/>
        <v>513.80016421153414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1.1368683772161603E-13</v>
      </c>
      <c r="BE77" s="14">
        <f>BD77*VLOOKUP('Données projet'!$B$11,Paramètres!$A$1:$I$89,3,0)*VLOOKUP('Données projet'!$B$11,Paramètres!$A$1:$I$89,5,0)</f>
        <v>6.7984728957526396E-14</v>
      </c>
      <c r="BF77" s="14">
        <f t="shared" si="91"/>
        <v>1.0682447123141398E-12</v>
      </c>
      <c r="BG77" s="22">
        <f t="shared" si="61"/>
        <v>1.978932943548152E-12</v>
      </c>
      <c r="BH77" s="62">
        <f t="shared" si="62"/>
        <v>293.3333333333353</v>
      </c>
      <c r="BI77" s="62">
        <f ca="1">AVERAGE(OFFSET($BH$3,0,0,'Données projet'!$E$11+1,1))-AVERAGE(OFFSET($H$3,0,0,'Données projet'!$E$11+1,1))</f>
        <v>187.13674266165236</v>
      </c>
      <c r="BJ77" s="62">
        <f t="shared" si="92"/>
        <v>439.28159165815276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22.307749842315072</v>
      </c>
      <c r="BQ77" s="23">
        <f>EXP(-LN(2)/25)*BQ76+(1-EXP(-LN(2)/25))/(LN(2)/25)*Calculateur!BL77*Calculateur!BN77*VLOOKUP('Données projet'!$B$11,Paramètres!$A$1:$I$89,3,0)*0.475*44/12</f>
        <v>12.975806914865844</v>
      </c>
      <c r="BR77" s="23">
        <f>EXP(-LN(2)/2)*BR76+(1-EXP(-LN(2)/2))/(LN(2)/2)*BL77*BO77*VLOOKUP('Données projet'!$B$11,Paramètres!$A$1:$I$89,3,0)*0.475*44/12</f>
        <v>1.0387273978449956E-5</v>
      </c>
      <c r="BS77" s="24">
        <f t="shared" si="63"/>
        <v>35.283567144454899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>
        <f>BY77*VLOOKUP('Données projet'!$B$12,Paramètres!$A$1:$I$89,3,0)*VLOOKUP('Données projet'!$B$12,Paramètres!$A$1:$I$89,5,0)</f>
        <v>0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123.96745898973995</v>
      </c>
      <c r="CE77" s="62">
        <f t="shared" si="94"/>
        <v>638.75149573151157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49.911072299958086</v>
      </c>
      <c r="CL77" s="23">
        <f>EXP(-LN(2)/25)*CL76+(1-EXP(-LN(2)/25))/(LN(2)/25)*Calculateur!CG77*Calculateur!CI77*VLOOKUP('Données projet'!$B$12,Paramètres!$A$1:$I$89,3,0)*0.475*44/12</f>
        <v>8.8396200896215458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58.750692389579633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121.59687193641378</v>
      </c>
      <c r="T78" s="62">
        <f t="shared" si="88"/>
        <v>625.69364310937681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47.86859994936264</v>
      </c>
      <c r="AA78" s="23">
        <f>EXP(-LN(2)/25)*AA77+(1-EXP(-LN(2)/25))/(LN(2)/25)*Calculateur!V78*Calculateur!X78*VLOOKUP('Données projet'!$B$9,Paramètres!$A$1:$I$89,3,0)*0.475*44/12</f>
        <v>8.4109893392107491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56.279589288573391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-5.6843418860808015E-14</v>
      </c>
      <c r="AJ78" s="14">
        <f>AI78*VLOOKUP('Données projet'!$B$10,Paramètres!$A$1:$I$89,3,0)*VLOOKUP('Données projet'!$B$10,Paramètres!$A$1:$I$89,5,0)</f>
        <v>-5.1431925385259088E-14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366.86025470473652</v>
      </c>
      <c r="AO78" s="62">
        <f t="shared" si="90"/>
        <v>513.80016421153414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1.1368683772161603E-13</v>
      </c>
      <c r="BE78" s="14">
        <f>BD78*VLOOKUP('Données projet'!$B$11,Paramètres!$A$1:$I$89,3,0)*VLOOKUP('Données projet'!$B$11,Paramètres!$A$1:$I$89,5,0)</f>
        <v>6.7984728957526396E-14</v>
      </c>
      <c r="BF78" s="14">
        <f t="shared" si="91"/>
        <v>1.0682447123141398E-12</v>
      </c>
      <c r="BG78" s="22">
        <f t="shared" si="61"/>
        <v>1.978932943548152E-12</v>
      </c>
      <c r="BH78" s="62">
        <f t="shared" si="62"/>
        <v>293.3333333333353</v>
      </c>
      <c r="BI78" s="62">
        <f ca="1">AVERAGE(OFFSET($BH$3,0,0,'Données projet'!$E$11+1,1))-AVERAGE(OFFSET($H$3,0,0,'Données projet'!$E$11+1,1))</f>
        <v>187.13674266165236</v>
      </c>
      <c r="BJ78" s="62">
        <f t="shared" si="92"/>
        <v>439.28159165815276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21.870308474291157</v>
      </c>
      <c r="BQ78" s="23">
        <f>EXP(-LN(2)/25)*BQ77+(1-EXP(-LN(2)/25))/(LN(2)/25)*Calculateur!BL78*Calculateur!BN78*VLOOKUP('Données projet'!$B$11,Paramètres!$A$1:$I$89,3,0)*0.475*44/12</f>
        <v>12.620982792410809</v>
      </c>
      <c r="BR78" s="23">
        <f>EXP(-LN(2)/2)*BR77+(1-EXP(-LN(2)/2))/(LN(2)/2)*BL78*BO78*VLOOKUP('Données projet'!$B$11,Paramètres!$A$1:$I$89,3,0)*0.475*44/12</f>
        <v>7.3449118682045322E-6</v>
      </c>
      <c r="BS78" s="24">
        <f t="shared" si="63"/>
        <v>34.491298611613836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>
        <f>BY78*VLOOKUP('Données projet'!$B$12,Paramètres!$A$1:$I$89,3,0)*VLOOKUP('Données projet'!$B$12,Paramètres!$A$1:$I$89,5,0)</f>
        <v>0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123.96745898973995</v>
      </c>
      <c r="CE78" s="62">
        <f t="shared" si="94"/>
        <v>638.75149573151157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48.932346614904041</v>
      </c>
      <c r="CL78" s="23">
        <f>EXP(-LN(2)/25)*CL77+(1-EXP(-LN(2)/25))/(LN(2)/25)*Calculateur!CG78*Calculateur!CI78*VLOOKUP('Données projet'!$B$12,Paramètres!$A$1:$I$89,3,0)*0.475*44/12</f>
        <v>8.5979002134154268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57.53024682831947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121.59687193641378</v>
      </c>
      <c r="T79" s="62">
        <f t="shared" si="88"/>
        <v>625.69364310937681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46.929925901318647</v>
      </c>
      <c r="AA79" s="23">
        <f>EXP(-LN(2)/25)*AA78+(1-EXP(-LN(2)/25))/(LN(2)/25)*Calculateur!V79*Calculateur!X79*VLOOKUP('Données projet'!$B$9,Paramètres!$A$1:$I$89,3,0)*0.475*44/12</f>
        <v>8.1809903934153247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55.110916294733968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-5.6843418860808015E-14</v>
      </c>
      <c r="AJ79" s="14">
        <f>AI79*VLOOKUP('Données projet'!$B$10,Paramètres!$A$1:$I$89,3,0)*VLOOKUP('Données projet'!$B$10,Paramètres!$A$1:$I$89,5,0)</f>
        <v>-5.1431925385259088E-14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366.86025470473652</v>
      </c>
      <c r="AO79" s="62">
        <f t="shared" si="90"/>
        <v>513.80016421153414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1.1368683772161603E-13</v>
      </c>
      <c r="BE79" s="14">
        <f>BD79*VLOOKUP('Données projet'!$B$11,Paramètres!$A$1:$I$89,3,0)*VLOOKUP('Données projet'!$B$11,Paramètres!$A$1:$I$89,5,0)</f>
        <v>6.7984728957526396E-14</v>
      </c>
      <c r="BF79" s="14">
        <f t="shared" si="91"/>
        <v>1.0682447123141398E-12</v>
      </c>
      <c r="BG79" s="22">
        <f t="shared" si="61"/>
        <v>1.978932943548152E-12</v>
      </c>
      <c r="BH79" s="62">
        <f t="shared" si="62"/>
        <v>293.3333333333353</v>
      </c>
      <c r="BI79" s="62">
        <f ca="1">AVERAGE(OFFSET($BH$3,0,0,'Données projet'!$E$11+1,1))-AVERAGE(OFFSET($H$3,0,0,'Données projet'!$E$11+1,1))</f>
        <v>187.13674266165236</v>
      </c>
      <c r="BJ79" s="62">
        <f t="shared" si="92"/>
        <v>439.28159165815276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21.441445064681304</v>
      </c>
      <c r="BQ79" s="23">
        <f>EXP(-LN(2)/25)*BQ78+(1-EXP(-LN(2)/25))/(LN(2)/25)*Calculateur!BL79*Calculateur!BN79*VLOOKUP('Données projet'!$B$11,Paramètres!$A$1:$I$89,3,0)*0.475*44/12</f>
        <v>12.275861354243697</v>
      </c>
      <c r="BR79" s="23">
        <f>EXP(-LN(2)/2)*BR78+(1-EXP(-LN(2)/2))/(LN(2)/2)*BL79*BO79*VLOOKUP('Données projet'!$B$11,Paramètres!$A$1:$I$89,3,0)*0.475*44/12</f>
        <v>5.1936369892249787E-6</v>
      </c>
      <c r="BS79" s="24">
        <f t="shared" si="63"/>
        <v>33.717311612561986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>
        <f>BY79*VLOOKUP('Données projet'!$B$12,Paramètres!$A$1:$I$89,3,0)*VLOOKUP('Données projet'!$B$12,Paramètres!$A$1:$I$89,5,0)</f>
        <v>0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123.96745898973995</v>
      </c>
      <c r="CE79" s="62">
        <f t="shared" si="94"/>
        <v>638.75149573151157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47.972813143570178</v>
      </c>
      <c r="CL79" s="23">
        <f>EXP(-LN(2)/25)*CL78+(1-EXP(-LN(2)/25))/(LN(2)/25)*Calculateur!CG79*Calculateur!CI79*VLOOKUP('Données projet'!$B$12,Paramètres!$A$1:$I$89,3,0)*0.475*44/12</f>
        <v>8.3627901799356597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56.335603323505836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121.59687193641378</v>
      </c>
      <c r="T80" s="62">
        <f t="shared" si="88"/>
        <v>625.69364310937681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46.009658678822163</v>
      </c>
      <c r="AA80" s="23">
        <f>EXP(-LN(2)/25)*AA79+(1-EXP(-LN(2)/25))/(LN(2)/25)*Calculateur!V80*Calculateur!X80*VLOOKUP('Données projet'!$B$9,Paramètres!$A$1:$I$89,3,0)*0.475*44/12</f>
        <v>7.9572807808877961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53.966939459709963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-5.6843418860808015E-14</v>
      </c>
      <c r="AJ80" s="14">
        <f>AI80*VLOOKUP('Données projet'!$B$10,Paramètres!$A$1:$I$89,3,0)*VLOOKUP('Données projet'!$B$10,Paramètres!$A$1:$I$89,5,0)</f>
        <v>-5.1431925385259088E-14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366.86025470473652</v>
      </c>
      <c r="AO80" s="62">
        <f t="shared" si="90"/>
        <v>513.80016421153414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1.1368683772161603E-13</v>
      </c>
      <c r="BE80" s="14">
        <f>BD80*VLOOKUP('Données projet'!$B$11,Paramètres!$A$1:$I$89,3,0)*VLOOKUP('Données projet'!$B$11,Paramètres!$A$1:$I$89,5,0)</f>
        <v>6.7984728957526396E-14</v>
      </c>
      <c r="BF80" s="14">
        <f t="shared" si="91"/>
        <v>1.0682447123141398E-12</v>
      </c>
      <c r="BG80" s="22">
        <f t="shared" si="61"/>
        <v>1.978932943548152E-12</v>
      </c>
      <c r="BH80" s="62">
        <f t="shared" si="62"/>
        <v>293.3333333333353</v>
      </c>
      <c r="BI80" s="62">
        <f ca="1">AVERAGE(OFFSET($BH$3,0,0,'Données projet'!$E$11+1,1))-AVERAGE(OFFSET($H$3,0,0,'Données projet'!$E$11+1,1))</f>
        <v>187.13674266165236</v>
      </c>
      <c r="BJ80" s="62">
        <f t="shared" si="92"/>
        <v>439.28159165815276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21.020991404953048</v>
      </c>
      <c r="BQ80" s="23">
        <f>EXP(-LN(2)/25)*BQ79+(1-EXP(-LN(2)/25))/(LN(2)/25)*Calculateur!BL80*Calculateur!BN80*VLOOKUP('Données projet'!$B$11,Paramètres!$A$1:$I$89,3,0)*0.475*44/12</f>
        <v>11.940177279952412</v>
      </c>
      <c r="BR80" s="23">
        <f>EXP(-LN(2)/2)*BR79+(1-EXP(-LN(2)/2))/(LN(2)/2)*BL80*BO80*VLOOKUP('Données projet'!$B$11,Paramètres!$A$1:$I$89,3,0)*0.475*44/12</f>
        <v>3.6724559341022665E-6</v>
      </c>
      <c r="BS80" s="24">
        <f t="shared" si="63"/>
        <v>32.961172357361392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>
        <f>BY80*VLOOKUP('Données projet'!$B$12,Paramètres!$A$1:$I$89,3,0)*VLOOKUP('Données projet'!$B$12,Paramètres!$A$1:$I$89,5,0)</f>
        <v>0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123.96745898973995</v>
      </c>
      <c r="CE80" s="62">
        <f t="shared" si="94"/>
        <v>638.75149573151157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47.032095538351548</v>
      </c>
      <c r="CL80" s="23">
        <f>EXP(-LN(2)/25)*CL79+(1-EXP(-LN(2)/25))/(LN(2)/25)*Calculateur!CG80*Calculateur!CI80*VLOOKUP('Données projet'!$B$12,Paramètres!$A$1:$I$89,3,0)*0.475*44/12</f>
        <v>8.1341092426852963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55.166204781036846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121.59687193641378</v>
      </c>
      <c r="T81" s="62">
        <f t="shared" si="88"/>
        <v>625.69364310937681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45.107437335251248</v>
      </c>
      <c r="AA81" s="23">
        <f>EXP(-LN(2)/25)*AA80+(1-EXP(-LN(2)/25))/(LN(2)/25)*Calculateur!V81*Calculateur!X81*VLOOKUP('Données projet'!$B$9,Paramètres!$A$1:$I$89,3,0)*0.475*44/12</f>
        <v>7.73968851947921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52.847125854730457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-5.6843418860808015E-14</v>
      </c>
      <c r="AJ81" s="14">
        <f>AI81*VLOOKUP('Données projet'!$B$10,Paramètres!$A$1:$I$89,3,0)*VLOOKUP('Données projet'!$B$10,Paramètres!$A$1:$I$89,5,0)</f>
        <v>-5.1431925385259088E-14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366.86025470473652</v>
      </c>
      <c r="AO81" s="62">
        <f t="shared" si="90"/>
        <v>513.80016421153414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1.1368683772161603E-13</v>
      </c>
      <c r="BE81" s="14">
        <f>BD81*VLOOKUP('Données projet'!$B$11,Paramètres!$A$1:$I$89,3,0)*VLOOKUP('Données projet'!$B$11,Paramètres!$A$1:$I$89,5,0)</f>
        <v>6.7984728957526396E-14</v>
      </c>
      <c r="BF81" s="14">
        <f t="shared" si="91"/>
        <v>1.0682447123141398E-12</v>
      </c>
      <c r="BG81" s="22">
        <f t="shared" si="61"/>
        <v>1.978932943548152E-12</v>
      </c>
      <c r="BH81" s="62">
        <f t="shared" si="62"/>
        <v>293.3333333333353</v>
      </c>
      <c r="BI81" s="62">
        <f ca="1">AVERAGE(OFFSET($BH$3,0,0,'Données projet'!$E$11+1,1))-AVERAGE(OFFSET($H$3,0,0,'Données projet'!$E$11+1,1))</f>
        <v>187.13674266165236</v>
      </c>
      <c r="BJ81" s="62">
        <f t="shared" si="92"/>
        <v>439.28159165815276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20.608782585040654</v>
      </c>
      <c r="BQ81" s="23">
        <f>EXP(-LN(2)/25)*BQ80+(1-EXP(-LN(2)/25))/(LN(2)/25)*Calculateur!BL81*Calculateur!BN81*VLOOKUP('Données projet'!$B$11,Paramètres!$A$1:$I$89,3,0)*0.475*44/12</f>
        <v>11.61367250432548</v>
      </c>
      <c r="BR81" s="23">
        <f>EXP(-LN(2)/2)*BR80+(1-EXP(-LN(2)/2))/(LN(2)/2)*BL81*BO81*VLOOKUP('Données projet'!$B$11,Paramètres!$A$1:$I$89,3,0)*0.475*44/12</f>
        <v>2.5968184946124898E-6</v>
      </c>
      <c r="BS81" s="24">
        <f t="shared" si="63"/>
        <v>32.222457686184633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>
        <f>BY81*VLOOKUP('Données projet'!$B$12,Paramètres!$A$1:$I$89,3,0)*VLOOKUP('Données projet'!$B$12,Paramètres!$A$1:$I$89,5,0)</f>
        <v>0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123.96745898973995</v>
      </c>
      <c r="CE81" s="62">
        <f t="shared" si="94"/>
        <v>638.75149573151157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46.109824831590174</v>
      </c>
      <c r="CL81" s="23">
        <f>EXP(-LN(2)/25)*CL80+(1-EXP(-LN(2)/25))/(LN(2)/25)*Calculateur!CG81*Calculateur!CI81*VLOOKUP('Données projet'!$B$12,Paramètres!$A$1:$I$89,3,0)*0.475*44/12</f>
        <v>7.9116815976898529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54.021506429280024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121.59687193641378</v>
      </c>
      <c r="T82" s="62">
        <f t="shared" si="88"/>
        <v>625.69364310937681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44.222908001927081</v>
      </c>
      <c r="AA82" s="23">
        <f>EXP(-LN(2)/25)*AA81+(1-EXP(-LN(2)/25))/(LN(2)/25)*Calculateur!V82*Calculateur!X82*VLOOKUP('Données projet'!$B$9,Paramètres!$A$1:$I$89,3,0)*0.475*44/12</f>
        <v>7.528046329901521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51.750954331828602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-5.6843418860808015E-14</v>
      </c>
      <c r="AJ82" s="14">
        <f>AI82*VLOOKUP('Données projet'!$B$10,Paramètres!$A$1:$I$89,3,0)*VLOOKUP('Données projet'!$B$10,Paramètres!$A$1:$I$89,5,0)</f>
        <v>-5.1431925385259088E-14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366.86025470473652</v>
      </c>
      <c r="AO82" s="62">
        <f t="shared" si="90"/>
        <v>513.80016421153414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1.1368683772161603E-13</v>
      </c>
      <c r="BE82" s="14">
        <f>BD82*VLOOKUP('Données projet'!$B$11,Paramètres!$A$1:$I$89,3,0)*VLOOKUP('Données projet'!$B$11,Paramètres!$A$1:$I$89,5,0)</f>
        <v>6.7984728957526396E-14</v>
      </c>
      <c r="BF82" s="14">
        <f t="shared" si="91"/>
        <v>1.0682447123141398E-12</v>
      </c>
      <c r="BG82" s="22">
        <f t="shared" si="61"/>
        <v>1.978932943548152E-12</v>
      </c>
      <c r="BH82" s="62">
        <f t="shared" si="62"/>
        <v>293.3333333333353</v>
      </c>
      <c r="BI82" s="62">
        <f ca="1">AVERAGE(OFFSET($BH$3,0,0,'Données projet'!$E$11+1,1))-AVERAGE(OFFSET($H$3,0,0,'Données projet'!$E$11+1,1))</f>
        <v>187.13674266165236</v>
      </c>
      <c r="BJ82" s="62">
        <f t="shared" si="92"/>
        <v>439.28159165815276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20.204656928664189</v>
      </c>
      <c r="BQ82" s="23">
        <f>EXP(-LN(2)/25)*BQ81+(1-EXP(-LN(2)/25))/(LN(2)/25)*Calculateur!BL82*Calculateur!BN82*VLOOKUP('Données projet'!$B$11,Paramètres!$A$1:$I$89,3,0)*0.475*44/12</f>
        <v>11.296096018958206</v>
      </c>
      <c r="BR82" s="23">
        <f>EXP(-LN(2)/2)*BR81+(1-EXP(-LN(2)/2))/(LN(2)/2)*BL82*BO82*VLOOKUP('Données projet'!$B$11,Paramètres!$A$1:$I$89,3,0)*0.475*44/12</f>
        <v>1.8362279670511337E-6</v>
      </c>
      <c r="BS82" s="24">
        <f t="shared" si="63"/>
        <v>31.500754783850361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>
        <f>BY82*VLOOKUP('Données projet'!$B$12,Paramètres!$A$1:$I$89,3,0)*VLOOKUP('Données projet'!$B$12,Paramètres!$A$1:$I$89,5,0)</f>
        <v>0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123.96745898973995</v>
      </c>
      <c r="CE82" s="62">
        <f t="shared" si="94"/>
        <v>638.75149573151157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45.205639290858805</v>
      </c>
      <c r="CL82" s="23">
        <f>EXP(-LN(2)/25)*CL81+(1-EXP(-LN(2)/25))/(LN(2)/25)*Calculateur!CG82*Calculateur!CI82*VLOOKUP('Données projet'!$B$12,Paramètres!$A$1:$I$89,3,0)*0.475*44/12</f>
        <v>7.6953362483437706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52.900975539202577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121.59687193641378</v>
      </c>
      <c r="T83" s="62">
        <f t="shared" si="88"/>
        <v>625.69364310937681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43.355723749319779</v>
      </c>
      <c r="AA83" s="23">
        <f>EXP(-LN(2)/25)*AA82+(1-EXP(-LN(2)/25))/(LN(2)/25)*Calculateur!V83*Calculateur!X83*VLOOKUP('Données projet'!$B$9,Paramètres!$A$1:$I$89,3,0)*0.475*44/12</f>
        <v>7.3221915071276129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50.677915256447392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-5.6843418860808015E-14</v>
      </c>
      <c r="AJ83" s="14">
        <f>AI83*VLOOKUP('Données projet'!$B$10,Paramètres!$A$1:$I$89,3,0)*VLOOKUP('Données projet'!$B$10,Paramètres!$A$1:$I$89,5,0)</f>
        <v>-5.1431925385259088E-14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366.86025470473652</v>
      </c>
      <c r="AO83" s="62">
        <f t="shared" si="90"/>
        <v>513.80016421153414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1.1368683772161603E-13</v>
      </c>
      <c r="BE83" s="14">
        <f>BD83*VLOOKUP('Données projet'!$B$11,Paramètres!$A$1:$I$89,3,0)*VLOOKUP('Données projet'!$B$11,Paramètres!$A$1:$I$89,5,0)</f>
        <v>6.7984728957526396E-14</v>
      </c>
      <c r="BF83" s="14">
        <f t="shared" si="91"/>
        <v>1.0682447123141398E-12</v>
      </c>
      <c r="BG83" s="22">
        <f t="shared" si="61"/>
        <v>1.978932943548152E-12</v>
      </c>
      <c r="BH83" s="62">
        <f t="shared" si="62"/>
        <v>293.3333333333353</v>
      </c>
      <c r="BI83" s="62">
        <f ca="1">AVERAGE(OFFSET($BH$3,0,0,'Données projet'!$E$11+1,1))-AVERAGE(OFFSET($H$3,0,0,'Données projet'!$E$11+1,1))</f>
        <v>187.13674266165236</v>
      </c>
      <c r="BJ83" s="62">
        <f t="shared" si="92"/>
        <v>439.28159165815276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19.808455929916953</v>
      </c>
      <c r="BQ83" s="23">
        <f>EXP(-LN(2)/25)*BQ82+(1-EXP(-LN(2)/25))/(LN(2)/25)*Calculateur!BL83*Calculateur!BN83*VLOOKUP('Données projet'!$B$11,Paramètres!$A$1:$I$89,3,0)*0.475*44/12</f>
        <v>10.987203679283922</v>
      </c>
      <c r="BR83" s="23">
        <f>EXP(-LN(2)/2)*BR82+(1-EXP(-LN(2)/2))/(LN(2)/2)*BL83*BO83*VLOOKUP('Données projet'!$B$11,Paramètres!$A$1:$I$89,3,0)*0.475*44/12</f>
        <v>1.2984092473062451E-6</v>
      </c>
      <c r="BS83" s="24">
        <f t="shared" si="63"/>
        <v>30.795660907610124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>
        <f>BY83*VLOOKUP('Données projet'!$B$12,Paramètres!$A$1:$I$89,3,0)*VLOOKUP('Données projet'!$B$12,Paramètres!$A$1:$I$89,5,0)</f>
        <v>0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123.96745898973995</v>
      </c>
      <c r="CE83" s="62">
        <f t="shared" si="94"/>
        <v>638.75149573151157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44.319184277082449</v>
      </c>
      <c r="CL83" s="23">
        <f>EXP(-LN(2)/25)*CL82+(1-EXP(-LN(2)/25))/(LN(2)/25)*Calculateur!CG83*Calculateur!CI83*VLOOKUP('Données projet'!$B$12,Paramètres!$A$1:$I$89,3,0)*0.475*44/12</f>
        <v>7.4849068739526645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51.804091151035117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121.59687193641378</v>
      </c>
      <c r="T84" s="62">
        <f t="shared" si="88"/>
        <v>625.69364310937681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42.50554445097594</v>
      </c>
      <c r="AA84" s="23">
        <f>EXP(-LN(2)/25)*AA83+(1-EXP(-LN(2)/25))/(LN(2)/25)*Calculateur!V84*Calculateur!X84*VLOOKUP('Données projet'!$B$9,Paramètres!$A$1:$I$89,3,0)*0.475*44/12</f>
        <v>7.1219657953078919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49.627510246283833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-5.6843418860808015E-14</v>
      </c>
      <c r="AJ84" s="14">
        <f>AI84*VLOOKUP('Données projet'!$B$10,Paramètres!$A$1:$I$89,3,0)*VLOOKUP('Données projet'!$B$10,Paramètres!$A$1:$I$89,5,0)</f>
        <v>-5.1431925385259088E-14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366.86025470473652</v>
      </c>
      <c r="AO84" s="62">
        <f t="shared" si="90"/>
        <v>513.80016421153414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1.1368683772161603E-13</v>
      </c>
      <c r="BE84" s="14">
        <f>BD84*VLOOKUP('Données projet'!$B$11,Paramètres!$A$1:$I$89,3,0)*VLOOKUP('Données projet'!$B$11,Paramètres!$A$1:$I$89,5,0)</f>
        <v>6.7984728957526396E-14</v>
      </c>
      <c r="BF84" s="14">
        <f t="shared" si="91"/>
        <v>1.0682447123141398E-12</v>
      </c>
      <c r="BG84" s="22">
        <f t="shared" si="61"/>
        <v>1.978932943548152E-12</v>
      </c>
      <c r="BH84" s="62">
        <f t="shared" si="62"/>
        <v>293.3333333333353</v>
      </c>
      <c r="BI84" s="62">
        <f ca="1">AVERAGE(OFFSET($BH$3,0,0,'Données projet'!$E$11+1,1))-AVERAGE(OFFSET($H$3,0,0,'Données projet'!$E$11+1,1))</f>
        <v>187.13674266165236</v>
      </c>
      <c r="BJ84" s="62">
        <f t="shared" si="92"/>
        <v>439.28159165815276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19.420024191096402</v>
      </c>
      <c r="BQ84" s="23">
        <f>EXP(-LN(2)/25)*BQ83+(1-EXP(-LN(2)/25))/(LN(2)/25)*Calculateur!BL84*Calculateur!BN84*VLOOKUP('Données projet'!$B$11,Paramètres!$A$1:$I$89,3,0)*0.475*44/12</f>
        <v>10.686758016881974</v>
      </c>
      <c r="BR84" s="23">
        <f>EXP(-LN(2)/2)*BR83+(1-EXP(-LN(2)/2))/(LN(2)/2)*BL84*BO84*VLOOKUP('Données projet'!$B$11,Paramètres!$A$1:$I$89,3,0)*0.475*44/12</f>
        <v>9.1811398352556695E-7</v>
      </c>
      <c r="BS84" s="24">
        <f t="shared" si="63"/>
        <v>30.10678312609236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>
        <f>BY84*VLOOKUP('Données projet'!$B$12,Paramètres!$A$1:$I$89,3,0)*VLOOKUP('Données projet'!$B$12,Paramètres!$A$1:$I$89,5,0)</f>
        <v>0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123.96745898973995</v>
      </c>
      <c r="CE84" s="62">
        <f t="shared" si="94"/>
        <v>638.75149573151157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43.450112105442081</v>
      </c>
      <c r="CL84" s="23">
        <f>EXP(-LN(2)/25)*CL83+(1-EXP(-LN(2)/25))/(LN(2)/25)*Calculateur!CG84*Calculateur!CI84*VLOOKUP('Données projet'!$B$12,Paramètres!$A$1:$I$89,3,0)*0.475*44/12</f>
        <v>7.2802317018702833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50.730343807312366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121.59687193641378</v>
      </c>
      <c r="T85" s="62">
        <f t="shared" si="88"/>
        <v>625.69364310937681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41.672036650114457</v>
      </c>
      <c r="AA85" s="23">
        <f>EXP(-LN(2)/25)*AA84+(1-EXP(-LN(2)/25))/(LN(2)/25)*Calculateur!V85*Calculateur!X85*VLOOKUP('Données projet'!$B$9,Paramètres!$A$1:$I$89,3,0)*0.475*44/12</f>
        <v>6.9272152661072939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48.599251916221753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-5.6843418860808015E-14</v>
      </c>
      <c r="AJ85" s="14">
        <f>AI85*VLOOKUP('Données projet'!$B$10,Paramètres!$A$1:$I$89,3,0)*VLOOKUP('Données projet'!$B$10,Paramètres!$A$1:$I$89,5,0)</f>
        <v>-5.1431925385259088E-14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366.86025470473652</v>
      </c>
      <c r="AO85" s="62">
        <f t="shared" si="90"/>
        <v>513.80016421153414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1.1368683772161603E-13</v>
      </c>
      <c r="BE85" s="14">
        <f>BD85*VLOOKUP('Données projet'!$B$11,Paramètres!$A$1:$I$89,3,0)*VLOOKUP('Données projet'!$B$11,Paramètres!$A$1:$I$89,5,0)</f>
        <v>6.7984728957526396E-14</v>
      </c>
      <c r="BF85" s="14">
        <f t="shared" si="91"/>
        <v>1.0682447123141398E-12</v>
      </c>
      <c r="BG85" s="22">
        <f t="shared" si="61"/>
        <v>1.978932943548152E-12</v>
      </c>
      <c r="BH85" s="62">
        <f t="shared" si="62"/>
        <v>293.3333333333353</v>
      </c>
      <c r="BI85" s="62">
        <f ca="1">AVERAGE(OFFSET($BH$3,0,0,'Données projet'!$E$11+1,1))-AVERAGE(OFFSET($H$3,0,0,'Données projet'!$E$11+1,1))</f>
        <v>187.13674266165236</v>
      </c>
      <c r="BJ85" s="62">
        <f t="shared" si="92"/>
        <v>439.28159165815276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19.039209361754157</v>
      </c>
      <c r="BQ85" s="23">
        <f>EXP(-LN(2)/25)*BQ84+(1-EXP(-LN(2)/25))/(LN(2)/25)*Calculateur!BL85*Calculateur!BN85*VLOOKUP('Données projet'!$B$11,Paramètres!$A$1:$I$89,3,0)*0.475*44/12</f>
        <v>10.394528056918157</v>
      </c>
      <c r="BR85" s="23">
        <f>EXP(-LN(2)/2)*BR84+(1-EXP(-LN(2)/2))/(LN(2)/2)*BL85*BO85*VLOOKUP('Données projet'!$B$11,Paramètres!$A$1:$I$89,3,0)*0.475*44/12</f>
        <v>6.4920462365312265E-7</v>
      </c>
      <c r="BS85" s="24">
        <f t="shared" si="63"/>
        <v>29.433738067876938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>
        <f>BY85*VLOOKUP('Données projet'!$B$12,Paramètres!$A$1:$I$89,3,0)*VLOOKUP('Données projet'!$B$12,Paramètres!$A$1:$I$89,5,0)</f>
        <v>0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123.96745898973995</v>
      </c>
      <c r="CE85" s="62">
        <f t="shared" si="94"/>
        <v>638.75149573151157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42.598081909005899</v>
      </c>
      <c r="CL85" s="23">
        <f>EXP(-LN(2)/25)*CL84+(1-EXP(-LN(2)/25))/(LN(2)/25)*Calculateur!CG85*Calculateur!CI85*VLOOKUP('Données projet'!$B$12,Paramètres!$A$1:$I$89,3,0)*0.475*44/12</f>
        <v>7.0811533831318947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49.67923529213779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121.59687193641378</v>
      </c>
      <c r="T86" s="62">
        <f t="shared" si="88"/>
        <v>625.69364310937681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40.854873428838303</v>
      </c>
      <c r="AA86" s="23">
        <f>EXP(-LN(2)/25)*AA85+(1-EXP(-LN(2)/25))/(LN(2)/25)*Calculateur!V86*Calculateur!X86*VLOOKUP('Données projet'!$B$9,Paramètres!$A$1:$I$89,3,0)*0.475*44/12</f>
        <v>6.7377902003691714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47.592663629207472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-5.6843418860808015E-14</v>
      </c>
      <c r="AJ86" s="14">
        <f>AI86*VLOOKUP('Données projet'!$B$10,Paramètres!$A$1:$I$89,3,0)*VLOOKUP('Données projet'!$B$10,Paramètres!$A$1:$I$89,5,0)</f>
        <v>-5.1431925385259088E-14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366.86025470473652</v>
      </c>
      <c r="AO86" s="62">
        <f t="shared" si="90"/>
        <v>513.80016421153414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1.1368683772161603E-13</v>
      </c>
      <c r="BE86" s="14">
        <f>BD86*VLOOKUP('Données projet'!$B$11,Paramètres!$A$1:$I$89,3,0)*VLOOKUP('Données projet'!$B$11,Paramètres!$A$1:$I$89,5,0)</f>
        <v>6.7984728957526396E-14</v>
      </c>
      <c r="BF86" s="14">
        <f t="shared" si="91"/>
        <v>1.0682447123141398E-12</v>
      </c>
      <c r="BG86" s="22">
        <f t="shared" si="61"/>
        <v>1.978932943548152E-12</v>
      </c>
      <c r="BH86" s="62">
        <f t="shared" si="62"/>
        <v>293.3333333333353</v>
      </c>
      <c r="BI86" s="62">
        <f ca="1">AVERAGE(OFFSET($BH$3,0,0,'Données projet'!$E$11+1,1))-AVERAGE(OFFSET($H$3,0,0,'Données projet'!$E$11+1,1))</f>
        <v>187.13674266165236</v>
      </c>
      <c r="BJ86" s="62">
        <f t="shared" si="92"/>
        <v>439.28159165815276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18.665862078941203</v>
      </c>
      <c r="BQ86" s="23">
        <f>EXP(-LN(2)/25)*BQ85+(1-EXP(-LN(2)/25))/(LN(2)/25)*Calculateur!BL86*Calculateur!BN86*VLOOKUP('Données projet'!$B$11,Paramètres!$A$1:$I$89,3,0)*0.475*44/12</f>
        <v>10.110289140577256</v>
      </c>
      <c r="BR86" s="23">
        <f>EXP(-LN(2)/2)*BR85+(1-EXP(-LN(2)/2))/(LN(2)/2)*BL86*BO86*VLOOKUP('Données projet'!$B$11,Paramètres!$A$1:$I$89,3,0)*0.475*44/12</f>
        <v>4.5905699176278358E-7</v>
      </c>
      <c r="BS86" s="24">
        <f t="shared" si="63"/>
        <v>28.776151678575452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>
        <f>BY86*VLOOKUP('Données projet'!$B$12,Paramètres!$A$1:$I$89,3,0)*VLOOKUP('Données projet'!$B$12,Paramètres!$A$1:$I$89,5,0)</f>
        <v>0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123.96745898973995</v>
      </c>
      <c r="CE86" s="62">
        <f t="shared" si="94"/>
        <v>638.75149573151157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41.762759505034722</v>
      </c>
      <c r="CL86" s="23">
        <f>EXP(-LN(2)/25)*CL85+(1-EXP(-LN(2)/25))/(LN(2)/25)*Calculateur!CG86*Calculateur!CI86*VLOOKUP('Données projet'!$B$12,Paramètres!$A$1:$I$89,3,0)*0.475*44/12</f>
        <v>6.8875188714884805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48.650278376523204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121.59687193641378</v>
      </c>
      <c r="T87" s="62">
        <f t="shared" si="88"/>
        <v>625.69364310937681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40.053734279911026</v>
      </c>
      <c r="AA87" s="23">
        <f>EXP(-LN(2)/25)*AA86+(1-EXP(-LN(2)/25))/(LN(2)/25)*Calculateur!V87*Calculateur!X87*VLOOKUP('Données projet'!$B$9,Paramètres!$A$1:$I$89,3,0)*0.475*44/12</f>
        <v>6.5535449730150894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46.607279252926119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-5.6843418860808015E-14</v>
      </c>
      <c r="AJ87" s="14">
        <f>AI87*VLOOKUP('Données projet'!$B$10,Paramètres!$A$1:$I$89,3,0)*VLOOKUP('Données projet'!$B$10,Paramètres!$A$1:$I$89,5,0)</f>
        <v>-5.1431925385259088E-14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366.86025470473652</v>
      </c>
      <c r="AO87" s="62">
        <f t="shared" si="90"/>
        <v>513.80016421153414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1.1368683772161603E-13</v>
      </c>
      <c r="BE87" s="14">
        <f>BD87*VLOOKUP('Données projet'!$B$11,Paramètres!$A$1:$I$89,3,0)*VLOOKUP('Données projet'!$B$11,Paramètres!$A$1:$I$89,5,0)</f>
        <v>6.7984728957526396E-14</v>
      </c>
      <c r="BF87" s="14">
        <f t="shared" si="91"/>
        <v>1.0682447123141398E-12</v>
      </c>
      <c r="BG87" s="22">
        <f t="shared" si="61"/>
        <v>1.978932943548152E-12</v>
      </c>
      <c r="BH87" s="62">
        <f t="shared" si="62"/>
        <v>293.3333333333353</v>
      </c>
      <c r="BI87" s="62">
        <f ca="1">AVERAGE(OFFSET($BH$3,0,0,'Données projet'!$E$11+1,1))-AVERAGE(OFFSET($H$3,0,0,'Données projet'!$E$11+1,1))</f>
        <v>187.13674266165236</v>
      </c>
      <c r="BJ87" s="62">
        <f t="shared" si="92"/>
        <v>439.28159165815276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18.299835908624853</v>
      </c>
      <c r="BQ87" s="23">
        <f>EXP(-LN(2)/25)*BQ86+(1-EXP(-LN(2)/25))/(LN(2)/25)*Calculateur!BL87*Calculateur!BN87*VLOOKUP('Données projet'!$B$11,Paramètres!$A$1:$I$89,3,0)*0.475*44/12</f>
        <v>9.833822752351173</v>
      </c>
      <c r="BR87" s="23">
        <f>EXP(-LN(2)/2)*BR86+(1-EXP(-LN(2)/2))/(LN(2)/2)*BL87*BO87*VLOOKUP('Données projet'!$B$11,Paramètres!$A$1:$I$89,3,0)*0.475*44/12</f>
        <v>3.2460231182656138E-7</v>
      </c>
      <c r="BS87" s="24">
        <f t="shared" si="63"/>
        <v>28.133658985578336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>
        <f>BY87*VLOOKUP('Données projet'!$B$12,Paramètres!$A$1:$I$89,3,0)*VLOOKUP('Données projet'!$B$12,Paramètres!$A$1:$I$89,5,0)</f>
        <v>0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123.96745898973995</v>
      </c>
      <c r="CE87" s="62">
        <f t="shared" si="94"/>
        <v>638.75149573151157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40.943817263909061</v>
      </c>
      <c r="CL87" s="23">
        <f>EXP(-LN(2)/25)*CL86+(1-EXP(-LN(2)/25))/(LN(2)/25)*Calculateur!CG87*Calculateur!CI87*VLOOKUP('Données projet'!$B$12,Paramètres!$A$1:$I$89,3,0)*0.475*44/12</f>
        <v>6.6991793057487525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47.642996569657811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121.59687193641378</v>
      </c>
      <c r="T88" s="62">
        <f t="shared" si="88"/>
        <v>625.69364310937681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39.268304981047585</v>
      </c>
      <c r="AA88" s="23">
        <f>EXP(-LN(2)/25)*AA87+(1-EXP(-LN(2)/25))/(LN(2)/25)*Calculateur!V88*Calculateur!X88*VLOOKUP('Données projet'!$B$9,Paramètres!$A$1:$I$89,3,0)*0.475*44/12</f>
        <v>6.3743379410920404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45.642642922139629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-5.6843418860808015E-14</v>
      </c>
      <c r="AJ88" s="14">
        <f>AI88*VLOOKUP('Données projet'!$B$10,Paramètres!$A$1:$I$89,3,0)*VLOOKUP('Données projet'!$B$10,Paramètres!$A$1:$I$89,5,0)</f>
        <v>-5.1431925385259088E-14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366.86025470473652</v>
      </c>
      <c r="AO88" s="62">
        <f t="shared" si="90"/>
        <v>513.80016421153414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1.1368683772161603E-13</v>
      </c>
      <c r="BE88" s="14">
        <f>BD88*VLOOKUP('Données projet'!$B$11,Paramètres!$A$1:$I$89,3,0)*VLOOKUP('Données projet'!$B$11,Paramètres!$A$1:$I$89,5,0)</f>
        <v>6.7984728957526396E-14</v>
      </c>
      <c r="BF88" s="14">
        <f t="shared" si="91"/>
        <v>1.0682447123141398E-12</v>
      </c>
      <c r="BG88" s="22">
        <f t="shared" si="61"/>
        <v>1.978932943548152E-12</v>
      </c>
      <c r="BH88" s="62">
        <f t="shared" si="62"/>
        <v>293.3333333333353</v>
      </c>
      <c r="BI88" s="62">
        <f ca="1">AVERAGE(OFFSET($BH$3,0,0,'Données projet'!$E$11+1,1))-AVERAGE(OFFSET($H$3,0,0,'Données projet'!$E$11+1,1))</f>
        <v>187.13674266165236</v>
      </c>
      <c r="BJ88" s="62">
        <f t="shared" si="92"/>
        <v>439.28159165815276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17.940987288254487</v>
      </c>
      <c r="BQ88" s="23">
        <f>EXP(-LN(2)/25)*BQ87+(1-EXP(-LN(2)/25))/(LN(2)/25)*Calculateur!BL88*Calculateur!BN88*VLOOKUP('Données projet'!$B$11,Paramètres!$A$1:$I$89,3,0)*0.475*44/12</f>
        <v>9.5649163520498668</v>
      </c>
      <c r="BR88" s="23">
        <f>EXP(-LN(2)/2)*BR87+(1-EXP(-LN(2)/2))/(LN(2)/2)*BL88*BO88*VLOOKUP('Données projet'!$B$11,Paramètres!$A$1:$I$89,3,0)*0.475*44/12</f>
        <v>2.2952849588139182E-7</v>
      </c>
      <c r="BS88" s="24">
        <f t="shared" si="63"/>
        <v>27.505903869832849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>
        <f>BY88*VLOOKUP('Données projet'!$B$12,Paramètres!$A$1:$I$89,3,0)*VLOOKUP('Données projet'!$B$12,Paramètres!$A$1:$I$89,5,0)</f>
        <v>0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123.96745898973995</v>
      </c>
      <c r="CE88" s="62">
        <f t="shared" si="94"/>
        <v>638.75149573151157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40.140933980626428</v>
      </c>
      <c r="CL88" s="23">
        <f>EXP(-LN(2)/25)*CL87+(1-EXP(-LN(2)/25))/(LN(2)/25)*Calculateur!CG88*Calculateur!CI88*VLOOKUP('Données projet'!$B$12,Paramètres!$A$1:$I$89,3,0)*0.475*44/12</f>
        <v>6.5159898953385245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46.656923875964949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121.59687193641378</v>
      </c>
      <c r="T89" s="62">
        <f t="shared" si="88"/>
        <v>625.69364310937681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38.498277471670285</v>
      </c>
      <c r="AA89" s="23">
        <f>EXP(-LN(2)/25)*AA88+(1-EXP(-LN(2)/25))/(LN(2)/25)*Calculateur!V89*Calculateur!X89*VLOOKUP('Données projet'!$B$9,Paramètres!$A$1:$I$89,3,0)*0.475*44/12</f>
        <v>6.2000313348810154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44.698308806551303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-5.6843418860808015E-14</v>
      </c>
      <c r="AJ89" s="14">
        <f>AI89*VLOOKUP('Données projet'!$B$10,Paramètres!$A$1:$I$89,3,0)*VLOOKUP('Données projet'!$B$10,Paramètres!$A$1:$I$89,5,0)</f>
        <v>-5.1431925385259088E-14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366.86025470473652</v>
      </c>
      <c r="AO89" s="62">
        <f t="shared" si="90"/>
        <v>513.80016421153414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1.1368683772161603E-13</v>
      </c>
      <c r="BE89" s="14">
        <f>BD89*VLOOKUP('Données projet'!$B$11,Paramètres!$A$1:$I$89,3,0)*VLOOKUP('Données projet'!$B$11,Paramètres!$A$1:$I$89,5,0)</f>
        <v>6.7984728957526396E-14</v>
      </c>
      <c r="BF89" s="14">
        <f t="shared" si="91"/>
        <v>1.0682447123141398E-12</v>
      </c>
      <c r="BG89" s="22">
        <f t="shared" si="61"/>
        <v>1.978932943548152E-12</v>
      </c>
      <c r="BH89" s="62">
        <f t="shared" si="62"/>
        <v>293.3333333333353</v>
      </c>
      <c r="BI89" s="62">
        <f ca="1">AVERAGE(OFFSET($BH$3,0,0,'Données projet'!$E$11+1,1))-AVERAGE(OFFSET($H$3,0,0,'Données projet'!$E$11+1,1))</f>
        <v>187.13674266165236</v>
      </c>
      <c r="BJ89" s="62">
        <f t="shared" si="92"/>
        <v>439.28159165815276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17.589175470453537</v>
      </c>
      <c r="BQ89" s="23">
        <f>EXP(-LN(2)/25)*BQ88+(1-EXP(-LN(2)/25))/(LN(2)/25)*Calculateur!BL89*Calculateur!BN89*VLOOKUP('Données projet'!$B$11,Paramètres!$A$1:$I$89,3,0)*0.475*44/12</f>
        <v>9.3033632114059728</v>
      </c>
      <c r="BR89" s="23">
        <f>EXP(-LN(2)/2)*BR88+(1-EXP(-LN(2)/2))/(LN(2)/2)*BL89*BO89*VLOOKUP('Données projet'!$B$11,Paramètres!$A$1:$I$89,3,0)*0.475*44/12</f>
        <v>1.6230115591328072E-7</v>
      </c>
      <c r="BS89" s="24">
        <f t="shared" si="63"/>
        <v>26.892538844160665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>
        <f>BY89*VLOOKUP('Données projet'!$B$12,Paramètres!$A$1:$I$89,3,0)*VLOOKUP('Données projet'!$B$12,Paramètres!$A$1:$I$89,5,0)</f>
        <v>0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123.96745898973995</v>
      </c>
      <c r="CE89" s="62">
        <f t="shared" si="94"/>
        <v>638.75149573151157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39.353794748818522</v>
      </c>
      <c r="CL89" s="23">
        <f>EXP(-LN(2)/25)*CL88+(1-EXP(-LN(2)/25))/(LN(2)/25)*Calculateur!CG89*Calculateur!CI89*VLOOKUP('Données projet'!$B$12,Paramètres!$A$1:$I$89,3,0)*0.475*44/12</f>
        <v>6.3378098089894763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45.691604557807999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121.59687193641378</v>
      </c>
      <c r="T90" s="62">
        <f t="shared" si="88"/>
        <v>625.69364310937681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37.743349732081469</v>
      </c>
      <c r="AA90" s="23">
        <f>EXP(-LN(2)/25)*AA89+(1-EXP(-LN(2)/25))/(LN(2)/25)*Calculateur!V90*Calculateur!X90*VLOOKUP('Données projet'!$B$9,Paramètres!$A$1:$I$89,3,0)*0.475*44/12</f>
        <v>6.0304911519832167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43.773840884064683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-5.6843418860808015E-14</v>
      </c>
      <c r="AJ90" s="14">
        <f>AI90*VLOOKUP('Données projet'!$B$10,Paramètres!$A$1:$I$89,3,0)*VLOOKUP('Données projet'!$B$10,Paramètres!$A$1:$I$89,5,0)</f>
        <v>-5.1431925385259088E-14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366.86025470473652</v>
      </c>
      <c r="AO90" s="62">
        <f t="shared" si="90"/>
        <v>513.80016421153414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1.1368683772161603E-13</v>
      </c>
      <c r="BE90" s="14">
        <f>BD90*VLOOKUP('Données projet'!$B$11,Paramètres!$A$1:$I$89,3,0)*VLOOKUP('Données projet'!$B$11,Paramètres!$A$1:$I$89,5,0)</f>
        <v>6.7984728957526396E-14</v>
      </c>
      <c r="BF90" s="14">
        <f t="shared" si="91"/>
        <v>1.0682447123141398E-12</v>
      </c>
      <c r="BG90" s="22">
        <f t="shared" si="61"/>
        <v>1.978932943548152E-12</v>
      </c>
      <c r="BH90" s="62">
        <f t="shared" si="62"/>
        <v>293.3333333333353</v>
      </c>
      <c r="BI90" s="62">
        <f ca="1">AVERAGE(OFFSET($BH$3,0,0,'Données projet'!$E$11+1,1))-AVERAGE(OFFSET($H$3,0,0,'Données projet'!$E$11+1,1))</f>
        <v>187.13674266165236</v>
      </c>
      <c r="BJ90" s="62">
        <f t="shared" si="92"/>
        <v>439.28159165815276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17.244262467815645</v>
      </c>
      <c r="BQ90" s="23">
        <f>EXP(-LN(2)/25)*BQ89+(1-EXP(-LN(2)/25))/(LN(2)/25)*Calculateur!BL90*Calculateur!BN90*VLOOKUP('Données projet'!$B$11,Paramètres!$A$1:$I$89,3,0)*0.475*44/12</f>
        <v>9.0489622551474689</v>
      </c>
      <c r="BR90" s="23">
        <f>EXP(-LN(2)/2)*BR89+(1-EXP(-LN(2)/2))/(LN(2)/2)*BL90*BO90*VLOOKUP('Données projet'!$B$11,Paramètres!$A$1:$I$89,3,0)*0.475*44/12</f>
        <v>1.1476424794069594E-7</v>
      </c>
      <c r="BS90" s="24">
        <f t="shared" si="63"/>
        <v>26.293224837727362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>
        <f>BY90*VLOOKUP('Données projet'!$B$12,Paramètres!$A$1:$I$89,3,0)*VLOOKUP('Données projet'!$B$12,Paramètres!$A$1:$I$89,5,0)</f>
        <v>0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123.96745898973995</v>
      </c>
      <c r="CE90" s="62">
        <f t="shared" si="94"/>
        <v>638.75149573151157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38.582090837238844</v>
      </c>
      <c r="CL90" s="23">
        <f>EXP(-LN(2)/25)*CL89+(1-EXP(-LN(2)/25))/(LN(2)/25)*Calculateur!CG90*Calculateur!CI90*VLOOKUP('Données projet'!$B$12,Paramètres!$A$1:$I$89,3,0)*0.475*44/12</f>
        <v>6.1645020664717265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44.746592903710571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121.59687193641378</v>
      </c>
      <c r="T91" s="62">
        <f t="shared" si="88"/>
        <v>625.69364310937681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37.003225665005537</v>
      </c>
      <c r="AA91" s="23">
        <f>EXP(-LN(2)/25)*AA90+(1-EXP(-LN(2)/25))/(LN(2)/25)*Calculateur!V91*Calculateur!X91*VLOOKUP('Données projet'!$B$9,Paramètres!$A$1:$I$89,3,0)*0.475*44/12</f>
        <v>5.8655870543024893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42.868812719308025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-5.6843418860808015E-14</v>
      </c>
      <c r="AJ91" s="14">
        <f>AI91*VLOOKUP('Données projet'!$B$10,Paramètres!$A$1:$I$89,3,0)*VLOOKUP('Données projet'!$B$10,Paramètres!$A$1:$I$89,5,0)</f>
        <v>-5.1431925385259088E-14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366.86025470473652</v>
      </c>
      <c r="AO91" s="62">
        <f t="shared" si="90"/>
        <v>513.80016421153414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1.1368683772161603E-13</v>
      </c>
      <c r="BE91" s="14">
        <f>BD91*VLOOKUP('Données projet'!$B$11,Paramètres!$A$1:$I$89,3,0)*VLOOKUP('Données projet'!$B$11,Paramètres!$A$1:$I$89,5,0)</f>
        <v>6.7984728957526396E-14</v>
      </c>
      <c r="BF91" s="14">
        <f t="shared" si="91"/>
        <v>1.0682447123141398E-12</v>
      </c>
      <c r="BG91" s="22">
        <f t="shared" si="61"/>
        <v>1.978932943548152E-12</v>
      </c>
      <c r="BH91" s="62">
        <f t="shared" si="62"/>
        <v>293.3333333333353</v>
      </c>
      <c r="BI91" s="62">
        <f ca="1">AVERAGE(OFFSET($BH$3,0,0,'Données projet'!$E$11+1,1))-AVERAGE(OFFSET($H$3,0,0,'Données projet'!$E$11+1,1))</f>
        <v>187.13674266165236</v>
      </c>
      <c r="BJ91" s="62">
        <f t="shared" si="92"/>
        <v>439.28159165815276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16.906112998783325</v>
      </c>
      <c r="BQ91" s="23">
        <f>EXP(-LN(2)/25)*BQ90+(1-EXP(-LN(2)/25))/(LN(2)/25)*Calculateur!BL91*Calculateur!BN91*VLOOKUP('Données projet'!$B$11,Paramètres!$A$1:$I$89,3,0)*0.475*44/12</f>
        <v>8.8015179064162172</v>
      </c>
      <c r="BR91" s="23">
        <f>EXP(-LN(2)/2)*BR90+(1-EXP(-LN(2)/2))/(LN(2)/2)*BL91*BO91*VLOOKUP('Données projet'!$B$11,Paramètres!$A$1:$I$89,3,0)*0.475*44/12</f>
        <v>8.1150577956640371E-8</v>
      </c>
      <c r="BS91" s="24">
        <f t="shared" si="63"/>
        <v>25.707630986350122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>
        <f>BY91*VLOOKUP('Données projet'!$B$12,Paramètres!$A$1:$I$89,3,0)*VLOOKUP('Données projet'!$B$12,Paramètres!$A$1:$I$89,5,0)</f>
        <v>0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123.96745898973995</v>
      </c>
      <c r="CE91" s="62">
        <f t="shared" si="94"/>
        <v>638.75149573151157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37.825519568672334</v>
      </c>
      <c r="CL91" s="23">
        <f>EXP(-LN(2)/25)*CL90+(1-EXP(-LN(2)/25))/(LN(2)/25)*Calculateur!CG91*Calculateur!CI91*VLOOKUP('Données projet'!$B$12,Paramètres!$A$1:$I$89,3,0)*0.475*44/12</f>
        <v>5.9959334332869823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43.821453001959313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121.59687193641378</v>
      </c>
      <c r="T92" s="62">
        <f t="shared" si="88"/>
        <v>625.69364310937681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36.277614979453858</v>
      </c>
      <c r="AA92" s="23">
        <f>EXP(-LN(2)/25)*AA91+(1-EXP(-LN(2)/25))/(LN(2)/25)*Calculateur!V92*Calculateur!X92*VLOOKUP('Données projet'!$B$9,Paramètres!$A$1:$I$89,3,0)*0.475*44/12</f>
        <v>5.7051922678447706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41.982807247298631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-5.6843418860808015E-14</v>
      </c>
      <c r="AJ92" s="14">
        <f>AI92*VLOOKUP('Données projet'!$B$10,Paramètres!$A$1:$I$89,3,0)*VLOOKUP('Données projet'!$B$10,Paramètres!$A$1:$I$89,5,0)</f>
        <v>-5.1431925385259088E-14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366.86025470473652</v>
      </c>
      <c r="AO92" s="62">
        <f t="shared" si="90"/>
        <v>513.80016421153414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1.1368683772161603E-13</v>
      </c>
      <c r="BE92" s="14">
        <f>BD92*VLOOKUP('Données projet'!$B$11,Paramètres!$A$1:$I$89,3,0)*VLOOKUP('Données projet'!$B$11,Paramètres!$A$1:$I$89,5,0)</f>
        <v>6.7984728957526396E-14</v>
      </c>
      <c r="BF92" s="14">
        <f t="shared" si="91"/>
        <v>1.0682447123141398E-12</v>
      </c>
      <c r="BG92" s="22">
        <f t="shared" si="61"/>
        <v>1.978932943548152E-12</v>
      </c>
      <c r="BH92" s="62">
        <f t="shared" si="62"/>
        <v>293.3333333333353</v>
      </c>
      <c r="BI92" s="62">
        <f ca="1">AVERAGE(OFFSET($BH$3,0,0,'Données projet'!$E$11+1,1))-AVERAGE(OFFSET($H$3,0,0,'Données projet'!$E$11+1,1))</f>
        <v>187.13674266165236</v>
      </c>
      <c r="BJ92" s="62">
        <f t="shared" si="92"/>
        <v>439.28159165815276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16.574594434587915</v>
      </c>
      <c r="BQ92" s="23">
        <f>EXP(-LN(2)/25)*BQ91+(1-EXP(-LN(2)/25))/(LN(2)/25)*Calculateur!BL92*Calculateur!BN92*VLOOKUP('Données projet'!$B$11,Paramètres!$A$1:$I$89,3,0)*0.475*44/12</f>
        <v>8.5608399364135543</v>
      </c>
      <c r="BR92" s="23">
        <f>EXP(-LN(2)/2)*BR91+(1-EXP(-LN(2)/2))/(LN(2)/2)*BL92*BO92*VLOOKUP('Données projet'!$B$11,Paramètres!$A$1:$I$89,3,0)*0.475*44/12</f>
        <v>5.7382123970347974E-8</v>
      </c>
      <c r="BS92" s="24">
        <f t="shared" si="63"/>
        <v>25.135434428383594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>
        <f>BY92*VLOOKUP('Données projet'!$B$12,Paramètres!$A$1:$I$89,3,0)*VLOOKUP('Données projet'!$B$12,Paramètres!$A$1:$I$89,5,0)</f>
        <v>0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123.96745898973995</v>
      </c>
      <c r="CE92" s="62">
        <f t="shared" si="94"/>
        <v>638.75149573151157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37.083784201219508</v>
      </c>
      <c r="CL92" s="23">
        <f>EXP(-LN(2)/25)*CL91+(1-EXP(-LN(2)/25))/(LN(2)/25)*Calculateur!CG92*Calculateur!CI92*VLOOKUP('Données projet'!$B$12,Paramètres!$A$1:$I$89,3,0)*0.475*44/12</f>
        <v>5.831974318241314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42.915758519460823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121.59687193641378</v>
      </c>
      <c r="T93" s="62">
        <f t="shared" si="88"/>
        <v>625.69364310937681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35.566233076867029</v>
      </c>
      <c r="AA93" s="23">
        <f>EXP(-LN(2)/25)*AA92+(1-EXP(-LN(2)/25))/(LN(2)/25)*Calculateur!V93*Calculateur!X93*VLOOKUP('Données projet'!$B$9,Paramètres!$A$1:$I$89,3,0)*0.475*44/12</f>
        <v>5.549183485257533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41.115416562124565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-5.6843418860808015E-14</v>
      </c>
      <c r="AJ93" s="14">
        <f>AI93*VLOOKUP('Données projet'!$B$10,Paramètres!$A$1:$I$89,3,0)*VLOOKUP('Données projet'!$B$10,Paramètres!$A$1:$I$89,5,0)</f>
        <v>-5.1431925385259088E-14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366.86025470473652</v>
      </c>
      <c r="AO93" s="62">
        <f t="shared" si="90"/>
        <v>513.80016421153414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1.1368683772161603E-13</v>
      </c>
      <c r="BE93" s="14">
        <f>BD93*VLOOKUP('Données projet'!$B$11,Paramètres!$A$1:$I$89,3,0)*VLOOKUP('Données projet'!$B$11,Paramètres!$A$1:$I$89,5,0)</f>
        <v>6.7984728957526396E-14</v>
      </c>
      <c r="BF93" s="14">
        <f t="shared" si="91"/>
        <v>1.0682447123141398E-12</v>
      </c>
      <c r="BG93" s="22">
        <f t="shared" si="61"/>
        <v>1.978932943548152E-12</v>
      </c>
      <c r="BH93" s="62">
        <f t="shared" si="62"/>
        <v>293.3333333333353</v>
      </c>
      <c r="BI93" s="62">
        <f ca="1">AVERAGE(OFFSET($BH$3,0,0,'Données projet'!$E$11+1,1))-AVERAGE(OFFSET($H$3,0,0,'Données projet'!$E$11+1,1))</f>
        <v>187.13674266165236</v>
      </c>
      <c r="BJ93" s="62">
        <f t="shared" si="92"/>
        <v>439.28159165815276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16.249576747230019</v>
      </c>
      <c r="BQ93" s="23">
        <f>EXP(-LN(2)/25)*BQ92+(1-EXP(-LN(2)/25))/(LN(2)/25)*Calculateur!BL93*Calculateur!BN93*VLOOKUP('Données projet'!$B$11,Paramètres!$A$1:$I$89,3,0)*0.475*44/12</f>
        <v>8.3267433181573196</v>
      </c>
      <c r="BR93" s="23">
        <f>EXP(-LN(2)/2)*BR92+(1-EXP(-LN(2)/2))/(LN(2)/2)*BL93*BO93*VLOOKUP('Données projet'!$B$11,Paramètres!$A$1:$I$89,3,0)*0.475*44/12</f>
        <v>4.0575288978320192E-8</v>
      </c>
      <c r="BS93" s="24">
        <f t="shared" si="63"/>
        <v>24.57632010596263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>
        <f>BY93*VLOOKUP('Données projet'!$B$12,Paramètres!$A$1:$I$89,3,0)*VLOOKUP('Données projet'!$B$12,Paramètres!$A$1:$I$89,5,0)</f>
        <v>0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123.96745898973995</v>
      </c>
      <c r="CE93" s="62">
        <f t="shared" si="94"/>
        <v>638.75149573151157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36.356593811908525</v>
      </c>
      <c r="CL93" s="23">
        <f>EXP(-LN(2)/25)*CL92+(1-EXP(-LN(2)/25))/(LN(2)/25)*Calculateur!CG93*Calculateur!CI93*VLOOKUP('Données projet'!$B$12,Paramètres!$A$1:$I$89,3,0)*0.475*44/12</f>
        <v>5.6724986738188052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42.029092485727332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121.59687193641378</v>
      </c>
      <c r="T94" s="62">
        <f t="shared" si="88"/>
        <v>625.69364310937681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34.868800939489809</v>
      </c>
      <c r="AA94" s="23">
        <f>EXP(-LN(2)/25)*AA93+(1-EXP(-LN(2)/25))/(LN(2)/25)*Calculateur!V94*Calculateur!X94*VLOOKUP('Données projet'!$B$9,Paramètres!$A$1:$I$89,3,0)*0.475*44/12</f>
        <v>5.3974407710342893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40.266241710524099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-5.6843418860808015E-14</v>
      </c>
      <c r="AJ94" s="14">
        <f>AI94*VLOOKUP('Données projet'!$B$10,Paramètres!$A$1:$I$89,3,0)*VLOOKUP('Données projet'!$B$10,Paramètres!$A$1:$I$89,5,0)</f>
        <v>-5.1431925385259088E-14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366.86025470473652</v>
      </c>
      <c r="AO94" s="62">
        <f t="shared" si="90"/>
        <v>513.80016421153414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1.1368683772161603E-13</v>
      </c>
      <c r="BE94" s="14">
        <f>BD94*VLOOKUP('Données projet'!$B$11,Paramètres!$A$1:$I$89,3,0)*VLOOKUP('Données projet'!$B$11,Paramètres!$A$1:$I$89,5,0)</f>
        <v>6.7984728957526396E-14</v>
      </c>
      <c r="BF94" s="14">
        <f t="shared" si="91"/>
        <v>1.0682447123141398E-12</v>
      </c>
      <c r="BG94" s="22">
        <f t="shared" si="61"/>
        <v>1.978932943548152E-12</v>
      </c>
      <c r="BH94" s="62">
        <f t="shared" si="62"/>
        <v>293.3333333333353</v>
      </c>
      <c r="BI94" s="62">
        <f ca="1">AVERAGE(OFFSET($BH$3,0,0,'Données projet'!$E$11+1,1))-AVERAGE(OFFSET($H$3,0,0,'Données projet'!$E$11+1,1))</f>
        <v>187.13674266165236</v>
      </c>
      <c r="BJ94" s="62">
        <f t="shared" si="92"/>
        <v>439.28159165815276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15.930932458479999</v>
      </c>
      <c r="BQ94" s="23">
        <f>EXP(-LN(2)/25)*BQ93+(1-EXP(-LN(2)/25))/(LN(2)/25)*Calculateur!BL94*Calculateur!BN94*VLOOKUP('Données projet'!$B$11,Paramètres!$A$1:$I$89,3,0)*0.475*44/12</f>
        <v>8.0990480842379071</v>
      </c>
      <c r="BR94" s="23">
        <f>EXP(-LN(2)/2)*BR93+(1-EXP(-LN(2)/2))/(LN(2)/2)*BL94*BO94*VLOOKUP('Données projet'!$B$11,Paramètres!$A$1:$I$89,3,0)*0.475*44/12</f>
        <v>2.869106198517399E-8</v>
      </c>
      <c r="BS94" s="24">
        <f t="shared" si="63"/>
        <v>24.02998057140897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>
        <f>BY94*VLOOKUP('Données projet'!$B$12,Paramètres!$A$1:$I$89,3,0)*VLOOKUP('Données projet'!$B$12,Paramètres!$A$1:$I$89,5,0)</f>
        <v>0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123.96745898973995</v>
      </c>
      <c r="CE94" s="62">
        <f t="shared" si="94"/>
        <v>638.75149573151157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35.643663182589592</v>
      </c>
      <c r="CL94" s="23">
        <f>EXP(-LN(2)/25)*CL93+(1-EXP(-LN(2)/25))/(LN(2)/25)*Calculateur!CG94*Calculateur!CI94*VLOOKUP('Données projet'!$B$12,Paramètres!$A$1:$I$89,3,0)*0.475*44/12</f>
        <v>5.5173838992794897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41.161047081869079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121.59687193641378</v>
      </c>
      <c r="T95" s="62">
        <f t="shared" si="88"/>
        <v>625.69364310937681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34.185045020934957</v>
      </c>
      <c r="AA95" s="23">
        <f>EXP(-LN(2)/25)*AA94+(1-EXP(-LN(2)/25))/(LN(2)/25)*Calculateur!V95*Calculateur!X95*VLOOKUP('Données projet'!$B$9,Paramètres!$A$1:$I$89,3,0)*0.475*44/12</f>
        <v>5.2498474693112822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39.434892490246241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-5.6843418860808015E-14</v>
      </c>
      <c r="AJ95" s="14">
        <f>AI95*VLOOKUP('Données projet'!$B$10,Paramètres!$A$1:$I$89,3,0)*VLOOKUP('Données projet'!$B$10,Paramètres!$A$1:$I$89,5,0)</f>
        <v>-5.1431925385259088E-14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366.86025470473652</v>
      </c>
      <c r="AO95" s="62">
        <f t="shared" si="90"/>
        <v>513.80016421153414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1.1368683772161603E-13</v>
      </c>
      <c r="BE95" s="14">
        <f>BD95*VLOOKUP('Données projet'!$B$11,Paramètres!$A$1:$I$89,3,0)*VLOOKUP('Données projet'!$B$11,Paramètres!$A$1:$I$89,5,0)</f>
        <v>6.7984728957526396E-14</v>
      </c>
      <c r="BF95" s="14">
        <f t="shared" si="91"/>
        <v>1.0682447123141398E-12</v>
      </c>
      <c r="BG95" s="22">
        <f t="shared" si="61"/>
        <v>1.978932943548152E-12</v>
      </c>
      <c r="BH95" s="62">
        <f t="shared" si="62"/>
        <v>293.3333333333353</v>
      </c>
      <c r="BI95" s="62">
        <f ca="1">AVERAGE(OFFSET($BH$3,0,0,'Données projet'!$E$11+1,1))-AVERAGE(OFFSET($H$3,0,0,'Données projet'!$E$11+1,1))</f>
        <v>187.13674266165236</v>
      </c>
      <c r="BJ95" s="62">
        <f t="shared" si="92"/>
        <v>439.28159165815276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15.618536589878541</v>
      </c>
      <c r="BQ95" s="23">
        <f>EXP(-LN(2)/25)*BQ94+(1-EXP(-LN(2)/25))/(LN(2)/25)*Calculateur!BL95*Calculateur!BN95*VLOOKUP('Données projet'!$B$11,Paramètres!$A$1:$I$89,3,0)*0.475*44/12</f>
        <v>7.8775791884639936</v>
      </c>
      <c r="BR95" s="23">
        <f>EXP(-LN(2)/2)*BR94+(1-EXP(-LN(2)/2))/(LN(2)/2)*BL95*BO95*VLOOKUP('Données projet'!$B$11,Paramètres!$A$1:$I$89,3,0)*0.475*44/12</f>
        <v>2.0287644489160099E-8</v>
      </c>
      <c r="BS95" s="24">
        <f t="shared" si="63"/>
        <v>23.496115798630179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>
        <f>BY95*VLOOKUP('Données projet'!$B$12,Paramètres!$A$1:$I$89,3,0)*VLOOKUP('Données projet'!$B$12,Paramètres!$A$1:$I$89,5,0)</f>
        <v>0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123.96745898973995</v>
      </c>
      <c r="CE95" s="62">
        <f t="shared" si="94"/>
        <v>638.75149573151157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34.944712688066858</v>
      </c>
      <c r="CL95" s="23">
        <f>EXP(-LN(2)/25)*CL94+(1-EXP(-LN(2)/25))/(LN(2)/25)*Calculateur!CG95*Calculateur!CI95*VLOOKUP('Données projet'!$B$12,Paramètres!$A$1:$I$89,3,0)*0.475*44/12</f>
        <v>5.3665107464070827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40.311223434473938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121.59687193641378</v>
      </c>
      <c r="T96" s="62">
        <f t="shared" si="88"/>
        <v>625.69364310937681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33.514697138893041</v>
      </c>
      <c r="AA96" s="23">
        <f>EXP(-LN(2)/25)*AA95+(1-EXP(-LN(2)/25))/(LN(2)/25)*Calculateur!V96*Calculateur!X96*VLOOKUP('Données projet'!$B$9,Paramètres!$A$1:$I$89,3,0)*0.475*44/12</f>
        <v>5.1062901141854855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38.620987253078525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-5.6843418860808015E-14</v>
      </c>
      <c r="AJ96" s="14">
        <f>AI96*VLOOKUP('Données projet'!$B$10,Paramètres!$A$1:$I$89,3,0)*VLOOKUP('Données projet'!$B$10,Paramètres!$A$1:$I$89,5,0)</f>
        <v>-5.1431925385259088E-14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366.86025470473652</v>
      </c>
      <c r="AO96" s="62">
        <f t="shared" si="90"/>
        <v>513.80016421153414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1.1368683772161603E-13</v>
      </c>
      <c r="BE96" s="14">
        <f>BD96*VLOOKUP('Données projet'!$B$11,Paramètres!$A$1:$I$89,3,0)*VLOOKUP('Données projet'!$B$11,Paramètres!$A$1:$I$89,5,0)</f>
        <v>6.7984728957526396E-14</v>
      </c>
      <c r="BF96" s="14">
        <f t="shared" si="91"/>
        <v>1.0682447123141398E-12</v>
      </c>
      <c r="BG96" s="22">
        <f t="shared" si="61"/>
        <v>1.978932943548152E-12</v>
      </c>
      <c r="BH96" s="62">
        <f t="shared" si="62"/>
        <v>293.3333333333353</v>
      </c>
      <c r="BI96" s="62">
        <f ca="1">AVERAGE(OFFSET($BH$3,0,0,'Données projet'!$E$11+1,1))-AVERAGE(OFFSET($H$3,0,0,'Données projet'!$E$11+1,1))</f>
        <v>187.13674266165236</v>
      </c>
      <c r="BJ96" s="62">
        <f t="shared" si="92"/>
        <v>439.28159165815276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15.312266613717693</v>
      </c>
      <c r="BQ96" s="23">
        <f>EXP(-LN(2)/25)*BQ95+(1-EXP(-LN(2)/25))/(LN(2)/25)*Calculateur!BL96*Calculateur!BN96*VLOOKUP('Données projet'!$B$11,Paramètres!$A$1:$I$89,3,0)*0.475*44/12</f>
        <v>7.6621663712915611</v>
      </c>
      <c r="BR96" s="23">
        <f>EXP(-LN(2)/2)*BR95+(1-EXP(-LN(2)/2))/(LN(2)/2)*BL96*BO96*VLOOKUP('Données projet'!$B$11,Paramètres!$A$1:$I$89,3,0)*0.475*44/12</f>
        <v>1.4345530992586999E-8</v>
      </c>
      <c r="BS96" s="24">
        <f t="shared" si="63"/>
        <v>22.974432999354786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>
        <f>BY96*VLOOKUP('Données projet'!$B$12,Paramètres!$A$1:$I$89,3,0)*VLOOKUP('Données projet'!$B$12,Paramètres!$A$1:$I$89,5,0)</f>
        <v>0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123.96745898973995</v>
      </c>
      <c r="CE96" s="62">
        <f t="shared" si="94"/>
        <v>638.75149573151157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34.259468186424009</v>
      </c>
      <c r="CL96" s="23">
        <f>EXP(-LN(2)/25)*CL95+(1-EXP(-LN(2)/25))/(LN(2)/25)*Calculateur!CG96*Calculateur!CI96*VLOOKUP('Données projet'!$B$12,Paramètres!$A$1:$I$89,3,0)*0.475*44/12</f>
        <v>5.2197632278340462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39.479231414258052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121.59687193641378</v>
      </c>
      <c r="T97" s="62">
        <f t="shared" si="88"/>
        <v>625.69364310937681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32.857494369946131</v>
      </c>
      <c r="AA97" s="23">
        <f>EXP(-LN(2)/25)*AA96+(1-EXP(-LN(2)/25))/(LN(2)/25)*Calculateur!V97*Calculateur!X97*VLOOKUP('Données projet'!$B$9,Paramètres!$A$1:$I$89,3,0)*0.475*44/12</f>
        <v>4.9666583424849566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37.824152712431086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-5.6843418860808015E-14</v>
      </c>
      <c r="AJ97" s="14">
        <f>AI97*VLOOKUP('Données projet'!$B$10,Paramètres!$A$1:$I$89,3,0)*VLOOKUP('Données projet'!$B$10,Paramètres!$A$1:$I$89,5,0)</f>
        <v>-5.1431925385259088E-14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366.86025470473652</v>
      </c>
      <c r="AO97" s="62">
        <f t="shared" si="90"/>
        <v>513.80016421153414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1.1368683772161603E-13</v>
      </c>
      <c r="BE97" s="14">
        <f>BD97*VLOOKUP('Données projet'!$B$11,Paramètres!$A$1:$I$89,3,0)*VLOOKUP('Données projet'!$B$11,Paramètres!$A$1:$I$89,5,0)</f>
        <v>6.7984728957526396E-14</v>
      </c>
      <c r="BF97" s="14">
        <f t="shared" si="91"/>
        <v>1.0682447123141398E-12</v>
      </c>
      <c r="BG97" s="22">
        <f t="shared" si="61"/>
        <v>1.978932943548152E-12</v>
      </c>
      <c r="BH97" s="62">
        <f t="shared" si="62"/>
        <v>293.3333333333353</v>
      </c>
      <c r="BI97" s="62">
        <f ca="1">AVERAGE(OFFSET($BH$3,0,0,'Données projet'!$E$11+1,1))-AVERAGE(OFFSET($H$3,0,0,'Données projet'!$E$11+1,1))</f>
        <v>187.13674266165236</v>
      </c>
      <c r="BJ97" s="62">
        <f t="shared" si="92"/>
        <v>439.28159165815276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15.012002404983118</v>
      </c>
      <c r="BQ97" s="23">
        <f>EXP(-LN(2)/25)*BQ96+(1-EXP(-LN(2)/25))/(LN(2)/25)*Calculateur!BL97*Calculateur!BN97*VLOOKUP('Données projet'!$B$11,Paramètres!$A$1:$I$89,3,0)*0.475*44/12</f>
        <v>7.4526440289327756</v>
      </c>
      <c r="BR97" s="23">
        <f>EXP(-LN(2)/2)*BR96+(1-EXP(-LN(2)/2))/(LN(2)/2)*BL97*BO97*VLOOKUP('Données projet'!$B$11,Paramètres!$A$1:$I$89,3,0)*0.475*44/12</f>
        <v>1.0143822244580051E-8</v>
      </c>
      <c r="BS97" s="24">
        <f t="shared" si="63"/>
        <v>22.464646444059717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>
        <f>BY97*VLOOKUP('Données projet'!$B$12,Paramètres!$A$1:$I$89,3,0)*VLOOKUP('Données projet'!$B$12,Paramètres!$A$1:$I$89,5,0)</f>
        <v>0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123.96745898973995</v>
      </c>
      <c r="CE97" s="62">
        <f t="shared" si="94"/>
        <v>638.75149573151157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33.5876609115005</v>
      </c>
      <c r="CL97" s="23">
        <f>EXP(-LN(2)/25)*CL96+(1-EXP(-LN(2)/25))/(LN(2)/25)*Calculateur!CG97*Calculateur!CI97*VLOOKUP('Données projet'!$B$12,Paramètres!$A$1:$I$89,3,0)*0.475*44/12</f>
        <v>5.0770285278735061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38.664689439374008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121.59687193641378</v>
      </c>
      <c r="T98" s="62">
        <f t="shared" si="88"/>
        <v>625.69364310937681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32.21317894644416</v>
      </c>
      <c r="AA98" s="23">
        <f>EXP(-LN(2)/25)*AA97+(1-EXP(-LN(2)/25))/(LN(2)/25)*Calculateur!V98*Calculateur!X98*VLOOKUP('Données projet'!$B$9,Paramètres!$A$1:$I$89,3,0)*0.475*44/12</f>
        <v>4.8308448089244944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37.044023755368656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-5.6843418860808015E-14</v>
      </c>
      <c r="AJ98" s="14">
        <f>AI98*VLOOKUP('Données projet'!$B$10,Paramètres!$A$1:$I$89,3,0)*VLOOKUP('Données projet'!$B$10,Paramètres!$A$1:$I$89,5,0)</f>
        <v>-5.1431925385259088E-14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366.86025470473652</v>
      </c>
      <c r="AO98" s="62">
        <f t="shared" si="90"/>
        <v>513.80016421153414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1.1368683772161603E-13</v>
      </c>
      <c r="BE98" s="14">
        <f>BD98*VLOOKUP('Données projet'!$B$11,Paramètres!$A$1:$I$89,3,0)*VLOOKUP('Données projet'!$B$11,Paramètres!$A$1:$I$89,5,0)</f>
        <v>6.7984728957526396E-14</v>
      </c>
      <c r="BF98" s="14">
        <f t="shared" si="91"/>
        <v>1.0682447123141398E-12</v>
      </c>
      <c r="BG98" s="22">
        <f t="shared" si="61"/>
        <v>1.978932943548152E-12</v>
      </c>
      <c r="BH98" s="62">
        <f t="shared" si="62"/>
        <v>293.3333333333353</v>
      </c>
      <c r="BI98" s="62">
        <f ca="1">AVERAGE(OFFSET($BH$3,0,0,'Données projet'!$E$11+1,1))-AVERAGE(OFFSET($H$3,0,0,'Données projet'!$E$11+1,1))</f>
        <v>187.13674266165236</v>
      </c>
      <c r="BJ98" s="62">
        <f t="shared" si="92"/>
        <v>439.28159165815276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14.717626194238745</v>
      </c>
      <c r="BQ98" s="23">
        <f>EXP(-LN(2)/25)*BQ97+(1-EXP(-LN(2)/25))/(LN(2)/25)*Calculateur!BL98*Calculateur!BN98*VLOOKUP('Données projet'!$B$11,Paramètres!$A$1:$I$89,3,0)*0.475*44/12</f>
        <v>7.2488510860440929</v>
      </c>
      <c r="BR98" s="23">
        <f>EXP(-LN(2)/2)*BR97+(1-EXP(-LN(2)/2))/(LN(2)/2)*BL98*BO98*VLOOKUP('Données projet'!$B$11,Paramètres!$A$1:$I$89,3,0)*0.475*44/12</f>
        <v>7.1727654962935001E-9</v>
      </c>
      <c r="BS98" s="24">
        <f t="shared" si="63"/>
        <v>21.966477287455604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>
        <f>BY98*VLOOKUP('Données projet'!$B$12,Paramètres!$A$1:$I$89,3,0)*VLOOKUP('Données projet'!$B$12,Paramètres!$A$1:$I$89,5,0)</f>
        <v>0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123.96745898973995</v>
      </c>
      <c r="CE98" s="62">
        <f t="shared" si="94"/>
        <v>638.75149573151157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32.929027367476259</v>
      </c>
      <c r="CL98" s="23">
        <f>EXP(-LN(2)/25)*CL97+(1-EXP(-LN(2)/25))/(LN(2)/25)*Calculateur!CG98*Calculateur!CI98*VLOOKUP('Données projet'!$B$12,Paramètres!$A$1:$I$89,3,0)*0.475*44/12</f>
        <v>4.9381969157894785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37.867224283265735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121.59687193641378</v>
      </c>
      <c r="T99" s="62">
        <f t="shared" si="88"/>
        <v>625.69364310937681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31.581498155403459</v>
      </c>
      <c r="AA99" s="23">
        <f>EXP(-LN(2)/25)*AA98+(1-EXP(-LN(2)/25))/(LN(2)/25)*Calculateur!V99*Calculateur!X99*VLOOKUP('Données projet'!$B$9,Paramètres!$A$1:$I$89,3,0)*0.475*44/12</f>
        <v>4.6987451035813663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36.280243258984825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-5.6843418860808015E-14</v>
      </c>
      <c r="AJ99" s="14">
        <f>AI99*VLOOKUP('Données projet'!$B$10,Paramètres!$A$1:$I$89,3,0)*VLOOKUP('Données projet'!$B$10,Paramètres!$A$1:$I$89,5,0)</f>
        <v>-5.1431925385259088E-14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366.86025470473652</v>
      </c>
      <c r="AO99" s="62">
        <f t="shared" si="90"/>
        <v>513.80016421153414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1.1368683772161603E-13</v>
      </c>
      <c r="BE99" s="14">
        <f>BD99*VLOOKUP('Données projet'!$B$11,Paramètres!$A$1:$I$89,3,0)*VLOOKUP('Données projet'!$B$11,Paramètres!$A$1:$I$89,5,0)</f>
        <v>6.7984728957526396E-14</v>
      </c>
      <c r="BF99" s="14">
        <f t="shared" si="91"/>
        <v>1.0682447123141398E-12</v>
      </c>
      <c r="BG99" s="22">
        <f t="shared" si="61"/>
        <v>1.978932943548152E-12</v>
      </c>
      <c r="BH99" s="62">
        <f t="shared" si="62"/>
        <v>293.3333333333353</v>
      </c>
      <c r="BI99" s="62">
        <f ca="1">AVERAGE(OFFSET($BH$3,0,0,'Données projet'!$E$11+1,1))-AVERAGE(OFFSET($H$3,0,0,'Données projet'!$E$11+1,1))</f>
        <v>187.13674266165236</v>
      </c>
      <c r="BJ99" s="62">
        <f t="shared" si="92"/>
        <v>439.28159165815276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14.429022521435311</v>
      </c>
      <c r="BQ99" s="23">
        <f>EXP(-LN(2)/25)*BQ98+(1-EXP(-LN(2)/25))/(LN(2)/25)*Calculateur!BL99*Calculateur!BN99*VLOOKUP('Données projet'!$B$11,Paramètres!$A$1:$I$89,3,0)*0.475*44/12</f>
        <v>7.0506308718957058</v>
      </c>
      <c r="BR99" s="23">
        <f>EXP(-LN(2)/2)*BR98+(1-EXP(-LN(2)/2))/(LN(2)/2)*BL99*BO99*VLOOKUP('Données projet'!$B$11,Paramètres!$A$1:$I$89,3,0)*0.475*44/12</f>
        <v>5.0719111222900265E-9</v>
      </c>
      <c r="BS99" s="24">
        <f t="shared" si="63"/>
        <v>21.479653398402927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>
        <f>BY99*VLOOKUP('Données projet'!$B$12,Paramètres!$A$1:$I$89,3,0)*VLOOKUP('Données projet'!$B$12,Paramètres!$A$1:$I$89,5,0)</f>
        <v>0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123.96745898973995</v>
      </c>
      <c r="CE99" s="62">
        <f t="shared" si="94"/>
        <v>638.75149573151157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32.283309225523539</v>
      </c>
      <c r="CL99" s="23">
        <f>EXP(-LN(2)/25)*CL98+(1-EXP(-LN(2)/25))/(LN(2)/25)*Calculateur!CG99*Calculateur!CI99*VLOOKUP('Données projet'!$B$12,Paramètres!$A$1:$I$89,3,0)*0.475*44/12</f>
        <v>4.8031616614387262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37.086470886962267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121.59687193641378</v>
      </c>
      <c r="T100" s="62">
        <f t="shared" si="88"/>
        <v>625.69364310937681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30.962204239387827</v>
      </c>
      <c r="AA100" s="23">
        <f>EXP(-LN(2)/25)*AA99+(1-EXP(-LN(2)/25))/(LN(2)/25)*Calculateur!V100*Calculateur!X100*VLOOKUP('Données projet'!$B$9,Paramètres!$A$1:$I$89,3,0)*0.475*44/12</f>
        <v>4.5702576716276679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35.532461911015496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-5.6843418860808015E-14</v>
      </c>
      <c r="AJ100" s="14">
        <f>AI100*VLOOKUP('Données projet'!$B$10,Paramètres!$A$1:$I$89,3,0)*VLOOKUP('Données projet'!$B$10,Paramètres!$A$1:$I$89,5,0)</f>
        <v>-5.1431925385259088E-14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366.86025470473652</v>
      </c>
      <c r="AO100" s="62">
        <f t="shared" si="90"/>
        <v>513.80016421153414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1.1368683772161603E-13</v>
      </c>
      <c r="BE100" s="14">
        <f>BD100*VLOOKUP('Données projet'!$B$11,Paramètres!$A$1:$I$89,3,0)*VLOOKUP('Données projet'!$B$11,Paramètres!$A$1:$I$89,5,0)</f>
        <v>6.7984728957526396E-14</v>
      </c>
      <c r="BF100" s="14">
        <f t="shared" si="91"/>
        <v>1.0682447123141398E-12</v>
      </c>
      <c r="BG100" s="22">
        <f t="shared" si="61"/>
        <v>1.978932943548152E-12</v>
      </c>
      <c r="BH100" s="62">
        <f t="shared" si="62"/>
        <v>293.3333333333353</v>
      </c>
      <c r="BI100" s="62">
        <f ca="1">AVERAGE(OFFSET($BH$3,0,0,'Données projet'!$E$11+1,1))-AVERAGE(OFFSET($H$3,0,0,'Données projet'!$E$11+1,1))</f>
        <v>187.13674266165236</v>
      </c>
      <c r="BJ100" s="62">
        <f t="shared" si="92"/>
        <v>439.28159165815276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14.146078190624692</v>
      </c>
      <c r="BQ100" s="23">
        <f>EXP(-LN(2)/25)*BQ99+(1-EXP(-LN(2)/25))/(LN(2)/25)*Calculateur!BL100*Calculateur!BN100*VLOOKUP('Données projet'!$B$11,Paramètres!$A$1:$I$89,3,0)*0.475*44/12</f>
        <v>6.8578309999271543</v>
      </c>
      <c r="BR100" s="23">
        <f>EXP(-LN(2)/2)*BR99+(1-EXP(-LN(2)/2))/(LN(2)/2)*BL100*BO100*VLOOKUP('Données projet'!$B$11,Paramètres!$A$1:$I$89,3,0)*0.475*44/12</f>
        <v>3.5863827481467509E-9</v>
      </c>
      <c r="BS100" s="24">
        <f t="shared" si="63"/>
        <v>21.003909194138227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>
        <f>BY100*VLOOKUP('Données projet'!$B$12,Paramètres!$A$1:$I$89,3,0)*VLOOKUP('Données projet'!$B$12,Paramètres!$A$1:$I$89,5,0)</f>
        <v>0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123.96745898973995</v>
      </c>
      <c r="CE100" s="62">
        <f t="shared" si="94"/>
        <v>638.75149573151157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31.650253222485336</v>
      </c>
      <c r="CL100" s="23">
        <f>EXP(-LN(2)/25)*CL99+(1-EXP(-LN(2)/25))/(LN(2)/25)*Calculateur!CG100*Calculateur!CI100*VLOOKUP('Données projet'!$B$12,Paramètres!$A$1:$I$89,3,0)*0.475*44/12</f>
        <v>4.6718189532193906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36.322072175704726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121.59687193641378</v>
      </c>
      <c r="T101" s="62">
        <f t="shared" si="88"/>
        <v>625.69364310937681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30.355054299333272</v>
      </c>
      <c r="AA101" s="23">
        <f>EXP(-LN(2)/25)*AA100+(1-EXP(-LN(2)/25))/(LN(2)/25)*Calculateur!V101*Calculateur!X101*VLOOKUP('Données projet'!$B$9,Paramètres!$A$1:$I$89,3,0)*0.475*44/12</f>
        <v>4.445283735257604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34.800338034590879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-5.6843418860808015E-14</v>
      </c>
      <c r="AJ101" s="14">
        <f>AI101*VLOOKUP('Données projet'!$B$10,Paramètres!$A$1:$I$89,3,0)*VLOOKUP('Données projet'!$B$10,Paramètres!$A$1:$I$89,5,0)</f>
        <v>-5.1431925385259088E-14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366.86025470473652</v>
      </c>
      <c r="AO101" s="62">
        <f t="shared" si="90"/>
        <v>513.80016421153414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1.1368683772161603E-13</v>
      </c>
      <c r="BE101" s="14">
        <f>BD101*VLOOKUP('Données projet'!$B$11,Paramètres!$A$1:$I$89,3,0)*VLOOKUP('Données projet'!$B$11,Paramètres!$A$1:$I$89,5,0)</f>
        <v>6.7984728957526396E-14</v>
      </c>
      <c r="BF101" s="14">
        <f t="shared" si="91"/>
        <v>1.0682447123141398E-12</v>
      </c>
      <c r="BG101" s="22">
        <f t="shared" si="61"/>
        <v>1.978932943548152E-12</v>
      </c>
      <c r="BH101" s="62">
        <f t="shared" si="62"/>
        <v>293.3333333333353</v>
      </c>
      <c r="BI101" s="62">
        <f ca="1">AVERAGE(OFFSET($BH$3,0,0,'Données projet'!$E$11+1,1))-AVERAGE(OFFSET($H$3,0,0,'Données projet'!$E$11+1,1))</f>
        <v>187.13674266165236</v>
      </c>
      <c r="BJ101" s="62">
        <f t="shared" si="92"/>
        <v>439.28159165815276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13.868682225562269</v>
      </c>
      <c r="BQ101" s="23">
        <f>EXP(-LN(2)/25)*BQ100+(1-EXP(-LN(2)/25))/(LN(2)/25)*Calculateur!BL101*Calculateur!BN101*VLOOKUP('Données projet'!$B$11,Paramètres!$A$1:$I$89,3,0)*0.475*44/12</f>
        <v>6.6703032505964881</v>
      </c>
      <c r="BR101" s="23">
        <f>EXP(-LN(2)/2)*BR100+(1-EXP(-LN(2)/2))/(LN(2)/2)*BL101*BO101*VLOOKUP('Données projet'!$B$11,Paramètres!$A$1:$I$89,3,0)*0.475*44/12</f>
        <v>2.5359555611450137E-9</v>
      </c>
      <c r="BS101" s="24">
        <f t="shared" si="63"/>
        <v>20.538985478694713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>
        <f>BY101*VLOOKUP('Données projet'!$B$12,Paramètres!$A$1:$I$89,3,0)*VLOOKUP('Données projet'!$B$12,Paramètres!$A$1:$I$89,5,0)</f>
        <v>0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123.96745898973995</v>
      </c>
      <c r="CE101" s="62">
        <f t="shared" si="94"/>
        <v>638.75149573151157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31.029611061540677</v>
      </c>
      <c r="CL101" s="23">
        <f>EXP(-LN(2)/25)*CL100+(1-EXP(-LN(2)/25))/(LN(2)/25)*Calculateur!CG101*Calculateur!CI101*VLOOKUP('Données projet'!$B$12,Paramètres!$A$1:$I$89,3,0)*0.475*44/12</f>
        <v>4.5440678182633247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35.573678879804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121.59687193641378</v>
      </c>
      <c r="T102" s="62">
        <f t="shared" si="88"/>
        <v>625.69364310937681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29.759810199278288</v>
      </c>
      <c r="AA102" s="23">
        <f>EXP(-LN(2)/25)*AA101+(1-EXP(-LN(2)/25))/(LN(2)/25)*Calculateur!V102*Calculateur!X102*VLOOKUP('Données projet'!$B$9,Paramètres!$A$1:$I$89,3,0)*0.475*44/12</f>
        <v>4.3237272177496733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34.083537417027962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-5.6843418860808015E-14</v>
      </c>
      <c r="AJ102" s="14">
        <f>AI102*VLOOKUP('Données projet'!$B$10,Paramètres!$A$1:$I$89,3,0)*VLOOKUP('Données projet'!$B$10,Paramètres!$A$1:$I$89,5,0)</f>
        <v>-5.1431925385259088E-14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366.86025470473652</v>
      </c>
      <c r="AO102" s="62">
        <f t="shared" si="90"/>
        <v>513.80016421153414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1.1368683772161603E-13</v>
      </c>
      <c r="BE102" s="14">
        <f>BD102*VLOOKUP('Données projet'!$B$11,Paramètres!$A$1:$I$89,3,0)*VLOOKUP('Données projet'!$B$11,Paramètres!$A$1:$I$89,5,0)</f>
        <v>6.7984728957526396E-14</v>
      </c>
      <c r="BF102" s="14">
        <f t="shared" si="91"/>
        <v>1.0682447123141398E-12</v>
      </c>
      <c r="BG102" s="22">
        <f t="shared" si="61"/>
        <v>1.978932943548152E-12</v>
      </c>
      <c r="BH102" s="62">
        <f t="shared" si="62"/>
        <v>293.3333333333353</v>
      </c>
      <c r="BI102" s="62">
        <f ca="1">AVERAGE(OFFSET($BH$3,0,0,'Données projet'!$E$11+1,1))-AVERAGE(OFFSET($H$3,0,0,'Données projet'!$E$11+1,1))</f>
        <v>187.13674266165236</v>
      </c>
      <c r="BJ102" s="62">
        <f t="shared" si="92"/>
        <v>439.28159165815276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13.596725826179888</v>
      </c>
      <c r="BQ102" s="23">
        <f>EXP(-LN(2)/25)*BQ101+(1-EXP(-LN(2)/25))/(LN(2)/25)*Calculateur!BL102*Calculateur!BN102*VLOOKUP('Données projet'!$B$11,Paramètres!$A$1:$I$89,3,0)*0.475*44/12</f>
        <v>6.4879034574329246</v>
      </c>
      <c r="BR102" s="23">
        <f>EXP(-LN(2)/2)*BR101+(1-EXP(-LN(2)/2))/(LN(2)/2)*BL102*BO102*VLOOKUP('Données projet'!$B$11,Paramètres!$A$1:$I$89,3,0)*0.475*44/12</f>
        <v>1.7931913740733756E-9</v>
      </c>
      <c r="BS102" s="24">
        <f t="shared" si="63"/>
        <v>20.084629285406006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>
        <f>BY102*VLOOKUP('Données projet'!$B$12,Paramètres!$A$1:$I$89,3,0)*VLOOKUP('Données projet'!$B$12,Paramètres!$A$1:$I$89,5,0)</f>
        <v>0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123.96745898973995</v>
      </c>
      <c r="CE102" s="62">
        <f t="shared" si="94"/>
        <v>638.75149573151157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30.421139314817808</v>
      </c>
      <c r="CL102" s="23">
        <f>EXP(-LN(2)/25)*CL101+(1-EXP(-LN(2)/25))/(LN(2)/25)*Calculateur!CG102*Calculateur!CI102*VLOOKUP('Données projet'!$B$12,Paramètres!$A$1:$I$89,3,0)*0.475*44/12</f>
        <v>4.4198100448107729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34.840949359628581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121.59687193641378</v>
      </c>
      <c r="T103" s="62">
        <f t="shared" si="88"/>
        <v>625.69364310937681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29.176238472962332</v>
      </c>
      <c r="AA103" s="23">
        <f>EXP(-LN(2)/25)*AA102+(1-EXP(-LN(2)/25))/(LN(2)/25)*Calculateur!V103*Calculateur!X103*VLOOKUP('Données projet'!$B$9,Paramètres!$A$1:$I$89,3,0)*0.475*44/12</f>
        <v>4.2054946696053763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33.381733142567711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-5.6843418860808015E-14</v>
      </c>
      <c r="AJ103" s="14">
        <f>AI103*VLOOKUP('Données projet'!$B$10,Paramètres!$A$1:$I$89,3,0)*VLOOKUP('Données projet'!$B$10,Paramètres!$A$1:$I$89,5,0)</f>
        <v>-5.1431925385259088E-14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366.86025470473652</v>
      </c>
      <c r="AO103" s="62">
        <f t="shared" si="90"/>
        <v>513.80016421153414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1.1368683772161603E-13</v>
      </c>
      <c r="BE103" s="14">
        <f>BD103*VLOOKUP('Données projet'!$B$11,Paramètres!$A$1:$I$89,3,0)*VLOOKUP('Données projet'!$B$11,Paramètres!$A$1:$I$89,5,0)</f>
        <v>6.7984728957526396E-14</v>
      </c>
      <c r="BF103" s="14">
        <f t="shared" si="91"/>
        <v>1.0682447123141398E-12</v>
      </c>
      <c r="BG103" s="22">
        <f t="shared" si="61"/>
        <v>1.978932943548152E-12</v>
      </c>
      <c r="BH103" s="62">
        <f t="shared" si="62"/>
        <v>293.3333333333353</v>
      </c>
      <c r="BI103" s="62">
        <f ca="1">AVERAGE(OFFSET($BH$3,0,0,'Données projet'!$E$11+1,1))-AVERAGE(OFFSET($H$3,0,0,'Données projet'!$E$11+1,1))</f>
        <v>187.13674266165236</v>
      </c>
      <c r="BJ103" s="62">
        <f t="shared" si="92"/>
        <v>439.28159165815276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13.330102325912371</v>
      </c>
      <c r="BQ103" s="23">
        <f>EXP(-LN(2)/25)*BQ102+(1-EXP(-LN(2)/25))/(LN(2)/25)*Calculateur!BL103*Calculateur!BN103*VLOOKUP('Données projet'!$B$11,Paramètres!$A$1:$I$89,3,0)*0.475*44/12</f>
        <v>6.310491396205407</v>
      </c>
      <c r="BR103" s="23">
        <f>EXP(-LN(2)/2)*BR102+(1-EXP(-LN(2)/2))/(LN(2)/2)*BL103*BO103*VLOOKUP('Données projet'!$B$11,Paramètres!$A$1:$I$89,3,0)*0.475*44/12</f>
        <v>1.267977780572507E-9</v>
      </c>
      <c r="BS103" s="24">
        <f t="shared" si="63"/>
        <v>19.640593723385756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>
        <f>BY103*VLOOKUP('Données projet'!$B$12,Paramètres!$A$1:$I$89,3,0)*VLOOKUP('Données projet'!$B$12,Paramètres!$A$1:$I$89,5,0)</f>
        <v>0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123.96745898973995</v>
      </c>
      <c r="CE103" s="62">
        <f t="shared" si="94"/>
        <v>638.75149573151157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29.824599327917053</v>
      </c>
      <c r="CL103" s="23">
        <f>EXP(-LN(2)/25)*CL102+(1-EXP(-LN(2)/25))/(LN(2)/25)*Calculateur!CG103*Calculateur!CI103*VLOOKUP('Données projet'!$B$12,Paramètres!$A$1:$I$89,3,0)*0.475*44/12</f>
        <v>4.2989501067077134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34.123549434624763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121.59687193641378</v>
      </c>
      <c r="T104" s="62">
        <f t="shared" si="88"/>
        <v>625.69364310937681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28.604110232255824</v>
      </c>
      <c r="AA104" s="23">
        <f>EXP(-LN(2)/25)*AA103+(1-EXP(-LN(2)/25))/(LN(2)/25)*Calculateur!V104*Calculateur!X104*VLOOKUP('Données projet'!$B$9,Paramètres!$A$1:$I$89,3,0)*0.475*44/12</f>
        <v>4.0904951967076641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32.694605428963484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-5.6843418860808015E-14</v>
      </c>
      <c r="AJ104" s="14">
        <f>AI104*VLOOKUP('Données projet'!$B$10,Paramètres!$A$1:$I$89,3,0)*VLOOKUP('Données projet'!$B$10,Paramètres!$A$1:$I$89,5,0)</f>
        <v>-5.1431925385259088E-14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366.86025470473652</v>
      </c>
      <c r="AO104" s="62">
        <f t="shared" si="90"/>
        <v>513.80016421153414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1.1368683772161603E-13</v>
      </c>
      <c r="BE104" s="14">
        <f>BD104*VLOOKUP('Données projet'!$B$11,Paramètres!$A$1:$I$89,3,0)*VLOOKUP('Données projet'!$B$11,Paramètres!$A$1:$I$89,5,0)</f>
        <v>6.7984728957526396E-14</v>
      </c>
      <c r="BF104" s="14">
        <f t="shared" si="91"/>
        <v>1.0682447123141398E-12</v>
      </c>
      <c r="BG104" s="22">
        <f t="shared" si="61"/>
        <v>1.978932943548152E-12</v>
      </c>
      <c r="BH104" s="62">
        <f t="shared" si="62"/>
        <v>293.3333333333353</v>
      </c>
      <c r="BI104" s="62">
        <f ca="1">AVERAGE(OFFSET($BH$3,0,0,'Données projet'!$E$11+1,1))-AVERAGE(OFFSET($H$3,0,0,'Données projet'!$E$11+1,1))</f>
        <v>187.13674266165236</v>
      </c>
      <c r="BJ104" s="62">
        <f t="shared" si="92"/>
        <v>439.28159165815276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13.068707149860822</v>
      </c>
      <c r="BQ104" s="23">
        <f>EXP(-LN(2)/25)*BQ103+(1-EXP(-LN(2)/25))/(LN(2)/25)*Calculateur!BL104*Calculateur!BN104*VLOOKUP('Données projet'!$B$11,Paramètres!$A$1:$I$89,3,0)*0.475*44/12</f>
        <v>6.13793067712185</v>
      </c>
      <c r="BR104" s="23">
        <f>EXP(-LN(2)/2)*BR103+(1-EXP(-LN(2)/2))/(LN(2)/2)*BL104*BO104*VLOOKUP('Données projet'!$B$11,Paramètres!$A$1:$I$89,3,0)*0.475*44/12</f>
        <v>8.9659568703668793E-10</v>
      </c>
      <c r="BS104" s="24">
        <f t="shared" si="63"/>
        <v>19.206637827879266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>
        <f>BY104*VLOOKUP('Données projet'!$B$12,Paramètres!$A$1:$I$89,3,0)*VLOOKUP('Données projet'!$B$12,Paramètres!$A$1:$I$89,5,0)</f>
        <v>0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123.96745898973995</v>
      </c>
      <c r="CE104" s="62">
        <f t="shared" si="94"/>
        <v>638.75149573151157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29.239757126305957</v>
      </c>
      <c r="CL104" s="23">
        <f>EXP(-LN(2)/25)*CL103+(1-EXP(-LN(2)/25))/(LN(2)/25)*Calculateur!CG104*Calculateur!CI104*VLOOKUP('Données projet'!$B$12,Paramètres!$A$1:$I$89,3,0)*0.475*44/12</f>
        <v>4.1813950899678298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33.421152216273789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121.59687193641378</v>
      </c>
      <c r="T105" s="62">
        <f t="shared" si="88"/>
        <v>625.69364310937681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28.043201077385802</v>
      </c>
      <c r="AA105" s="23">
        <f>EXP(-LN(2)/25)*AA104+(1-EXP(-LN(2)/25))/(LN(2)/25)*Calculateur!V105*Calculateur!X105*VLOOKUP('Données projet'!$B$9,Paramètres!$A$1:$I$89,3,0)*0.475*44/12</f>
        <v>3.9786403904438998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32.021841467829702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-5.6843418860808015E-14</v>
      </c>
      <c r="AJ105" s="14">
        <f>AI105*VLOOKUP('Données projet'!$B$10,Paramètres!$A$1:$I$89,3,0)*VLOOKUP('Données projet'!$B$10,Paramètres!$A$1:$I$89,5,0)</f>
        <v>-5.1431925385259088E-14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366.86025470473652</v>
      </c>
      <c r="AO105" s="62">
        <f t="shared" si="90"/>
        <v>513.80016421153414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1.1368683772161603E-13</v>
      </c>
      <c r="BE105" s="14">
        <f>BD105*VLOOKUP('Données projet'!$B$11,Paramètres!$A$1:$I$89,3,0)*VLOOKUP('Données projet'!$B$11,Paramètres!$A$1:$I$89,5,0)</f>
        <v>6.7984728957526396E-14</v>
      </c>
      <c r="BF105" s="14">
        <f t="shared" si="91"/>
        <v>1.0682447123141398E-12</v>
      </c>
      <c r="BG105" s="22">
        <f t="shared" si="61"/>
        <v>1.978932943548152E-12</v>
      </c>
      <c r="BH105" s="62">
        <f t="shared" si="62"/>
        <v>293.3333333333353</v>
      </c>
      <c r="BI105" s="62">
        <f ca="1">AVERAGE(OFFSET($BH$3,0,0,'Données projet'!$E$11+1,1))-AVERAGE(OFFSET($H$3,0,0,'Données projet'!$E$11+1,1))</f>
        <v>187.13674266165236</v>
      </c>
      <c r="BJ105" s="62">
        <f t="shared" si="92"/>
        <v>439.28159165815276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12.812437773776329</v>
      </c>
      <c r="BQ105" s="23">
        <f>EXP(-LN(2)/25)*BQ104+(1-EXP(-LN(2)/25))/(LN(2)/25)*Calculateur!BL105*Calculateur!BN105*VLOOKUP('Données projet'!$B$11,Paramètres!$A$1:$I$89,3,0)*0.475*44/12</f>
        <v>5.9700886399762068</v>
      </c>
      <c r="BR105" s="23">
        <f>EXP(-LN(2)/2)*BR104+(1-EXP(-LN(2)/2))/(LN(2)/2)*BL105*BO105*VLOOKUP('Données projet'!$B$11,Paramètres!$A$1:$I$89,3,0)*0.475*44/12</f>
        <v>6.3398889028625362E-10</v>
      </c>
      <c r="BS105" s="24">
        <f t="shared" si="63"/>
        <v>18.782526414386524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>
        <f>BY105*VLOOKUP('Données projet'!$B$12,Paramètres!$A$1:$I$89,3,0)*VLOOKUP('Données projet'!$B$12,Paramètres!$A$1:$I$89,5,0)</f>
        <v>0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123.96745898973995</v>
      </c>
      <c r="CE105" s="62">
        <f t="shared" si="94"/>
        <v>638.75149573151157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28.666383323549933</v>
      </c>
      <c r="CL105" s="23">
        <f>EXP(-LN(2)/25)*CL104+(1-EXP(-LN(2)/25))/(LN(2)/25)*Calculateur!CG105*Calculateur!CI105*VLOOKUP('Données projet'!$B$12,Paramètres!$A$1:$I$89,3,0)*0.475*44/12</f>
        <v>4.0670546213426482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32.733437944892579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121.59687193641378</v>
      </c>
      <c r="T106" s="62">
        <f t="shared" si="88"/>
        <v>625.69364310937681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27.493291008921979</v>
      </c>
      <c r="AA106" s="23">
        <f>EXP(-LN(2)/25)*AA105+(1-EXP(-LN(2)/25))/(LN(2)/25)*Calculateur!V106*Calculateur!X106*VLOOKUP('Données projet'!$B$9,Paramètres!$A$1:$I$89,3,0)*0.475*44/12</f>
        <v>3.8698442597396068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31.363135268661587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-5.6843418860808015E-14</v>
      </c>
      <c r="AJ106" s="14">
        <f>AI106*VLOOKUP('Données projet'!$B$10,Paramètres!$A$1:$I$89,3,0)*VLOOKUP('Données projet'!$B$10,Paramètres!$A$1:$I$89,5,0)</f>
        <v>-5.1431925385259088E-14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366.86025470473652</v>
      </c>
      <c r="AO106" s="62">
        <f t="shared" si="90"/>
        <v>513.80016421153414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1.1368683772161603E-13</v>
      </c>
      <c r="BE106" s="14">
        <f>BD106*VLOOKUP('Données projet'!$B$11,Paramètres!$A$1:$I$89,3,0)*VLOOKUP('Données projet'!$B$11,Paramètres!$A$1:$I$89,5,0)</f>
        <v>6.7984728957526396E-14</v>
      </c>
      <c r="BF106" s="14">
        <f t="shared" si="91"/>
        <v>1.0682447123141398E-12</v>
      </c>
      <c r="BG106" s="22">
        <f t="shared" si="61"/>
        <v>1.978932943548152E-12</v>
      </c>
      <c r="BH106" s="62">
        <f t="shared" si="62"/>
        <v>293.3333333333353</v>
      </c>
      <c r="BI106" s="62">
        <f ca="1">AVERAGE(OFFSET($BH$3,0,0,'Données projet'!$E$11+1,1))-AVERAGE(OFFSET($H$3,0,0,'Données projet'!$E$11+1,1))</f>
        <v>187.13674266165236</v>
      </c>
      <c r="BJ106" s="62">
        <f t="shared" si="92"/>
        <v>439.28159165815276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12.561193683847968</v>
      </c>
      <c r="BQ106" s="23">
        <f>EXP(-LN(2)/25)*BQ105+(1-EXP(-LN(2)/25))/(LN(2)/25)*Calculateur!BL106*Calculateur!BN106*VLOOKUP('Données projet'!$B$11,Paramètres!$A$1:$I$89,3,0)*0.475*44/12</f>
        <v>5.806836252162741</v>
      </c>
      <c r="BR106" s="23">
        <f>EXP(-LN(2)/2)*BR105+(1-EXP(-LN(2)/2))/(LN(2)/2)*BL106*BO106*VLOOKUP('Données projet'!$B$11,Paramètres!$A$1:$I$89,3,0)*0.475*44/12</f>
        <v>4.4829784351834407E-10</v>
      </c>
      <c r="BS106" s="24">
        <f t="shared" si="63"/>
        <v>18.368029936459006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>
        <f>BY106*VLOOKUP('Données projet'!$B$12,Paramètres!$A$1:$I$89,3,0)*VLOOKUP('Données projet'!$B$12,Paramètres!$A$1:$I$89,5,0)</f>
        <v>0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123.96745898973995</v>
      </c>
      <c r="CE106" s="62">
        <f t="shared" si="94"/>
        <v>638.75149573151157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28.10425303134247</v>
      </c>
      <c r="CL106" s="23">
        <f>EXP(-LN(2)/25)*CL105+(1-EXP(-LN(2)/25))/(LN(2)/25)*Calculateur!CG106*Calculateur!CI106*VLOOKUP('Données projet'!$B$12,Paramètres!$A$1:$I$89,3,0)*0.475*44/12</f>
        <v>3.9558407988449265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32.060093830187398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121.59687193641378</v>
      </c>
      <c r="T107" s="62">
        <f t="shared" si="88"/>
        <v>625.69364310937681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26.95416434148871</v>
      </c>
      <c r="AA107" s="23">
        <f>EXP(-LN(2)/25)*AA106+(1-EXP(-LN(2)/25))/(LN(2)/25)*Calculateur!V107*Calculateur!X107*VLOOKUP('Données projet'!$B$9,Paramètres!$A$1:$I$89,3,0)*0.475*44/12</f>
        <v>3.7640231649507623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30.71818750643947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-5.6843418860808015E-14</v>
      </c>
      <c r="AJ107" s="14">
        <f>AI107*VLOOKUP('Données projet'!$B$10,Paramètres!$A$1:$I$89,3,0)*VLOOKUP('Données projet'!$B$10,Paramètres!$A$1:$I$89,5,0)</f>
        <v>-5.1431925385259088E-14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366.86025470473652</v>
      </c>
      <c r="AO107" s="62">
        <f t="shared" si="90"/>
        <v>513.80016421153414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1.1368683772161603E-13</v>
      </c>
      <c r="BE107" s="14">
        <f>BD107*VLOOKUP('Données projet'!$B$11,Paramètres!$A$1:$I$89,3,0)*VLOOKUP('Données projet'!$B$11,Paramètres!$A$1:$I$89,5,0)</f>
        <v>6.7984728957526396E-14</v>
      </c>
      <c r="BF107" s="14">
        <f t="shared" si="91"/>
        <v>1.0682447123141398E-12</v>
      </c>
      <c r="BG107" s="22">
        <f t="shared" si="61"/>
        <v>1.978932943548152E-12</v>
      </c>
      <c r="BH107" s="62">
        <f t="shared" si="62"/>
        <v>293.3333333333353</v>
      </c>
      <c r="BI107" s="62">
        <f ca="1">AVERAGE(OFFSET($BH$3,0,0,'Données projet'!$E$11+1,1))-AVERAGE(OFFSET($H$3,0,0,'Données projet'!$E$11+1,1))</f>
        <v>187.13674266165236</v>
      </c>
      <c r="BJ107" s="62">
        <f t="shared" si="92"/>
        <v>439.28159165815276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12.314876337279339</v>
      </c>
      <c r="BQ107" s="23">
        <f>EXP(-LN(2)/25)*BQ106+(1-EXP(-LN(2)/25))/(LN(2)/25)*Calculateur!BL107*Calculateur!BN107*VLOOKUP('Données projet'!$B$11,Paramètres!$A$1:$I$89,3,0)*0.475*44/12</f>
        <v>5.6480480094791039</v>
      </c>
      <c r="BR107" s="23">
        <f>EXP(-LN(2)/2)*BR106+(1-EXP(-LN(2)/2))/(LN(2)/2)*BL107*BO107*VLOOKUP('Données projet'!$B$11,Paramètres!$A$1:$I$89,3,0)*0.475*44/12</f>
        <v>3.1699444514312686E-10</v>
      </c>
      <c r="BS107" s="24">
        <f t="shared" si="63"/>
        <v>17.962924347075436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>
        <f>BY107*VLOOKUP('Données projet'!$B$12,Paramètres!$A$1:$I$89,3,0)*VLOOKUP('Données projet'!$B$12,Paramètres!$A$1:$I$89,5,0)</f>
        <v>0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123.96745898973995</v>
      </c>
      <c r="CE107" s="62">
        <f t="shared" si="94"/>
        <v>638.75149573151157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27.553145771299572</v>
      </c>
      <c r="CL107" s="23">
        <f>EXP(-LN(2)/25)*CL106+(1-EXP(-LN(2)/25))/(LN(2)/25)*Calculateur!CG107*Calculateur!CI107*VLOOKUP('Données projet'!$B$12,Paramètres!$A$1:$I$89,3,0)*0.475*44/12</f>
        <v>3.8476681241718853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31.400813895471458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121.59687193641378</v>
      </c>
      <c r="T108" s="62">
        <f t="shared" si="88"/>
        <v>625.69364310937681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26.425609619169009</v>
      </c>
      <c r="AA108" s="23">
        <f>EXP(-LN(2)/25)*AA107+(1-EXP(-LN(2)/25))/(LN(2)/25)*Calculateur!V108*Calculateur!X108*VLOOKUP('Données projet'!$B$9,Paramètres!$A$1:$I$89,3,0)*0.475*44/12</f>
        <v>3.6610957535638082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30.086705372732816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-5.6843418860808015E-14</v>
      </c>
      <c r="AJ108" s="14">
        <f>AI108*VLOOKUP('Données projet'!$B$10,Paramètres!$A$1:$I$89,3,0)*VLOOKUP('Données projet'!$B$10,Paramètres!$A$1:$I$89,5,0)</f>
        <v>-5.1431925385259088E-14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366.86025470473652</v>
      </c>
      <c r="AO108" s="62">
        <f t="shared" si="90"/>
        <v>513.80016421153414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1.1368683772161603E-13</v>
      </c>
      <c r="BE108" s="14">
        <f>BD108*VLOOKUP('Données projet'!$B$11,Paramètres!$A$1:$I$89,3,0)*VLOOKUP('Données projet'!$B$11,Paramètres!$A$1:$I$89,5,0)</f>
        <v>6.7984728957526396E-14</v>
      </c>
      <c r="BF108" s="14">
        <f t="shared" si="91"/>
        <v>1.0682447123141398E-12</v>
      </c>
      <c r="BG108" s="22">
        <f t="shared" si="61"/>
        <v>1.978932943548152E-12</v>
      </c>
      <c r="BH108" s="62">
        <f t="shared" si="62"/>
        <v>293.3333333333353</v>
      </c>
      <c r="BI108" s="62">
        <f ca="1">AVERAGE(OFFSET($BH$3,0,0,'Données projet'!$E$11+1,1))-AVERAGE(OFFSET($H$3,0,0,'Données projet'!$E$11+1,1))</f>
        <v>187.13674266165236</v>
      </c>
      <c r="BJ108" s="62">
        <f t="shared" si="92"/>
        <v>439.28159165815276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12.073389123638174</v>
      </c>
      <c r="BQ108" s="23">
        <f>EXP(-LN(2)/25)*BQ107+(1-EXP(-LN(2)/25))/(LN(2)/25)*Calculateur!BL108*Calculateur!BN108*VLOOKUP('Données projet'!$B$11,Paramètres!$A$1:$I$89,3,0)*0.475*44/12</f>
        <v>5.4936018396419621</v>
      </c>
      <c r="BR108" s="23">
        <f>EXP(-LN(2)/2)*BR107+(1-EXP(-LN(2)/2))/(LN(2)/2)*BL108*BO108*VLOOKUP('Données projet'!$B$11,Paramètres!$A$1:$I$89,3,0)*0.475*44/12</f>
        <v>2.2414892175917206E-10</v>
      </c>
      <c r="BS108" s="24">
        <f t="shared" si="63"/>
        <v>17.566990963504285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>
        <f>BY108*VLOOKUP('Données projet'!$B$12,Paramètres!$A$1:$I$89,3,0)*VLOOKUP('Données projet'!$B$12,Paramètres!$A$1:$I$89,5,0)</f>
        <v>0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123.96745898973995</v>
      </c>
      <c r="CE108" s="62">
        <f t="shared" si="94"/>
        <v>638.75149573151157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27.012845388483878</v>
      </c>
      <c r="CL108" s="23">
        <f>EXP(-LN(2)/25)*CL107+(1-EXP(-LN(2)/25))/(LN(2)/25)*Calculateur!CG108*Calculateur!CI108*VLOOKUP('Données projet'!$B$12,Paramètres!$A$1:$I$89,3,0)*0.475*44/12</f>
        <v>3.7424534369763323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30.755298825460212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121.59687193641378</v>
      </c>
      <c r="T109" s="62">
        <f t="shared" si="88"/>
        <v>625.69364310937681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25.907419532567449</v>
      </c>
      <c r="AA109" s="23">
        <f>EXP(-LN(2)/25)*AA108+(1-EXP(-LN(2)/25))/(LN(2)/25)*Calculateur!V109*Calculateur!X109*VLOOKUP('Données projet'!$B$9,Paramètres!$A$1:$I$89,3,0)*0.475*44/12</f>
        <v>3.5609828976539477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29.468402430221396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-5.6843418860808015E-14</v>
      </c>
      <c r="AJ109" s="14">
        <f>AI109*VLOOKUP('Données projet'!$B$10,Paramètres!$A$1:$I$89,3,0)*VLOOKUP('Données projet'!$B$10,Paramètres!$A$1:$I$89,5,0)</f>
        <v>-5.1431925385259088E-14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366.86025470473652</v>
      </c>
      <c r="AO109" s="62">
        <f t="shared" si="90"/>
        <v>513.80016421153414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1.1368683772161603E-13</v>
      </c>
      <c r="BE109" s="14">
        <f>BD109*VLOOKUP('Données projet'!$B$11,Paramètres!$A$1:$I$89,3,0)*VLOOKUP('Données projet'!$B$11,Paramètres!$A$1:$I$89,5,0)</f>
        <v>6.7984728957526396E-14</v>
      </c>
      <c r="BF109" s="14">
        <f t="shared" si="91"/>
        <v>1.0682447123141398E-12</v>
      </c>
      <c r="BG109" s="22">
        <f t="shared" si="61"/>
        <v>1.978932943548152E-12</v>
      </c>
      <c r="BH109" s="62">
        <f t="shared" si="62"/>
        <v>293.3333333333353</v>
      </c>
      <c r="BI109" s="62">
        <f ca="1">AVERAGE(OFFSET($BH$3,0,0,'Données projet'!$E$11+1,1))-AVERAGE(OFFSET($H$3,0,0,'Données projet'!$E$11+1,1))</f>
        <v>187.13674266165236</v>
      </c>
      <c r="BJ109" s="62">
        <f t="shared" si="92"/>
        <v>439.28159165815276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11.836637326963857</v>
      </c>
      <c r="BQ109" s="23">
        <f>EXP(-LN(2)/25)*BQ108+(1-EXP(-LN(2)/25))/(LN(2)/25)*Calculateur!BL109*Calculateur!BN109*VLOOKUP('Données projet'!$B$11,Paramètres!$A$1:$I$89,3,0)*0.475*44/12</f>
        <v>5.343379008440988</v>
      </c>
      <c r="BR109" s="23">
        <f>EXP(-LN(2)/2)*BR108+(1-EXP(-LN(2)/2))/(LN(2)/2)*BL109*BO109*VLOOKUP('Données projet'!$B$11,Paramètres!$A$1:$I$89,3,0)*0.475*44/12</f>
        <v>1.5849722257156346E-10</v>
      </c>
      <c r="BS109" s="24">
        <f t="shared" si="63"/>
        <v>17.180016335563341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>
        <f>BY109*VLOOKUP('Données projet'!$B$12,Paramètres!$A$1:$I$89,3,0)*VLOOKUP('Données projet'!$B$12,Paramètres!$A$1:$I$89,5,0)</f>
        <v>0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123.96745898973995</v>
      </c>
      <c r="CE109" s="62">
        <f t="shared" si="94"/>
        <v>638.75149573151157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26.483139966624506</v>
      </c>
      <c r="CL109" s="23">
        <f>EXP(-LN(2)/25)*CL108+(1-EXP(-LN(2)/25))/(LN(2)/25)*Calculateur!CG109*Calculateur!CI109*VLOOKUP('Données projet'!$B$12,Paramètres!$A$1:$I$89,3,0)*0.475*44/12</f>
        <v>3.6401158509351417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30.123255817559649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121.59687193641378</v>
      </c>
      <c r="T110" s="62">
        <f t="shared" si="88"/>
        <v>625.69364310937681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25.3993908374994</v>
      </c>
      <c r="AA110" s="23">
        <f>EXP(-LN(2)/25)*AA109+(1-EXP(-LN(2)/25))/(LN(2)/25)*Calculateur!V110*Calculateur!X110*VLOOKUP('Données projet'!$B$9,Paramètres!$A$1:$I$89,3,0)*0.475*44/12</f>
        <v>3.4636076330536487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28.862998470553048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-5.6843418860808015E-14</v>
      </c>
      <c r="AJ110" s="14">
        <f>AI110*VLOOKUP('Données projet'!$B$10,Paramètres!$A$1:$I$89,3,0)*VLOOKUP('Données projet'!$B$10,Paramètres!$A$1:$I$89,5,0)</f>
        <v>-5.1431925385259088E-14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366.86025470473652</v>
      </c>
      <c r="AO110" s="62">
        <f t="shared" si="90"/>
        <v>513.80016421153414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1.1368683772161603E-13</v>
      </c>
      <c r="BE110" s="14">
        <f>BD110*VLOOKUP('Données projet'!$B$11,Paramètres!$A$1:$I$89,3,0)*VLOOKUP('Données projet'!$B$11,Paramètres!$A$1:$I$89,5,0)</f>
        <v>6.7984728957526396E-14</v>
      </c>
      <c r="BF110" s="14">
        <f t="shared" si="91"/>
        <v>1.0682447123141398E-12</v>
      </c>
      <c r="BG110" s="22">
        <f t="shared" si="61"/>
        <v>1.978932943548152E-12</v>
      </c>
      <c r="BH110" s="62">
        <f t="shared" si="62"/>
        <v>293.3333333333353</v>
      </c>
      <c r="BI110" s="62">
        <f ca="1">AVERAGE(OFFSET($BH$3,0,0,'Données projet'!$E$11+1,1))-AVERAGE(OFFSET($H$3,0,0,'Données projet'!$E$11+1,1))</f>
        <v>187.13674266165236</v>
      </c>
      <c r="BJ110" s="62">
        <f t="shared" si="92"/>
        <v>439.28159165815276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11.604528088617984</v>
      </c>
      <c r="BQ110" s="23">
        <f>EXP(-LN(2)/25)*BQ109+(1-EXP(-LN(2)/25))/(LN(2)/25)*Calculateur!BL110*Calculateur!BN110*VLOOKUP('Données projet'!$B$11,Paramètres!$A$1:$I$89,3,0)*0.475*44/12</f>
        <v>5.1972640284590792</v>
      </c>
      <c r="BR110" s="23">
        <f>EXP(-LN(2)/2)*BR109+(1-EXP(-LN(2)/2))/(LN(2)/2)*BL110*BO110*VLOOKUP('Données projet'!$B$11,Paramètres!$A$1:$I$89,3,0)*0.475*44/12</f>
        <v>1.1207446087958606E-10</v>
      </c>
      <c r="BS110" s="24">
        <f t="shared" si="63"/>
        <v>16.801792117189137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>
        <f>BY110*VLOOKUP('Données projet'!$B$12,Paramètres!$A$1:$I$89,3,0)*VLOOKUP('Données projet'!$B$12,Paramètres!$A$1:$I$89,5,0)</f>
        <v>0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123.96745898973995</v>
      </c>
      <c r="CE110" s="62">
        <f t="shared" si="94"/>
        <v>638.75149573151157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25.96382174499939</v>
      </c>
      <c r="CL110" s="23">
        <f>EXP(-LN(2)/25)*CL109+(1-EXP(-LN(2)/25))/(LN(2)/25)*Calculateur!CG110*Calculateur!CI110*VLOOKUP('Données projet'!$B$12,Paramètres!$A$1:$I$89,3,0)*0.475*44/12</f>
        <v>3.5405766915659473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29.504398436565339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121.59687193641378</v>
      </c>
      <c r="T111" s="62">
        <f t="shared" si="88"/>
        <v>625.69364310937681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24.901324275274732</v>
      </c>
      <c r="AA111" s="23">
        <f>EXP(-LN(2)/25)*AA110+(1-EXP(-LN(2)/25))/(LN(2)/25)*Calculateur!V111*Calculateur!X111*VLOOKUP('Données projet'!$B$9,Paramètres!$A$1:$I$89,3,0)*0.475*44/12</f>
        <v>3.3688951001845875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28.27021937545932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-5.6843418860808015E-14</v>
      </c>
      <c r="AJ111" s="14">
        <f>AI111*VLOOKUP('Données projet'!$B$10,Paramètres!$A$1:$I$89,3,0)*VLOOKUP('Données projet'!$B$10,Paramètres!$A$1:$I$89,5,0)</f>
        <v>-5.1431925385259088E-14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366.86025470473652</v>
      </c>
      <c r="AO111" s="62">
        <f t="shared" si="90"/>
        <v>513.80016421153414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1.1368683772161603E-13</v>
      </c>
      <c r="BE111" s="14">
        <f>BD111*VLOOKUP('Données projet'!$B$11,Paramètres!$A$1:$I$89,3,0)*VLOOKUP('Données projet'!$B$11,Paramètres!$A$1:$I$89,5,0)</f>
        <v>6.7984728957526396E-14</v>
      </c>
      <c r="BF111" s="14">
        <f t="shared" si="91"/>
        <v>1.0682447123141398E-12</v>
      </c>
      <c r="BG111" s="22">
        <f t="shared" si="61"/>
        <v>1.978932943548152E-12</v>
      </c>
      <c r="BH111" s="62">
        <f t="shared" si="62"/>
        <v>293.3333333333353</v>
      </c>
      <c r="BI111" s="62">
        <f ca="1">AVERAGE(OFFSET($BH$3,0,0,'Données projet'!$E$11+1,1))-AVERAGE(OFFSET($H$3,0,0,'Données projet'!$E$11+1,1))</f>
        <v>187.13674266165236</v>
      </c>
      <c r="BJ111" s="62">
        <f t="shared" si="92"/>
        <v>439.28159165815276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11.376970370863418</v>
      </c>
      <c r="BQ111" s="23">
        <f>EXP(-LN(2)/25)*BQ110+(1-EXP(-LN(2)/25))/(LN(2)/25)*Calculateur!BL111*Calculateur!BN111*VLOOKUP('Données projet'!$B$11,Paramètres!$A$1:$I$89,3,0)*0.475*44/12</f>
        <v>5.0551445702886291</v>
      </c>
      <c r="BR111" s="23">
        <f>EXP(-LN(2)/2)*BR110+(1-EXP(-LN(2)/2))/(LN(2)/2)*BL111*BO111*VLOOKUP('Données projet'!$B$11,Paramètres!$A$1:$I$89,3,0)*0.475*44/12</f>
        <v>7.9248611285781742E-11</v>
      </c>
      <c r="BS111" s="24">
        <f t="shared" si="63"/>
        <v>16.432114941231298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>
        <f>BY111*VLOOKUP('Données projet'!$B$12,Paramètres!$A$1:$I$89,3,0)*VLOOKUP('Données projet'!$B$12,Paramètres!$A$1:$I$89,5,0)</f>
        <v>0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123.96745898973995</v>
      </c>
      <c r="CE111" s="62">
        <f t="shared" si="94"/>
        <v>638.75149573151157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25.454687036947504</v>
      </c>
      <c r="CL111" s="23">
        <f>EXP(-LN(2)/25)*CL110+(1-EXP(-LN(2)/25))/(LN(2)/25)*Calculateur!CG111*Calculateur!CI111*VLOOKUP('Données projet'!$B$12,Paramètres!$A$1:$I$89,3,0)*0.475*44/12</f>
        <v>3.4437594357442403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28.898446472691745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121.59687193641378</v>
      </c>
      <c r="T112" s="62">
        <f t="shared" si="88"/>
        <v>625.69364310937681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24.413024494544683</v>
      </c>
      <c r="AA112" s="23">
        <f>EXP(-LN(2)/25)*AA111+(1-EXP(-LN(2)/25))/(LN(2)/25)*Calculateur!V112*Calculateur!X112*VLOOKUP('Données projet'!$B$9,Paramètres!$A$1:$I$89,3,0)*0.475*44/12</f>
        <v>3.2767724865075465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27.689796981052229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-5.6843418860808015E-14</v>
      </c>
      <c r="AJ112" s="14">
        <f>AI112*VLOOKUP('Données projet'!$B$10,Paramètres!$A$1:$I$89,3,0)*VLOOKUP('Données projet'!$B$10,Paramètres!$A$1:$I$89,5,0)</f>
        <v>-5.1431925385259088E-14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366.86025470473652</v>
      </c>
      <c r="AO112" s="62">
        <f t="shared" si="90"/>
        <v>513.80016421153414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1.1368683772161603E-13</v>
      </c>
      <c r="BE112" s="14">
        <f>BD112*VLOOKUP('Données projet'!$B$11,Paramètres!$A$1:$I$89,3,0)*VLOOKUP('Données projet'!$B$11,Paramètres!$A$1:$I$89,5,0)</f>
        <v>6.7984728957526396E-14</v>
      </c>
      <c r="BF112" s="14">
        <f t="shared" si="91"/>
        <v>1.0682447123141398E-12</v>
      </c>
      <c r="BG112" s="22">
        <f t="shared" si="61"/>
        <v>1.978932943548152E-12</v>
      </c>
      <c r="BH112" s="62">
        <f t="shared" si="62"/>
        <v>293.3333333333353</v>
      </c>
      <c r="BI112" s="62">
        <f ca="1">AVERAGE(OFFSET($BH$3,0,0,'Données projet'!$E$11+1,1))-AVERAGE(OFFSET($H$3,0,0,'Données projet'!$E$11+1,1))</f>
        <v>187.13674266165236</v>
      </c>
      <c r="BJ112" s="62">
        <f t="shared" si="92"/>
        <v>439.28159165815276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11.153874921157517</v>
      </c>
      <c r="BQ112" s="23">
        <f>EXP(-LN(2)/25)*BQ111+(1-EXP(-LN(2)/25))/(LN(2)/25)*Calculateur!BL112*Calculateur!BN112*VLOOKUP('Données projet'!$B$11,Paramètres!$A$1:$I$89,3,0)*0.475*44/12</f>
        <v>4.9169113761755874</v>
      </c>
      <c r="BR112" s="23">
        <f>EXP(-LN(2)/2)*BR111+(1-EXP(-LN(2)/2))/(LN(2)/2)*BL112*BO112*VLOOKUP('Données projet'!$B$11,Paramètres!$A$1:$I$89,3,0)*0.475*44/12</f>
        <v>5.6037230439793034E-11</v>
      </c>
      <c r="BS112" s="24">
        <f t="shared" si="63"/>
        <v>16.070786297389141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>
        <f>BY112*VLOOKUP('Données projet'!$B$12,Paramètres!$A$1:$I$89,3,0)*VLOOKUP('Données projet'!$B$12,Paramètres!$A$1:$I$89,5,0)</f>
        <v>0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123.96745898973995</v>
      </c>
      <c r="CE112" s="62">
        <f t="shared" si="94"/>
        <v>638.75149573151157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24.955536149979007</v>
      </c>
      <c r="CL112" s="23">
        <f>EXP(-LN(2)/25)*CL111+(1-EXP(-LN(2)/25))/(LN(2)/25)*Calculateur!CG112*Calculateur!CI112*VLOOKUP('Données projet'!$B$12,Paramètres!$A$1:$I$89,3,0)*0.475*44/12</f>
        <v>3.3495896528743763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28.305125802853382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121.59687193641378</v>
      </c>
      <c r="T113" s="62">
        <f t="shared" si="88"/>
        <v>625.69364310937681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23.934299974681291</v>
      </c>
      <c r="AA113" s="23">
        <f>EXP(-LN(2)/25)*AA112+(1-EXP(-LN(2)/25))/(LN(2)/25)*Calculateur!V113*Calculateur!X113*VLOOKUP('Données projet'!$B$9,Paramètres!$A$1:$I$89,3,0)*0.475*44/12</f>
        <v>3.1871689705460216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27.121468945227313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-5.6843418860808015E-14</v>
      </c>
      <c r="AJ113" s="14">
        <f>AI113*VLOOKUP('Données projet'!$B$10,Paramètres!$A$1:$I$89,3,0)*VLOOKUP('Données projet'!$B$10,Paramètres!$A$1:$I$89,5,0)</f>
        <v>-5.1431925385259088E-14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366.86025470473652</v>
      </c>
      <c r="AO113" s="62">
        <f t="shared" si="90"/>
        <v>513.80016421153414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1.1368683772161603E-13</v>
      </c>
      <c r="BE113" s="14">
        <f>BD113*VLOOKUP('Données projet'!$B$11,Paramètres!$A$1:$I$89,3,0)*VLOOKUP('Données projet'!$B$11,Paramètres!$A$1:$I$89,5,0)</f>
        <v>6.7984728957526396E-14</v>
      </c>
      <c r="BF113" s="14">
        <f t="shared" si="91"/>
        <v>1.0682447123141398E-12</v>
      </c>
      <c r="BG113" s="22">
        <f t="shared" si="61"/>
        <v>1.978932943548152E-12</v>
      </c>
      <c r="BH113" s="62">
        <f t="shared" si="62"/>
        <v>293.3333333333353</v>
      </c>
      <c r="BI113" s="62">
        <f ca="1">AVERAGE(OFFSET($BH$3,0,0,'Données projet'!$E$11+1,1))-AVERAGE(OFFSET($H$3,0,0,'Données projet'!$E$11+1,1))</f>
        <v>187.13674266165236</v>
      </c>
      <c r="BJ113" s="62">
        <f t="shared" si="92"/>
        <v>439.28159165815276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10.935154237145561</v>
      </c>
      <c r="BQ113" s="23">
        <f>EXP(-LN(2)/25)*BQ112+(1-EXP(-LN(2)/25))/(LN(2)/25)*Calculateur!BL113*Calculateur!BN113*VLOOKUP('Données projet'!$B$11,Paramètres!$A$1:$I$89,3,0)*0.475*44/12</f>
        <v>4.7824581760249343</v>
      </c>
      <c r="BR113" s="23">
        <f>EXP(-LN(2)/2)*BR112+(1-EXP(-LN(2)/2))/(LN(2)/2)*BL113*BO113*VLOOKUP('Données projet'!$B$11,Paramètres!$A$1:$I$89,3,0)*0.475*44/12</f>
        <v>3.9624305642890877E-11</v>
      </c>
      <c r="BS113" s="24">
        <f t="shared" si="63"/>
        <v>15.717612413210121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>
        <f>BY113*VLOOKUP('Données projet'!$B$12,Paramètres!$A$1:$I$89,3,0)*VLOOKUP('Données projet'!$B$12,Paramètres!$A$1:$I$89,5,0)</f>
        <v>0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123.96745898973995</v>
      </c>
      <c r="CE113" s="62">
        <f t="shared" si="94"/>
        <v>638.75149573151157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24.466173307451985</v>
      </c>
      <c r="CL113" s="23">
        <f>EXP(-LN(2)/25)*CL112+(1-EXP(-LN(2)/25))/(LN(2)/25)*Calculateur!CG113*Calculateur!CI113*VLOOKUP('Données projet'!$B$12,Paramètres!$A$1:$I$89,3,0)*0.475*44/12</f>
        <v>3.2579949476692622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27.724168255121249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121.59687193641378</v>
      </c>
      <c r="T114" s="62">
        <f t="shared" si="88"/>
        <v>625.69364310937681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23.464962950659295</v>
      </c>
      <c r="AA114" s="23">
        <f>EXP(-LN(2)/25)*AA113+(1-EXP(-LN(2)/25))/(LN(2)/25)*Calculateur!V114*Calculateur!X114*VLOOKUP('Données projet'!$B$9,Paramètres!$A$1:$I$89,3,0)*0.475*44/12</f>
        <v>3.1000156674405086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26.564978618099804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-5.6843418860808015E-14</v>
      </c>
      <c r="AJ114" s="14">
        <f>AI114*VLOOKUP('Données projet'!$B$10,Paramètres!$A$1:$I$89,3,0)*VLOOKUP('Données projet'!$B$10,Paramètres!$A$1:$I$89,5,0)</f>
        <v>-5.1431925385259088E-14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366.86025470473652</v>
      </c>
      <c r="AO114" s="62">
        <f t="shared" si="90"/>
        <v>513.80016421153414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1.1368683772161603E-13</v>
      </c>
      <c r="BE114" s="14">
        <f>BD114*VLOOKUP('Données projet'!$B$11,Paramètres!$A$1:$I$89,3,0)*VLOOKUP('Données projet'!$B$11,Paramètres!$A$1:$I$89,5,0)</f>
        <v>6.7984728957526396E-14</v>
      </c>
      <c r="BF114" s="14">
        <f t="shared" si="91"/>
        <v>1.0682447123141398E-12</v>
      </c>
      <c r="BG114" s="22">
        <f t="shared" si="61"/>
        <v>1.978932943548152E-12</v>
      </c>
      <c r="BH114" s="62">
        <f t="shared" si="62"/>
        <v>293.3333333333353</v>
      </c>
      <c r="BI114" s="62">
        <f ca="1">AVERAGE(OFFSET($BH$3,0,0,'Données projet'!$E$11+1,1))-AVERAGE(OFFSET($H$3,0,0,'Données projet'!$E$11+1,1))</f>
        <v>187.13674266165236</v>
      </c>
      <c r="BJ114" s="62">
        <f t="shared" si="92"/>
        <v>439.28159165815276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10.720722532340634</v>
      </c>
      <c r="BQ114" s="23">
        <f>EXP(-LN(2)/25)*BQ113+(1-EXP(-LN(2)/25))/(LN(2)/25)*Calculateur!BL114*Calculateur!BN114*VLOOKUP('Données projet'!$B$11,Paramètres!$A$1:$I$89,3,0)*0.475*44/12</f>
        <v>4.6516816057029873</v>
      </c>
      <c r="BR114" s="23">
        <f>EXP(-LN(2)/2)*BR113+(1-EXP(-LN(2)/2))/(LN(2)/2)*BL114*BO114*VLOOKUP('Données projet'!$B$11,Paramètres!$A$1:$I$89,3,0)*0.475*44/12</f>
        <v>2.801861521989652E-11</v>
      </c>
      <c r="BS114" s="24">
        <f t="shared" si="63"/>
        <v>15.372404138071639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>
        <f>BY114*VLOOKUP('Données projet'!$B$12,Paramètres!$A$1:$I$89,3,0)*VLOOKUP('Données projet'!$B$12,Paramètres!$A$1:$I$89,5,0)</f>
        <v>0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123.96745898973995</v>
      </c>
      <c r="CE114" s="62">
        <f t="shared" si="94"/>
        <v>638.75149573151157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23.986406571785057</v>
      </c>
      <c r="CL114" s="23">
        <f>EXP(-LN(2)/25)*CL113+(1-EXP(-LN(2)/25))/(LN(2)/25)*Calculateur!CG114*Calculateur!CI114*VLOOKUP('Données projet'!$B$12,Paramètres!$A$1:$I$89,3,0)*0.475*44/12</f>
        <v>3.1689049044947382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27.155311476279795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121.59687193641378</v>
      </c>
      <c r="T115" s="62">
        <f t="shared" si="88"/>
        <v>625.69364310937681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23.004829339411053</v>
      </c>
      <c r="AA115" s="23">
        <f>EXP(-LN(2)/25)*AA114+(1-EXP(-LN(2)/25))/(LN(2)/25)*Calculateur!V115*Calculateur!X115*VLOOKUP('Données projet'!$B$9,Paramètres!$A$1:$I$89,3,0)*0.475*44/12</f>
        <v>3.0152455759916093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26.020074915402663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-5.6843418860808015E-14</v>
      </c>
      <c r="AJ115" s="14">
        <f>AI115*VLOOKUP('Données projet'!$B$10,Paramètres!$A$1:$I$89,3,0)*VLOOKUP('Données projet'!$B$10,Paramètres!$A$1:$I$89,5,0)</f>
        <v>-5.1431925385259088E-14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366.86025470473652</v>
      </c>
      <c r="AO115" s="62">
        <f t="shared" si="90"/>
        <v>513.80016421153414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1.1368683772161603E-13</v>
      </c>
      <c r="BE115" s="14">
        <f>BD115*VLOOKUP('Données projet'!$B$11,Paramètres!$A$1:$I$89,3,0)*VLOOKUP('Données projet'!$B$11,Paramètres!$A$1:$I$89,5,0)</f>
        <v>6.7984728957526396E-14</v>
      </c>
      <c r="BF115" s="14">
        <f t="shared" si="91"/>
        <v>1.0682447123141398E-12</v>
      </c>
      <c r="BG115" s="22">
        <f t="shared" si="61"/>
        <v>1.978932943548152E-12</v>
      </c>
      <c r="BH115" s="62">
        <f t="shared" si="62"/>
        <v>293.3333333333353</v>
      </c>
      <c r="BI115" s="62">
        <f ca="1">AVERAGE(OFFSET($BH$3,0,0,'Données projet'!$E$11+1,1))-AVERAGE(OFFSET($H$3,0,0,'Données projet'!$E$11+1,1))</f>
        <v>187.13674266165236</v>
      </c>
      <c r="BJ115" s="62">
        <f t="shared" si="92"/>
        <v>439.28159165815276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10.510495702476506</v>
      </c>
      <c r="BQ115" s="23">
        <f>EXP(-LN(2)/25)*BQ114+(1-EXP(-LN(2)/25))/(LN(2)/25)*Calculateur!BL115*Calculateur!BN115*VLOOKUP('Données projet'!$B$11,Paramètres!$A$1:$I$89,3,0)*0.475*44/12</f>
        <v>4.5244811275737353</v>
      </c>
      <c r="BR115" s="23">
        <f>EXP(-LN(2)/2)*BR114+(1-EXP(-LN(2)/2))/(LN(2)/2)*BL115*BO115*VLOOKUP('Données projet'!$B$11,Paramètres!$A$1:$I$89,3,0)*0.475*44/12</f>
        <v>1.9812152821445439E-11</v>
      </c>
      <c r="BS115" s="24">
        <f t="shared" si="63"/>
        <v>15.034976830070052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>
        <f>BY115*VLOOKUP('Données projet'!$B$12,Paramètres!$A$1:$I$89,3,0)*VLOOKUP('Données projet'!$B$12,Paramètres!$A$1:$I$89,5,0)</f>
        <v>0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123.96745898973995</v>
      </c>
      <c r="CE115" s="62">
        <f t="shared" si="94"/>
        <v>638.75149573151157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23.516047769175742</v>
      </c>
      <c r="CL115" s="23">
        <f>EXP(-LN(2)/25)*CL114+(1-EXP(-LN(2)/25))/(LN(2)/25)*Calculateur!CG115*Calculateur!CI115*VLOOKUP('Données projet'!$B$12,Paramètres!$A$1:$I$89,3,0)*0.475*44/12</f>
        <v>3.0822510332358632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26.598298802411605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121.59687193641378</v>
      </c>
      <c r="T116" s="62">
        <f t="shared" si="88"/>
        <v>625.69364310937681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22.553718667625599</v>
      </c>
      <c r="AA116" s="23">
        <f>EXP(-LN(2)/25)*AA115+(1-EXP(-LN(2)/25))/(LN(2)/25)*Calculateur!V116*Calculateur!X116*VLOOKUP('Données projet'!$B$9,Paramètres!$A$1:$I$89,3,0)*0.475*44/12</f>
        <v>2.9327935271512451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25.486512194776843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-5.6843418860808015E-14</v>
      </c>
      <c r="AJ116" s="14">
        <f>AI116*VLOOKUP('Données projet'!$B$10,Paramètres!$A$1:$I$89,3,0)*VLOOKUP('Données projet'!$B$10,Paramètres!$A$1:$I$89,5,0)</f>
        <v>-5.1431925385259088E-14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366.86025470473652</v>
      </c>
      <c r="AO116" s="62">
        <f t="shared" si="90"/>
        <v>513.80016421153414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1.1368683772161603E-13</v>
      </c>
      <c r="BE116" s="14">
        <f>BD116*VLOOKUP('Données projet'!$B$11,Paramètres!$A$1:$I$89,3,0)*VLOOKUP('Données projet'!$B$11,Paramètres!$A$1:$I$89,5,0)</f>
        <v>6.7984728957526396E-14</v>
      </c>
      <c r="BF116" s="14">
        <f t="shared" si="91"/>
        <v>1.0682447123141398E-12</v>
      </c>
      <c r="BG116" s="22">
        <f t="shared" si="61"/>
        <v>1.978932943548152E-12</v>
      </c>
      <c r="BH116" s="62">
        <f t="shared" si="62"/>
        <v>293.3333333333353</v>
      </c>
      <c r="BI116" s="62">
        <f ca="1">AVERAGE(OFFSET($BH$3,0,0,'Données projet'!$E$11+1,1))-AVERAGE(OFFSET($H$3,0,0,'Données projet'!$E$11+1,1))</f>
        <v>187.13674266165236</v>
      </c>
      <c r="BJ116" s="62">
        <f t="shared" si="92"/>
        <v>439.28159165815276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10.304391292520309</v>
      </c>
      <c r="BQ116" s="23">
        <f>EXP(-LN(2)/25)*BQ115+(1-EXP(-LN(2)/25))/(LN(2)/25)*Calculateur!BL116*Calculateur!BN116*VLOOKUP('Données projet'!$B$11,Paramètres!$A$1:$I$89,3,0)*0.475*44/12</f>
        <v>4.4007589532081095</v>
      </c>
      <c r="BR116" s="23">
        <f>EXP(-LN(2)/2)*BR115+(1-EXP(-LN(2)/2))/(LN(2)/2)*BL116*BO116*VLOOKUP('Données projet'!$B$11,Paramètres!$A$1:$I$89,3,0)*0.475*44/12</f>
        <v>1.400930760994826E-11</v>
      </c>
      <c r="BS116" s="24">
        <f t="shared" si="63"/>
        <v>14.705150245742429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>
        <f>BY116*VLOOKUP('Données projet'!$B$12,Paramètres!$A$1:$I$89,3,0)*VLOOKUP('Données projet'!$B$12,Paramètres!$A$1:$I$89,5,0)</f>
        <v>0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123.96745898973995</v>
      </c>
      <c r="CE116" s="62">
        <f t="shared" si="94"/>
        <v>638.75149573151157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23.054912415795055</v>
      </c>
      <c r="CL116" s="23">
        <f>EXP(-LN(2)/25)*CL115+(1-EXP(-LN(2)/25))/(LN(2)/25)*Calculateur!CG116*Calculateur!CI116*VLOOKUP('Données projet'!$B$12,Paramètres!$A$1:$I$89,3,0)*0.475*44/12</f>
        <v>2.9979667166434911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26.052879132438548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121.59687193641378</v>
      </c>
      <c r="T117" s="62">
        <f t="shared" si="88"/>
        <v>625.69364310937681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22.111454000963516</v>
      </c>
      <c r="AA117" s="23">
        <f>EXP(-LN(2)/25)*AA116+(1-EXP(-LN(2)/25))/(LN(2)/25)*Calculateur!V117*Calculateur!X117*VLOOKUP('Données projet'!$B$9,Paramètres!$A$1:$I$89,3,0)*0.475*44/12</f>
        <v>2.8525961339223858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24.964050134885902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-5.6843418860808015E-14</v>
      </c>
      <c r="AJ117" s="14">
        <f>AI117*VLOOKUP('Données projet'!$B$10,Paramètres!$A$1:$I$89,3,0)*VLOOKUP('Données projet'!$B$10,Paramètres!$A$1:$I$89,5,0)</f>
        <v>-5.1431925385259088E-14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366.86025470473652</v>
      </c>
      <c r="AO117" s="62">
        <f t="shared" si="90"/>
        <v>513.80016421153414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1.1368683772161603E-13</v>
      </c>
      <c r="BE117" s="14">
        <f>BD117*VLOOKUP('Données projet'!$B$11,Paramètres!$A$1:$I$89,3,0)*VLOOKUP('Données projet'!$B$11,Paramètres!$A$1:$I$89,5,0)</f>
        <v>6.7984728957526396E-14</v>
      </c>
      <c r="BF117" s="14">
        <f t="shared" si="91"/>
        <v>1.0682447123141398E-12</v>
      </c>
      <c r="BG117" s="22">
        <f t="shared" si="61"/>
        <v>1.978932943548152E-12</v>
      </c>
      <c r="BH117" s="62">
        <f t="shared" si="62"/>
        <v>293.3333333333353</v>
      </c>
      <c r="BI117" s="62">
        <f ca="1">AVERAGE(OFFSET($BH$3,0,0,'Données projet'!$E$11+1,1))-AVERAGE(OFFSET($H$3,0,0,'Données projet'!$E$11+1,1))</f>
        <v>187.13674266165236</v>
      </c>
      <c r="BJ117" s="62">
        <f t="shared" si="92"/>
        <v>439.28159165815276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10.102328464332077</v>
      </c>
      <c r="BQ117" s="23">
        <f>EXP(-LN(2)/25)*BQ116+(1-EXP(-LN(2)/25))/(LN(2)/25)*Calculateur!BL117*Calculateur!BN117*VLOOKUP('Données projet'!$B$11,Paramètres!$A$1:$I$89,3,0)*0.475*44/12</f>
        <v>4.2804199682067781</v>
      </c>
      <c r="BR117" s="23">
        <f>EXP(-LN(2)/2)*BR116+(1-EXP(-LN(2)/2))/(LN(2)/2)*BL117*BO117*VLOOKUP('Données projet'!$B$11,Paramètres!$A$1:$I$89,3,0)*0.475*44/12</f>
        <v>9.9060764107227193E-12</v>
      </c>
      <c r="BS117" s="24">
        <f t="shared" si="63"/>
        <v>14.382748432548761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>
        <f>BY117*VLOOKUP('Données projet'!$B$12,Paramètres!$A$1:$I$89,3,0)*VLOOKUP('Données projet'!$B$12,Paramètres!$A$1:$I$89,5,0)</f>
        <v>0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123.96745898973995</v>
      </c>
      <c r="CE117" s="62">
        <f t="shared" si="94"/>
        <v>638.75149573151157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22.602819645429371</v>
      </c>
      <c r="CL117" s="23">
        <f>EXP(-LN(2)/25)*CL116+(1-EXP(-LN(2)/25))/(LN(2)/25)*Calculateur!CG117*Calculateur!CI117*VLOOKUP('Données projet'!$B$12,Paramètres!$A$1:$I$89,3,0)*0.475*44/12</f>
        <v>2.915987159120657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25.518806804550028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121.59687193641378</v>
      </c>
      <c r="T118" s="62">
        <f t="shared" si="88"/>
        <v>625.69364310937681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21.677861874659865</v>
      </c>
      <c r="AA118" s="23">
        <f>EXP(-LN(2)/25)*AA117+(1-EXP(-LN(2)/25))/(LN(2)/25)*Calculateur!V118*Calculateur!X118*VLOOKUP('Données projet'!$B$9,Paramètres!$A$1:$I$89,3,0)*0.475*44/12</f>
        <v>2.774591742628767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24.452453617288633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-5.6843418860808015E-14</v>
      </c>
      <c r="AJ118" s="14">
        <f>AI118*VLOOKUP('Données projet'!$B$10,Paramètres!$A$1:$I$89,3,0)*VLOOKUP('Données projet'!$B$10,Paramètres!$A$1:$I$89,5,0)</f>
        <v>-5.1431925385259088E-14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366.86025470473652</v>
      </c>
      <c r="AO118" s="62">
        <f t="shared" si="90"/>
        <v>513.80016421153414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1.1368683772161603E-13</v>
      </c>
      <c r="BE118" s="14">
        <f>BD118*VLOOKUP('Données projet'!$B$11,Paramètres!$A$1:$I$89,3,0)*VLOOKUP('Données projet'!$B$11,Paramètres!$A$1:$I$89,5,0)</f>
        <v>6.7984728957526396E-14</v>
      </c>
      <c r="BF118" s="14">
        <f t="shared" si="91"/>
        <v>1.0682447123141398E-12</v>
      </c>
      <c r="BG118" s="22">
        <f t="shared" si="61"/>
        <v>1.978932943548152E-12</v>
      </c>
      <c r="BH118" s="62">
        <f t="shared" si="62"/>
        <v>293.3333333333353</v>
      </c>
      <c r="BI118" s="62">
        <f ca="1">AVERAGE(OFFSET($BH$3,0,0,'Données projet'!$E$11+1,1))-AVERAGE(OFFSET($H$3,0,0,'Données projet'!$E$11+1,1))</f>
        <v>187.13674266165236</v>
      </c>
      <c r="BJ118" s="62">
        <f t="shared" si="92"/>
        <v>439.28159165815276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9.9042279649584604</v>
      </c>
      <c r="BQ118" s="23">
        <f>EXP(-LN(2)/25)*BQ117+(1-EXP(-LN(2)/25))/(LN(2)/25)*Calculateur!BL118*Calculateur!BN118*VLOOKUP('Données projet'!$B$11,Paramètres!$A$1:$I$89,3,0)*0.475*44/12</f>
        <v>4.1633716590786607</v>
      </c>
      <c r="BR118" s="23">
        <f>EXP(-LN(2)/2)*BR117+(1-EXP(-LN(2)/2))/(LN(2)/2)*BL118*BO118*VLOOKUP('Données projet'!$B$11,Paramètres!$A$1:$I$89,3,0)*0.475*44/12</f>
        <v>7.0046538049741301E-12</v>
      </c>
      <c r="BS118" s="24">
        <f t="shared" si="63"/>
        <v>14.067599624044126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>
        <f>BY118*VLOOKUP('Données projet'!$B$12,Paramètres!$A$1:$I$89,3,0)*VLOOKUP('Données projet'!$B$12,Paramètres!$A$1:$I$89,5,0)</f>
        <v>0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123.96745898973995</v>
      </c>
      <c r="CE118" s="62">
        <f t="shared" si="94"/>
        <v>638.75149573151157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22.159592138541196</v>
      </c>
      <c r="CL118" s="23">
        <f>EXP(-LN(2)/25)*CL117+(1-EXP(-LN(2)/25))/(LN(2)/25)*Calculateur!CG118*Calculateur!CI118*VLOOKUP('Données projet'!$B$12,Paramètres!$A$1:$I$89,3,0)*0.475*44/12</f>
        <v>2.8362493369094026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24.9958414754506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121.59687193641378</v>
      </c>
      <c r="T119" s="62">
        <f t="shared" si="88"/>
        <v>625.69364310937681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21.252772225487945</v>
      </c>
      <c r="AA119" s="23">
        <f>EXP(-LN(2)/25)*AA118+(1-EXP(-LN(2)/25))/(LN(2)/25)*Calculateur!V119*Calculateur!X119*VLOOKUP('Données projet'!$B$9,Paramètres!$A$1:$I$89,3,0)*0.475*44/12</f>
        <v>2.6987203855171451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23.95149261100509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-5.6843418860808015E-14</v>
      </c>
      <c r="AJ119" s="14">
        <f>AI119*VLOOKUP('Données projet'!$B$10,Paramètres!$A$1:$I$89,3,0)*VLOOKUP('Données projet'!$B$10,Paramètres!$A$1:$I$89,5,0)</f>
        <v>-5.1431925385259088E-14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366.86025470473652</v>
      </c>
      <c r="AO119" s="62">
        <f t="shared" si="90"/>
        <v>513.80016421153414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1.1368683772161603E-13</v>
      </c>
      <c r="BE119" s="14">
        <f>BD119*VLOOKUP('Données projet'!$B$11,Paramètres!$A$1:$I$89,3,0)*VLOOKUP('Données projet'!$B$11,Paramètres!$A$1:$I$89,5,0)</f>
        <v>6.7984728957526396E-14</v>
      </c>
      <c r="BF119" s="14">
        <f t="shared" si="91"/>
        <v>1.0682447123141398E-12</v>
      </c>
      <c r="BG119" s="22">
        <f t="shared" si="61"/>
        <v>1.978932943548152E-12</v>
      </c>
      <c r="BH119" s="62">
        <f t="shared" si="62"/>
        <v>293.3333333333353</v>
      </c>
      <c r="BI119" s="62">
        <f ca="1">AVERAGE(OFFSET($BH$3,0,0,'Données projet'!$E$11+1,1))-AVERAGE(OFFSET($H$3,0,0,'Données projet'!$E$11+1,1))</f>
        <v>187.13674266165236</v>
      </c>
      <c r="BJ119" s="62">
        <f t="shared" si="92"/>
        <v>439.28159165815276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9.7100120955481852</v>
      </c>
      <c r="BQ119" s="23">
        <f>EXP(-LN(2)/25)*BQ118+(1-EXP(-LN(2)/25))/(LN(2)/25)*Calculateur!BL119*Calculateur!BN119*VLOOKUP('Données projet'!$B$11,Paramètres!$A$1:$I$89,3,0)*0.475*44/12</f>
        <v>4.0495240421189544</v>
      </c>
      <c r="BR119" s="23">
        <f>EXP(-LN(2)/2)*BR118+(1-EXP(-LN(2)/2))/(LN(2)/2)*BL119*BO119*VLOOKUP('Données projet'!$B$11,Paramètres!$A$1:$I$89,3,0)*0.475*44/12</f>
        <v>4.9530382053613597E-12</v>
      </c>
      <c r="BS119" s="24">
        <f t="shared" si="63"/>
        <v>13.759536137672093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123.96745898973995</v>
      </c>
      <c r="CE119" s="62">
        <f t="shared" si="94"/>
        <v>638.75149573151157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21.725056052721012</v>
      </c>
      <c r="CL119" s="23">
        <f>EXP(-LN(2)/25)*CL118+(1-EXP(-LN(2)/25))/(LN(2)/25)*Calculateur!CG119*Calculateur!CI119*VLOOKUP('Données projet'!$B$12,Paramètres!$A$1:$I$89,3,0)*0.475*44/12</f>
        <v>2.7586919496397448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24.483748002360755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121.59687193641378</v>
      </c>
      <c r="T120" s="62">
        <f t="shared" si="88"/>
        <v>625.69364310937681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20.836018325057204</v>
      </c>
      <c r="AA120" s="23">
        <f>EXP(-LN(2)/25)*AA119+(1-EXP(-LN(2)/25))/(LN(2)/25)*Calculateur!V120*Calculateur!X120*VLOOKUP('Données projet'!$B$9,Paramètres!$A$1:$I$89,3,0)*0.475*44/12</f>
        <v>2.6249237346556415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23.460942059712846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-5.6843418860808015E-14</v>
      </c>
      <c r="AJ120" s="14">
        <f>AI120*VLOOKUP('Données projet'!$B$10,Paramètres!$A$1:$I$89,3,0)*VLOOKUP('Données projet'!$B$10,Paramètres!$A$1:$I$89,5,0)</f>
        <v>-5.1431925385259088E-14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366.86025470473652</v>
      </c>
      <c r="AO120" s="62">
        <f t="shared" si="90"/>
        <v>513.80016421153414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1.1368683772161603E-13</v>
      </c>
      <c r="BE120" s="14">
        <f>BD120*VLOOKUP('Données projet'!$B$11,Paramètres!$A$1:$I$89,3,0)*VLOOKUP('Données projet'!$B$11,Paramètres!$A$1:$I$89,5,0)</f>
        <v>6.7984728957526396E-14</v>
      </c>
      <c r="BF120" s="14">
        <f t="shared" si="91"/>
        <v>1.0682447123141398E-12</v>
      </c>
      <c r="BG120" s="22">
        <f t="shared" si="61"/>
        <v>1.978932943548152E-12</v>
      </c>
      <c r="BH120" s="62">
        <f t="shared" si="62"/>
        <v>293.3333333333353</v>
      </c>
      <c r="BI120" s="62">
        <f ca="1">AVERAGE(OFFSET($BH$3,0,0,'Données projet'!$E$11+1,1))-AVERAGE(OFFSET($H$3,0,0,'Données projet'!$E$11+1,1))</f>
        <v>187.13674266165236</v>
      </c>
      <c r="BJ120" s="62">
        <f t="shared" si="92"/>
        <v>439.28159165815276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9.5196046808770625</v>
      </c>
      <c r="BQ120" s="23">
        <f>EXP(-LN(2)/25)*BQ119+(1-EXP(-LN(2)/25))/(LN(2)/25)*Calculateur!BL120*Calculateur!BN120*VLOOKUP('Données projet'!$B$11,Paramètres!$A$1:$I$89,3,0)*0.475*44/12</f>
        <v>3.9387895942319977</v>
      </c>
      <c r="BR120" s="23">
        <f>EXP(-LN(2)/2)*BR119+(1-EXP(-LN(2)/2))/(LN(2)/2)*BL120*BO120*VLOOKUP('Données projet'!$B$11,Paramètres!$A$1:$I$89,3,0)*0.475*44/12</f>
        <v>3.502326902487065E-12</v>
      </c>
      <c r="BS120" s="24">
        <f t="shared" si="63"/>
        <v>13.458394275112564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123.96745898973995</v>
      </c>
      <c r="CE120" s="62">
        <f t="shared" si="94"/>
        <v>638.75149573151157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21.299040954502921</v>
      </c>
      <c r="CL120" s="23">
        <f>EXP(-LN(2)/25)*CL119+(1-EXP(-LN(2)/25))/(LN(2)/25)*Calculateur!CG120*Calculateur!CI120*VLOOKUP('Données projet'!$B$12,Paramètres!$A$1:$I$89,3,0)*0.475*44/12</f>
        <v>2.6832553732035413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23.982296327706461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121.59687193641378</v>
      </c>
      <c r="T121" s="62">
        <f t="shared" si="88"/>
        <v>625.69364310937681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20.42743671441913</v>
      </c>
      <c r="AA121" s="23">
        <f>EXP(-LN(2)/25)*AA120+(1-EXP(-LN(2)/25))/(LN(2)/25)*Calculateur!V121*Calculateur!X121*VLOOKUP('Données projet'!$B$9,Paramètres!$A$1:$I$89,3,0)*0.475*44/12</f>
        <v>2.5531450570927432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22.980581771511872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-5.6843418860808015E-14</v>
      </c>
      <c r="AJ121" s="14">
        <f>AI121*VLOOKUP('Données projet'!$B$10,Paramètres!$A$1:$I$89,3,0)*VLOOKUP('Données projet'!$B$10,Paramètres!$A$1:$I$89,5,0)</f>
        <v>-5.1431925385259088E-14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366.86025470473652</v>
      </c>
      <c r="AO121" s="62">
        <f t="shared" si="90"/>
        <v>513.80016421153414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1.1368683772161603E-13</v>
      </c>
      <c r="BE121" s="14">
        <f>BD121*VLOOKUP('Données projet'!$B$11,Paramètres!$A$1:$I$89,3,0)*VLOOKUP('Données projet'!$B$11,Paramètres!$A$1:$I$89,5,0)</f>
        <v>6.7984728957526396E-14</v>
      </c>
      <c r="BF121" s="14">
        <f t="shared" si="91"/>
        <v>1.0682447123141398E-12</v>
      </c>
      <c r="BG121" s="22">
        <f t="shared" si="61"/>
        <v>1.978932943548152E-12</v>
      </c>
      <c r="BH121" s="62">
        <f t="shared" si="62"/>
        <v>293.3333333333353</v>
      </c>
      <c r="BI121" s="62">
        <f ca="1">AVERAGE(OFFSET($BH$3,0,0,'Données projet'!$E$11+1,1))-AVERAGE(OFFSET($H$3,0,0,'Données projet'!$E$11+1,1))</f>
        <v>187.13674266165236</v>
      </c>
      <c r="BJ121" s="62">
        <f t="shared" si="92"/>
        <v>439.28159165815276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9.3329310394705853</v>
      </c>
      <c r="BQ121" s="23">
        <f>EXP(-LN(2)/25)*BQ120+(1-EXP(-LN(2)/25))/(LN(2)/25)*Calculateur!BL121*Calculateur!BN121*VLOOKUP('Données projet'!$B$11,Paramètres!$A$1:$I$89,3,0)*0.475*44/12</f>
        <v>3.831083185645781</v>
      </c>
      <c r="BR121" s="23">
        <f>EXP(-LN(2)/2)*BR120+(1-EXP(-LN(2)/2))/(LN(2)/2)*BL121*BO121*VLOOKUP('Données projet'!$B$11,Paramètres!$A$1:$I$89,3,0)*0.475*44/12</f>
        <v>2.4765191026806798E-12</v>
      </c>
      <c r="BS121" s="24">
        <f t="shared" si="63"/>
        <v>13.164014225118843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123.96745898973995</v>
      </c>
      <c r="CE121" s="62">
        <f t="shared" si="94"/>
        <v>638.75149573151157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20.881379752517333</v>
      </c>
      <c r="CL121" s="23">
        <f>EXP(-LN(2)/25)*CL120+(1-EXP(-LN(2)/25))/(LN(2)/25)*Calculateur!CG121*Calculateur!CI121*VLOOKUP('Données projet'!$B$12,Paramètres!$A$1:$I$89,3,0)*0.475*44/12</f>
        <v>2.6098816139170231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23.491261366434355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121.59687193641378</v>
      </c>
      <c r="T122" s="62">
        <f t="shared" si="88"/>
        <v>625.69364310937681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20.026867139955492</v>
      </c>
      <c r="AA122" s="23">
        <f>EXP(-LN(2)/25)*AA121+(1-EXP(-LN(2)/25))/(LN(2)/25)*Calculateur!V122*Calculateur!X122*VLOOKUP('Données projet'!$B$9,Paramètres!$A$1:$I$89,3,0)*0.475*44/12</f>
        <v>2.4833291712424788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22.510196311197969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-5.6843418860808015E-14</v>
      </c>
      <c r="AJ122" s="14">
        <f>AI122*VLOOKUP('Données projet'!$B$10,Paramètres!$A$1:$I$89,3,0)*VLOOKUP('Données projet'!$B$10,Paramètres!$A$1:$I$89,5,0)</f>
        <v>-5.1431925385259088E-14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366.86025470473652</v>
      </c>
      <c r="AO122" s="62">
        <f t="shared" si="90"/>
        <v>513.80016421153414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1.1368683772161603E-13</v>
      </c>
      <c r="BE122" s="14">
        <f>BD122*VLOOKUP('Données projet'!$B$11,Paramètres!$A$1:$I$89,3,0)*VLOOKUP('Données projet'!$B$11,Paramètres!$A$1:$I$89,5,0)</f>
        <v>6.7984728957526396E-14</v>
      </c>
      <c r="BF122" s="14">
        <f t="shared" si="91"/>
        <v>1.0682447123141398E-12</v>
      </c>
      <c r="BG122" s="22">
        <f t="shared" si="61"/>
        <v>1.978932943548152E-12</v>
      </c>
      <c r="BH122" s="62">
        <f t="shared" si="62"/>
        <v>293.3333333333353</v>
      </c>
      <c r="BI122" s="62">
        <f ca="1">AVERAGE(OFFSET($BH$3,0,0,'Données projet'!$E$11+1,1))-AVERAGE(OFFSET($H$3,0,0,'Données projet'!$E$11+1,1))</f>
        <v>187.13674266165236</v>
      </c>
      <c r="BJ122" s="62">
        <f t="shared" si="92"/>
        <v>439.28159165815276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9.1499179543124107</v>
      </c>
      <c r="BQ122" s="23">
        <f>EXP(-LN(2)/25)*BQ121+(1-EXP(-LN(2)/25))/(LN(2)/25)*Calculateur!BL122*Calculateur!BN122*VLOOKUP('Données projet'!$B$11,Paramètres!$A$1:$I$89,3,0)*0.475*44/12</f>
        <v>3.7263220144663882</v>
      </c>
      <c r="BR122" s="23">
        <f>EXP(-LN(2)/2)*BR121+(1-EXP(-LN(2)/2))/(LN(2)/2)*BL122*BO122*VLOOKUP('Données projet'!$B$11,Paramètres!$A$1:$I$89,3,0)*0.475*44/12</f>
        <v>1.7511634512435325E-12</v>
      </c>
      <c r="BS122" s="24">
        <f t="shared" si="63"/>
        <v>12.876239968780551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123.96745898973995</v>
      </c>
      <c r="CE122" s="62">
        <f t="shared" si="94"/>
        <v>638.75149573151157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20.471908631954502</v>
      </c>
      <c r="CL122" s="23">
        <f>EXP(-LN(2)/25)*CL121+(1-EXP(-LN(2)/25))/(LN(2)/25)*Calculateur!CG122*Calculateur!CI122*VLOOKUP('Données projet'!$B$12,Paramètres!$A$1:$I$89,3,0)*0.475*44/12</f>
        <v>2.5385142639367531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23.010422895891256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121.59687193641378</v>
      </c>
      <c r="T123" s="62">
        <f t="shared" si="88"/>
        <v>625.69364310937681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19.634152490523771</v>
      </c>
      <c r="AA123" s="23">
        <f>EXP(-LN(2)/25)*AA122+(1-EXP(-LN(2)/25))/(LN(2)/25)*Calculateur!V123*Calculateur!X123*VLOOKUP('Données projet'!$B$9,Paramètres!$A$1:$I$89,3,0)*0.475*44/12</f>
        <v>2.4154224044622477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22.049574894986019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-5.6843418860808015E-14</v>
      </c>
      <c r="AJ123" s="14">
        <f>AI123*VLOOKUP('Données projet'!$B$10,Paramètres!$A$1:$I$89,3,0)*VLOOKUP('Données projet'!$B$10,Paramètres!$A$1:$I$89,5,0)</f>
        <v>-5.1431925385259088E-14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366.86025470473652</v>
      </c>
      <c r="AO123" s="62">
        <f t="shared" si="90"/>
        <v>513.80016421153414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1.1368683772161603E-13</v>
      </c>
      <c r="BE123" s="14">
        <f>BD123*VLOOKUP('Données projet'!$B$11,Paramètres!$A$1:$I$89,3,0)*VLOOKUP('Données projet'!$B$11,Paramètres!$A$1:$I$89,5,0)</f>
        <v>6.7984728957526396E-14</v>
      </c>
      <c r="BF123" s="14">
        <f t="shared" si="91"/>
        <v>1.0682447123141398E-12</v>
      </c>
      <c r="BG123" s="22">
        <f t="shared" si="61"/>
        <v>1.978932943548152E-12</v>
      </c>
      <c r="BH123" s="62">
        <f t="shared" si="62"/>
        <v>293.3333333333353</v>
      </c>
      <c r="BI123" s="62">
        <f ca="1">AVERAGE(OFFSET($BH$3,0,0,'Données projet'!$E$11+1,1))-AVERAGE(OFFSET($H$3,0,0,'Données projet'!$E$11+1,1))</f>
        <v>187.13674266165236</v>
      </c>
      <c r="BJ123" s="62">
        <f t="shared" si="92"/>
        <v>439.28159165815276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8.9704936441272292</v>
      </c>
      <c r="BQ123" s="23">
        <f>EXP(-LN(2)/25)*BQ122+(1-EXP(-LN(2)/25))/(LN(2)/25)*Calculateur!BL123*Calculateur!BN123*VLOOKUP('Données projet'!$B$11,Paramètres!$A$1:$I$89,3,0)*0.475*44/12</f>
        <v>3.6244255430220469</v>
      </c>
      <c r="BR123" s="23">
        <f>EXP(-LN(2)/2)*BR122+(1-EXP(-LN(2)/2))/(LN(2)/2)*BL123*BO123*VLOOKUP('Données projet'!$B$11,Paramètres!$A$1:$I$89,3,0)*0.475*44/12</f>
        <v>1.2382595513403399E-12</v>
      </c>
      <c r="BS123" s="24">
        <f t="shared" si="63"/>
        <v>12.594919187150515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123.96745898973995</v>
      </c>
      <c r="CE123" s="62">
        <f t="shared" si="94"/>
        <v>638.75149573151157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20.070466990313186</v>
      </c>
      <c r="CL123" s="23">
        <f>EXP(-LN(2)/25)*CL122+(1-EXP(-LN(2)/25))/(LN(2)/25)*Calculateur!CG123*Calculateur!CI123*VLOOKUP('Données projet'!$B$12,Paramètres!$A$1:$I$89,3,0)*0.475*44/12</f>
        <v>2.4690984578947393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22.539565448207924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121.59687193641378</v>
      </c>
      <c r="T124" s="62">
        <f t="shared" si="88"/>
        <v>625.69364310937681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19.249138735835121</v>
      </c>
      <c r="AA124" s="23">
        <f>EXP(-LN(2)/25)*AA123+(1-EXP(-LN(2)/25))/(LN(2)/25)*Calculateur!V124*Calculateur!X124*VLOOKUP('Données projet'!$B$9,Paramètres!$A$1:$I$89,3,0)*0.475*44/12</f>
        <v>2.3493725517906836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21.598511287625804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-5.1431925385259088E-14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366.86025470473652</v>
      </c>
      <c r="AO124" s="62">
        <f t="shared" si="90"/>
        <v>513.80016421153414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6.7984728957526396E-14</v>
      </c>
      <c r="BF124" s="14">
        <f t="shared" si="91"/>
        <v>1.0682447123141398E-12</v>
      </c>
      <c r="BG124" s="22">
        <f t="shared" si="61"/>
        <v>1.978932943548152E-12</v>
      </c>
      <c r="BH124" s="62">
        <f t="shared" si="62"/>
        <v>293.3333333333353</v>
      </c>
      <c r="BI124" s="62">
        <f ca="1">AVERAGE(OFFSET($BH$3,0,0,'Données projet'!$E$11+1,1))-AVERAGE(OFFSET($H$3,0,0,'Données projet'!$E$11+1,1))</f>
        <v>187.13674266165236</v>
      </c>
      <c r="BJ124" s="62">
        <f t="shared" si="92"/>
        <v>439.28159165815276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8.7945877352267559</v>
      </c>
      <c r="BQ124" s="23">
        <f>EXP(-LN(2)/25)*BQ123+(1-EXP(-LN(2)/25))/(LN(2)/25)*Calculateur!BL124*Calculateur!BN124*VLOOKUP('Données projet'!$B$11,Paramètres!$A$1:$I$89,3,0)*0.475*44/12</f>
        <v>3.5253154359478533</v>
      </c>
      <c r="BR124" s="23">
        <f>EXP(-LN(2)/2)*BR123+(1-EXP(-LN(2)/2))/(LN(2)/2)*BL124*BO124*VLOOKUP('Données projet'!$B$11,Paramètres!$A$1:$I$89,3,0)*0.475*44/12</f>
        <v>8.7558172562176626E-13</v>
      </c>
      <c r="BS124" s="24">
        <f t="shared" si="63"/>
        <v>12.319903171175485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123.96745898973995</v>
      </c>
      <c r="CE124" s="62">
        <f t="shared" si="94"/>
        <v>638.75149573151157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19.676897374409233</v>
      </c>
      <c r="CL124" s="23">
        <f>EXP(-LN(2)/25)*CL123+(1-EXP(-LN(2)/25))/(LN(2)/25)*Calculateur!CG124*Calculateur!CI124*VLOOKUP('Données projet'!$B$12,Paramètres!$A$1:$I$89,3,0)*0.475*44/12</f>
        <v>2.4015808307193631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22.078478205128597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121.59687193641378</v>
      </c>
      <c r="T125" s="62">
        <f t="shared" si="88"/>
        <v>625.69364310937681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18.871674866040713</v>
      </c>
      <c r="AA125" s="23">
        <f>EXP(-LN(2)/25)*AA124+(1-EXP(-LN(2)/25))/(LN(2)/25)*Calculateur!V125*Calculateur!X125*VLOOKUP('Données projet'!$B$9,Paramètres!$A$1:$I$89,3,0)*0.475*44/12</f>
        <v>2.2851288358138344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21.15680370185455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-5.1431925385259088E-14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366.86025470473652</v>
      </c>
      <c r="AO125" s="62">
        <f t="shared" si="90"/>
        <v>513.80016421153414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6.7984728957526396E-14</v>
      </c>
      <c r="BF125" s="14">
        <f t="shared" si="91"/>
        <v>1.0682447123141398E-12</v>
      </c>
      <c r="BG125" s="22">
        <f t="shared" si="61"/>
        <v>1.978932943548152E-12</v>
      </c>
      <c r="BH125" s="62">
        <f t="shared" si="62"/>
        <v>293.3333333333353</v>
      </c>
      <c r="BI125" s="62">
        <f ca="1">AVERAGE(OFFSET($BH$3,0,0,'Données projet'!$E$11+1,1))-AVERAGE(OFFSET($H$3,0,0,'Données projet'!$E$11+1,1))</f>
        <v>187.13674266165236</v>
      </c>
      <c r="BJ125" s="62">
        <f t="shared" si="92"/>
        <v>439.28159165815276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8.62213123390781</v>
      </c>
      <c r="BQ125" s="23">
        <f>EXP(-LN(2)/25)*BQ124+(1-EXP(-LN(2)/25))/(LN(2)/25)*Calculateur!BL125*Calculateur!BN125*VLOOKUP('Données projet'!$B$11,Paramètres!$A$1:$I$89,3,0)*0.475*44/12</f>
        <v>3.4289154999635776</v>
      </c>
      <c r="BR125" s="23">
        <f>EXP(-LN(2)/2)*BR124+(1-EXP(-LN(2)/2))/(LN(2)/2)*BL125*BO125*VLOOKUP('Données projet'!$B$11,Paramètres!$A$1:$I$89,3,0)*0.475*44/12</f>
        <v>6.1912977567016996E-13</v>
      </c>
      <c r="BS125" s="24">
        <f t="shared" si="63"/>
        <v>12.051046733872008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123.96745898973995</v>
      </c>
      <c r="CE125" s="62">
        <f t="shared" si="94"/>
        <v>638.75149573151157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19.291045418619394</v>
      </c>
      <c r="CL125" s="23">
        <f>EXP(-LN(2)/25)*CL124+(1-EXP(-LN(2)/25))/(LN(2)/25)*Calculateur!CG125*Calculateur!CI125*VLOOKUP('Données projet'!$B$12,Paramètres!$A$1:$I$89,3,0)*0.475*44/12</f>
        <v>2.3359094766096953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21.62695489522909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121.59687193641378</v>
      </c>
      <c r="T126" s="62">
        <f t="shared" si="88"/>
        <v>625.69364310937681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18.501612832502747</v>
      </c>
      <c r="AA126" s="23">
        <f>EXP(-LN(2)/25)*AA125+(1-EXP(-LN(2)/25))/(LN(2)/25)*Calculateur!V126*Calculateur!X126*VLOOKUP('Données projet'!$B$9,Paramètres!$A$1:$I$89,3,0)*0.475*44/12</f>
        <v>2.2226418676288024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20.724254700131549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-5.1431925385259088E-14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366.86025470473652</v>
      </c>
      <c r="AO126" s="62">
        <f t="shared" si="90"/>
        <v>513.80016421153414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6.7984728957526396E-14</v>
      </c>
      <c r="BF126" s="14">
        <f t="shared" si="91"/>
        <v>1.0682447123141398E-12</v>
      </c>
      <c r="BG126" s="22">
        <f t="shared" si="61"/>
        <v>1.978932943548152E-12</v>
      </c>
      <c r="BH126" s="62">
        <f t="shared" si="62"/>
        <v>293.3333333333353</v>
      </c>
      <c r="BI126" s="62">
        <f ca="1">AVERAGE(OFFSET($BH$3,0,0,'Données projet'!$E$11+1,1))-AVERAGE(OFFSET($H$3,0,0,'Données projet'!$E$11+1,1))</f>
        <v>187.13674266165236</v>
      </c>
      <c r="BJ126" s="62">
        <f t="shared" si="92"/>
        <v>439.28159165815276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8.4530564993916499</v>
      </c>
      <c r="BQ126" s="23">
        <f>EXP(-LN(2)/25)*BQ125+(1-EXP(-LN(2)/25))/(LN(2)/25)*Calculateur!BL126*Calculateur!BN126*VLOOKUP('Données projet'!$B$11,Paramètres!$A$1:$I$89,3,0)*0.475*44/12</f>
        <v>3.3351516252982445</v>
      </c>
      <c r="BR126" s="23">
        <f>EXP(-LN(2)/2)*BR125+(1-EXP(-LN(2)/2))/(LN(2)/2)*BL126*BO126*VLOOKUP('Données projet'!$B$11,Paramètres!$A$1:$I$89,3,0)*0.475*44/12</f>
        <v>4.3779086281088313E-13</v>
      </c>
      <c r="BS126" s="24">
        <f t="shared" si="63"/>
        <v>11.788208124690332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123.96745898973995</v>
      </c>
      <c r="CE126" s="62">
        <f t="shared" si="94"/>
        <v>638.75149573151157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18.912759784336139</v>
      </c>
      <c r="CL126" s="23">
        <f>EXP(-LN(2)/25)*CL125+(1-EXP(-LN(2)/25))/(LN(2)/25)*Calculateur!CG126*Calculateur!CI126*VLOOKUP('Données projet'!$B$12,Paramètres!$A$1:$I$89,3,0)*0.475*44/12</f>
        <v>2.2720339091316624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21.1847936934678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121.59687193641378</v>
      </c>
      <c r="T127" s="62">
        <f t="shared" si="88"/>
        <v>625.69364310937681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18.138807489726908</v>
      </c>
      <c r="AA127" s="23">
        <f>EXP(-LN(2)/25)*AA126+(1-EXP(-LN(2)/25))/(LN(2)/25)*Calculateur!V127*Calculateur!X127*VLOOKUP('Données projet'!$B$9,Paramètres!$A$1:$I$89,3,0)*0.475*44/12</f>
        <v>2.1618636088748371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20.300671098601747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-5.1431925385259088E-14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366.86025470473652</v>
      </c>
      <c r="AO127" s="62">
        <f t="shared" si="90"/>
        <v>513.80016421153414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6.7984728957526396E-14</v>
      </c>
      <c r="BF127" s="14">
        <f t="shared" si="91"/>
        <v>1.0682447123141398E-12</v>
      </c>
      <c r="BG127" s="22">
        <f t="shared" si="61"/>
        <v>1.978932943548152E-12</v>
      </c>
      <c r="BH127" s="62">
        <f t="shared" si="62"/>
        <v>293.3333333333353</v>
      </c>
      <c r="BI127" s="62">
        <f ca="1">AVERAGE(OFFSET($BH$3,0,0,'Données projet'!$E$11+1,1))-AVERAGE(OFFSET($H$3,0,0,'Données projet'!$E$11+1,1))</f>
        <v>187.13674266165236</v>
      </c>
      <c r="BJ127" s="62">
        <f t="shared" si="92"/>
        <v>439.28159165815276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8.2872972172939452</v>
      </c>
      <c r="BQ127" s="23">
        <f>EXP(-LN(2)/25)*BQ126+(1-EXP(-LN(2)/25))/(LN(2)/25)*Calculateur!BL127*Calculateur!BN127*VLOOKUP('Données projet'!$B$11,Paramètres!$A$1:$I$89,3,0)*0.475*44/12</f>
        <v>3.2439517287164628</v>
      </c>
      <c r="BR127" s="23">
        <f>EXP(-LN(2)/2)*BR126+(1-EXP(-LN(2)/2))/(LN(2)/2)*BL127*BO127*VLOOKUP('Données projet'!$B$11,Paramètres!$A$1:$I$89,3,0)*0.475*44/12</f>
        <v>3.0956488783508498E-13</v>
      </c>
      <c r="BS127" s="24">
        <f t="shared" si="63"/>
        <v>11.531248946010717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123.96745898973995</v>
      </c>
      <c r="CE127" s="62">
        <f t="shared" si="94"/>
        <v>638.75149573151157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18.541892100609726</v>
      </c>
      <c r="CL127" s="23">
        <f>EXP(-LN(2)/25)*CL126+(1-EXP(-LN(2)/25))/(LN(2)/25)*Calculateur!CG127*Calculateur!CI127*VLOOKUP('Données projet'!$B$12,Paramètres!$A$1:$I$89,3,0)*0.475*44/12</f>
        <v>2.2099050224053864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20.751797123015113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121.59687193641378</v>
      </c>
      <c r="T128" s="62">
        <f t="shared" si="88"/>
        <v>625.69364310937681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17.783116538433493</v>
      </c>
      <c r="AA128" s="23">
        <f>EXP(-LN(2)/25)*AA127+(1-EXP(-LN(2)/25))/(LN(2)/25)*Calculateur!V128*Calculateur!X128*VLOOKUP('Données projet'!$B$9,Paramètres!$A$1:$I$89,3,0)*0.475*44/12</f>
        <v>2.1027473348026886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19.885863873236183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-5.1431925385259088E-14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366.86025470473652</v>
      </c>
      <c r="AO128" s="62">
        <f t="shared" si="90"/>
        <v>513.80016421153414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6.7984728957526396E-14</v>
      </c>
      <c r="BF128" s="14">
        <f t="shared" si="91"/>
        <v>1.0682447123141398E-12</v>
      </c>
      <c r="BG128" s="22">
        <f t="shared" si="61"/>
        <v>1.978932943548152E-12</v>
      </c>
      <c r="BH128" s="62">
        <f t="shared" si="62"/>
        <v>293.3333333333353</v>
      </c>
      <c r="BI128" s="62">
        <f ca="1">AVERAGE(OFFSET($BH$3,0,0,'Données projet'!$E$11+1,1))-AVERAGE(OFFSET($H$3,0,0,'Données projet'!$E$11+1,1))</f>
        <v>187.13674266165236</v>
      </c>
      <c r="BJ128" s="62">
        <f t="shared" si="92"/>
        <v>439.28159165815276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8.1247883736149973</v>
      </c>
      <c r="BQ128" s="23">
        <f>EXP(-LN(2)/25)*BQ127+(1-EXP(-LN(2)/25))/(LN(2)/25)*Calculateur!BL128*Calculateur!BN128*VLOOKUP('Données projet'!$B$11,Paramètres!$A$1:$I$89,3,0)*0.475*44/12</f>
        <v>3.1552456981027039</v>
      </c>
      <c r="BR128" s="23">
        <f>EXP(-LN(2)/2)*BR127+(1-EXP(-LN(2)/2))/(LN(2)/2)*BL128*BO128*VLOOKUP('Données projet'!$B$11,Paramètres!$A$1:$I$89,3,0)*0.475*44/12</f>
        <v>2.1889543140544156E-13</v>
      </c>
      <c r="BS128" s="24">
        <f t="shared" si="63"/>
        <v>11.280034071717919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123.96745898973995</v>
      </c>
      <c r="CE128" s="62">
        <f t="shared" si="94"/>
        <v>638.75149573151157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18.178296905954237</v>
      </c>
      <c r="CL128" s="23">
        <f>EXP(-LN(2)/25)*CL127+(1-EXP(-LN(2)/25))/(LN(2)/25)*Calculateur!CG128*Calculateur!CI128*VLOOKUP('Données projet'!$B$12,Paramètres!$A$1:$I$89,3,0)*0.475*44/12</f>
        <v>2.1494750533538567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20.327771959308095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121.59687193641378</v>
      </c>
      <c r="T129" s="62">
        <f t="shared" si="88"/>
        <v>625.69364310937681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17.434400469744887</v>
      </c>
      <c r="AA129" s="23">
        <f>EXP(-LN(2)/25)*AA128+(1-EXP(-LN(2)/25))/(LN(2)/25)*Calculateur!V129*Calculateur!X129*VLOOKUP('Données projet'!$B$9,Paramètres!$A$1:$I$89,3,0)*0.475*44/12</f>
        <v>2.0452475983538325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19.479648068098719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-5.1431925385259088E-14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366.86025470473652</v>
      </c>
      <c r="AO129" s="62">
        <f t="shared" si="90"/>
        <v>513.80016421153414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6.7984728957526396E-14</v>
      </c>
      <c r="BF129" s="14">
        <f t="shared" si="91"/>
        <v>1.0682447123141398E-12</v>
      </c>
      <c r="BG129" s="22">
        <f t="shared" si="61"/>
        <v>1.978932943548152E-12</v>
      </c>
      <c r="BH129" s="62">
        <f t="shared" si="62"/>
        <v>293.3333333333353</v>
      </c>
      <c r="BI129" s="62">
        <f ca="1">AVERAGE(OFFSET($BH$3,0,0,'Données projet'!$E$11+1,1))-AVERAGE(OFFSET($H$3,0,0,'Données projet'!$E$11+1,1))</f>
        <v>187.13674266165236</v>
      </c>
      <c r="BJ129" s="62">
        <f t="shared" si="92"/>
        <v>439.28159165815276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7.9654662292399872</v>
      </c>
      <c r="BQ129" s="23">
        <f>EXP(-LN(2)/25)*BQ128+(1-EXP(-LN(2)/25))/(LN(2)/25)*Calculateur!BL129*Calculateur!BN129*VLOOKUP('Données projet'!$B$11,Paramètres!$A$1:$I$89,3,0)*0.475*44/12</f>
        <v>3.0689653385609255</v>
      </c>
      <c r="BR129" s="23">
        <f>EXP(-LN(2)/2)*BR128+(1-EXP(-LN(2)/2))/(LN(2)/2)*BL129*BO129*VLOOKUP('Données projet'!$B$11,Paramètres!$A$1:$I$89,3,0)*0.475*44/12</f>
        <v>1.5478244391754249E-13</v>
      </c>
      <c r="BS129" s="24">
        <f t="shared" si="63"/>
        <v>11.034431567801066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123.96745898973995</v>
      </c>
      <c r="CE129" s="62">
        <f t="shared" si="94"/>
        <v>638.75149573151157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17.821831591294771</v>
      </c>
      <c r="CL129" s="23">
        <f>EXP(-LN(2)/25)*CL128+(1-EXP(-LN(2)/25))/(LN(2)/25)*Calculateur!CG129*Calculateur!CI129*VLOOKUP('Données projet'!$B$12,Paramètres!$A$1:$I$89,3,0)*0.475*44/12</f>
        <v>2.0906975449839149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19.912529136278685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121.59687193641378</v>
      </c>
      <c r="T130" s="62">
        <f t="shared" si="88"/>
        <v>625.69364310937681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17.092522510467461</v>
      </c>
      <c r="AA130" s="23">
        <f>EXP(-LN(2)/25)*AA129+(1-EXP(-LN(2)/25))/(LN(2)/25)*Calculateur!V130*Calculateur!X130*VLOOKUP('Données projet'!$B$9,Paramètres!$A$1:$I$89,3,0)*0.475*44/12</f>
        <v>1.9893201952219501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19.081842705689411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-5.1431925385259088E-14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366.86025470473652</v>
      </c>
      <c r="AO130" s="62">
        <f t="shared" si="90"/>
        <v>513.80016421153414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6.7984728957526396E-14</v>
      </c>
      <c r="BF130" s="14">
        <f t="shared" si="91"/>
        <v>1.0682447123141398E-12</v>
      </c>
      <c r="BG130" s="22">
        <f t="shared" si="61"/>
        <v>1.978932943548152E-12</v>
      </c>
      <c r="BH130" s="62">
        <f t="shared" si="62"/>
        <v>293.3333333333353</v>
      </c>
      <c r="BI130" s="62">
        <f ca="1">AVERAGE(OFFSET($BH$3,0,0,'Données projet'!$E$11+1,1))-AVERAGE(OFFSET($H$3,0,0,'Données projet'!$E$11+1,1))</f>
        <v>187.13674266165236</v>
      </c>
      <c r="BJ130" s="62">
        <f t="shared" si="92"/>
        <v>439.28159165815276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7.8092682949392582</v>
      </c>
      <c r="BQ130" s="23">
        <f>EXP(-LN(2)/25)*BQ129+(1-EXP(-LN(2)/25))/(LN(2)/25)*Calculateur!BL130*Calculateur!BN130*VLOOKUP('Données projet'!$B$11,Paramètres!$A$1:$I$89,3,0)*0.475*44/12</f>
        <v>2.9850443199881038</v>
      </c>
      <c r="BR130" s="23">
        <f>EXP(-LN(2)/2)*BR129+(1-EXP(-LN(2)/2))/(LN(2)/2)*BL130*BO130*VLOOKUP('Données projet'!$B$11,Paramètres!$A$1:$I$89,3,0)*0.475*44/12</f>
        <v>1.0944771570272078E-13</v>
      </c>
      <c r="BS130" s="24">
        <f t="shared" si="63"/>
        <v>10.794312614927472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123.96745898973995</v>
      </c>
      <c r="CE130" s="62">
        <f t="shared" si="94"/>
        <v>638.75149573151157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17.472356344033404</v>
      </c>
      <c r="CL130" s="23">
        <f>EXP(-LN(2)/25)*CL129+(1-EXP(-LN(2)/25))/(LN(2)/25)*Calculateur!CG130*Calculateur!CI130*VLOOKUP('Données projet'!$B$12,Paramètres!$A$1:$I$89,3,0)*0.475*44/12</f>
        <v>2.0335273106713241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19.505883654704729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121.59687193641378</v>
      </c>
      <c r="T131" s="62">
        <f t="shared" si="88"/>
        <v>625.69364310937681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16.757348569446503</v>
      </c>
      <c r="AA131" s="23">
        <f>EXP(-LN(2)/25)*AA130+(1-EXP(-LN(2)/25))/(LN(2)/25)*Calculateur!V131*Calculateur!X131*VLOOKUP('Données projet'!$B$9,Paramètres!$A$1:$I$89,3,0)*0.475*44/12</f>
        <v>1.9349221298698036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18.692270699316307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-5.1431925385259088E-14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366.86025470473652</v>
      </c>
      <c r="AO131" s="62">
        <f t="shared" si="90"/>
        <v>513.80016421153414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6.7984728957526396E-14</v>
      </c>
      <c r="BF131" s="14">
        <f t="shared" si="91"/>
        <v>1.0682447123141398E-12</v>
      </c>
      <c r="BG131" s="22">
        <f t="shared" si="61"/>
        <v>1.978932943548152E-12</v>
      </c>
      <c r="BH131" s="62">
        <f t="shared" si="62"/>
        <v>293.3333333333353</v>
      </c>
      <c r="BI131" s="62">
        <f ca="1">AVERAGE(OFFSET($BH$3,0,0,'Données projet'!$E$11+1,1))-AVERAGE(OFFSET($H$3,0,0,'Données projet'!$E$11+1,1))</f>
        <v>187.13674266165236</v>
      </c>
      <c r="BJ131" s="62">
        <f t="shared" si="92"/>
        <v>439.28159165815276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7.656133306858834</v>
      </c>
      <c r="BQ131" s="23">
        <f>EXP(-LN(2)/25)*BQ130+(1-EXP(-LN(2)/25))/(LN(2)/25)*Calculateur!BL131*Calculateur!BN131*VLOOKUP('Données projet'!$B$11,Paramètres!$A$1:$I$89,3,0)*0.475*44/12</f>
        <v>2.903418126081371</v>
      </c>
      <c r="BR131" s="23">
        <f>EXP(-LN(2)/2)*BR130+(1-EXP(-LN(2)/2))/(LN(2)/2)*BL131*BO131*VLOOKUP('Données projet'!$B$11,Paramètres!$A$1:$I$89,3,0)*0.475*44/12</f>
        <v>7.7391221958771245E-14</v>
      </c>
      <c r="BS131" s="24">
        <f t="shared" si="63"/>
        <v>10.559551432940284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123.96745898973995</v>
      </c>
      <c r="CE131" s="62">
        <f t="shared" si="94"/>
        <v>638.75149573151157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17.129734093211979</v>
      </c>
      <c r="CL131" s="23">
        <f>EXP(-LN(2)/25)*CL130+(1-EXP(-LN(2)/25))/(LN(2)/25)*Calculateur!CG131*Calculateur!CI131*VLOOKUP('Données projet'!$B$12,Paramètres!$A$1:$I$89,3,0)*0.475*44/12</f>
        <v>1.9779203994224632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19.107654492634442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121.59687193641378</v>
      </c>
      <c r="T132" s="62">
        <f t="shared" si="88"/>
        <v>625.69364310937681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16.428747184973048</v>
      </c>
      <c r="AA132" s="23">
        <f>EXP(-LN(2)/25)*AA131+(1-EXP(-LN(2)/25))/(LN(2)/25)*Calculateur!V132*Calculateur!X132*VLOOKUP('Données projet'!$B$9,Paramètres!$A$1:$I$89,3,0)*0.475*44/12</f>
        <v>1.8820115824753814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18.31075876744843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-5.1431925385259088E-14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366.86025470473652</v>
      </c>
      <c r="AO132" s="62">
        <f t="shared" si="90"/>
        <v>513.80016421153414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6.7984728957526396E-14</v>
      </c>
      <c r="BF132" s="14">
        <f t="shared" si="91"/>
        <v>1.0682447123141398E-12</v>
      </c>
      <c r="BG132" s="22">
        <f t="shared" ref="BG132:BG153" si="115">(BE132+BF132)*0.475*44/12</f>
        <v>1.978932943548152E-12</v>
      </c>
      <c r="BH132" s="62">
        <f t="shared" ref="BH132:BH195" si="116">BG132+(AY132+AZ132)*44/12</f>
        <v>293.3333333333353</v>
      </c>
      <c r="BI132" s="62">
        <f ca="1">AVERAGE(OFFSET($BH$3,0,0,'Données projet'!$E$11+1,1))-AVERAGE(OFFSET($H$3,0,0,'Données projet'!$E$11+1,1))</f>
        <v>187.13674266165236</v>
      </c>
      <c r="BJ132" s="62">
        <f t="shared" si="92"/>
        <v>439.28159165815276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7.5060012024915466</v>
      </c>
      <c r="BQ132" s="23">
        <f>EXP(-LN(2)/25)*BQ131+(1-EXP(-LN(2)/25))/(LN(2)/25)*Calculateur!BL132*Calculateur!BN132*VLOOKUP('Données projet'!$B$11,Paramètres!$A$1:$I$89,3,0)*0.475*44/12</f>
        <v>2.8240240047395524</v>
      </c>
      <c r="BR132" s="23">
        <f>EXP(-LN(2)/2)*BR131+(1-EXP(-LN(2)/2))/(LN(2)/2)*BL132*BO132*VLOOKUP('Données projet'!$B$11,Paramètres!$A$1:$I$89,3,0)*0.475*44/12</f>
        <v>5.4723857851360391E-14</v>
      </c>
      <c r="BS132" s="24">
        <f t="shared" ref="BS132:BS153" si="117">SUM(BP132:BR132)</f>
        <v>10.330025207231154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123.96745898973995</v>
      </c>
      <c r="CE132" s="62">
        <f t="shared" si="94"/>
        <v>638.75149573151157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16.793830455750225</v>
      </c>
      <c r="CL132" s="23">
        <f>EXP(-LN(2)/25)*CL131+(1-EXP(-LN(2)/25))/(LN(2)/25)*Calculateur!CG132*Calculateur!CI132*VLOOKUP('Données projet'!$B$12,Paramètres!$A$1:$I$89,3,0)*0.475*44/12</f>
        <v>1.9238340620859427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18.717664517836166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121.59687193641378</v>
      </c>
      <c r="T133" s="62">
        <f t="shared" ref="T133:T196" si="142">$T$3</f>
        <v>625.69364310937681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16.106589473222062</v>
      </c>
      <c r="AA133" s="23">
        <f>EXP(-LN(2)/25)*AA132+(1-EXP(-LN(2)/25))/(LN(2)/25)*Calculateur!V133*Calculateur!X133*VLOOKUP('Données projet'!$B$9,Paramètres!$A$1:$I$89,3,0)*0.475*44/12</f>
        <v>1.8305478767819043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17.937137350003965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-5.1431925385259088E-14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366.86025470473652</v>
      </c>
      <c r="AO133" s="62">
        <f t="shared" ref="AO133:AO196" si="144">$AO$3</f>
        <v>513.80016421153414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6.7984728957526396E-14</v>
      </c>
      <c r="BF133" s="14">
        <f t="shared" ref="BF133:BF153" si="145">EXP(-1.0587+0.8836*LN(BE133)+0.284)</f>
        <v>1.0682447123141398E-12</v>
      </c>
      <c r="BG133" s="22">
        <f t="shared" si="115"/>
        <v>1.978932943548152E-12</v>
      </c>
      <c r="BH133" s="62">
        <f t="shared" si="116"/>
        <v>293.3333333333353</v>
      </c>
      <c r="BI133" s="62">
        <f ca="1">AVERAGE(OFFSET($BH$3,0,0,'Données projet'!$E$11+1,1))-AVERAGE(OFFSET($H$3,0,0,'Données projet'!$E$11+1,1))</f>
        <v>187.13674266165236</v>
      </c>
      <c r="BJ133" s="62">
        <f t="shared" ref="BJ133:BJ196" si="146">$BJ$3</f>
        <v>439.28159165815276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7.3588130971193602</v>
      </c>
      <c r="BQ133" s="23">
        <f>EXP(-LN(2)/25)*BQ132+(1-EXP(-LN(2)/25))/(LN(2)/25)*Calculateur!BL133*Calculateur!BN133*VLOOKUP('Données projet'!$B$11,Paramètres!$A$1:$I$89,3,0)*0.475*44/12</f>
        <v>2.7468009198209815</v>
      </c>
      <c r="BR133" s="23">
        <f>EXP(-LN(2)/2)*BR132+(1-EXP(-LN(2)/2))/(LN(2)/2)*BL133*BO133*VLOOKUP('Données projet'!$B$11,Paramètres!$A$1:$I$89,3,0)*0.475*44/12</f>
        <v>3.8695610979385622E-14</v>
      </c>
      <c r="BS133" s="24">
        <f t="shared" si="117"/>
        <v>10.105614016940381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123.96745898973995</v>
      </c>
      <c r="CE133" s="62">
        <f t="shared" ref="CE133:CE196" si="148">$CE$3</f>
        <v>638.75149573151157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16.464513683738108</v>
      </c>
      <c r="CL133" s="23">
        <f>EXP(-LN(2)/25)*CL132+(1-EXP(-LN(2)/25))/(LN(2)/25)*Calculateur!CG133*Calculateur!CI133*VLOOKUP('Données projet'!$B$12,Paramètres!$A$1:$I$89,3,0)*0.475*44/12</f>
        <v>1.8712267184881661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18.335740402226275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121.59687193641378</v>
      </c>
      <c r="T134" s="62">
        <f t="shared" si="142"/>
        <v>625.69364310937681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15.790749077701712</v>
      </c>
      <c r="AA134" s="23">
        <f>EXP(-LN(2)/25)*AA133+(1-EXP(-LN(2)/25))/(LN(2)/25)*Calculateur!V134*Calculateur!X134*VLOOKUP('Données projet'!$B$9,Paramètres!$A$1:$I$89,3,0)*0.475*44/12</f>
        <v>1.7804914488269741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17.571240526528687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-5.1431925385259088E-14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366.86025470473652</v>
      </c>
      <c r="AO134" s="62">
        <f t="shared" si="144"/>
        <v>513.80016421153414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6.7984728957526396E-14</v>
      </c>
      <c r="BF134" s="14">
        <f t="shared" si="145"/>
        <v>1.0682447123141398E-12</v>
      </c>
      <c r="BG134" s="22">
        <f t="shared" si="115"/>
        <v>1.978932943548152E-12</v>
      </c>
      <c r="BH134" s="62">
        <f t="shared" si="116"/>
        <v>293.3333333333353</v>
      </c>
      <c r="BI134" s="62">
        <f ca="1">AVERAGE(OFFSET($BH$3,0,0,'Données projet'!$E$11+1,1))-AVERAGE(OFFSET($H$3,0,0,'Données projet'!$E$11+1,1))</f>
        <v>187.13674266165236</v>
      </c>
      <c r="BJ134" s="62">
        <f t="shared" si="146"/>
        <v>439.28159165815276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7.2145112607176429</v>
      </c>
      <c r="BQ134" s="23">
        <f>EXP(-LN(2)/25)*BQ133+(1-EXP(-LN(2)/25))/(LN(2)/25)*Calculateur!BL134*Calculateur!BN134*VLOOKUP('Données projet'!$B$11,Paramètres!$A$1:$I$89,3,0)*0.475*44/12</f>
        <v>2.6716895042204944</v>
      </c>
      <c r="BR134" s="23">
        <f>EXP(-LN(2)/2)*BR133+(1-EXP(-LN(2)/2))/(LN(2)/2)*BL134*BO134*VLOOKUP('Données projet'!$B$11,Paramètres!$A$1:$I$89,3,0)*0.475*44/12</f>
        <v>2.7361928925680196E-14</v>
      </c>
      <c r="BS134" s="24">
        <f t="shared" si="117"/>
        <v>9.8862007649381649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123.96745898973995</v>
      </c>
      <c r="CE134" s="62">
        <f t="shared" si="148"/>
        <v>638.75149573151157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16.141654612761752</v>
      </c>
      <c r="CL134" s="23">
        <f>EXP(-LN(2)/25)*CL133+(1-EXP(-LN(2)/25))/(LN(2)/25)*Calculateur!CG134*Calculateur!CI134*VLOOKUP('Données projet'!$B$12,Paramètres!$A$1:$I$89,3,0)*0.475*44/12</f>
        <v>1.8200579254675708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17.961712538229321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121.59687193641378</v>
      </c>
      <c r="T135" s="62">
        <f t="shared" si="142"/>
        <v>625.69364310937681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15.481102119693896</v>
      </c>
      <c r="AA135" s="23">
        <f>EXP(-LN(2)/25)*AA134+(1-EXP(-LN(2)/25))/(LN(2)/25)*Calculateur!V135*Calculateur!X135*VLOOKUP('Données projet'!$B$9,Paramètres!$A$1:$I$89,3,0)*0.475*44/12</f>
        <v>1.7318038165268246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17.212905936220722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-5.1431925385259088E-14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366.86025470473652</v>
      </c>
      <c r="AO135" s="62">
        <f t="shared" si="144"/>
        <v>513.80016421153414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6.7984728957526396E-14</v>
      </c>
      <c r="BF135" s="14">
        <f t="shared" si="145"/>
        <v>1.0682447123141398E-12</v>
      </c>
      <c r="BG135" s="22">
        <f t="shared" si="115"/>
        <v>1.978932943548152E-12</v>
      </c>
      <c r="BH135" s="62">
        <f t="shared" si="116"/>
        <v>293.3333333333353</v>
      </c>
      <c r="BI135" s="62">
        <f ca="1">AVERAGE(OFFSET($BH$3,0,0,'Données projet'!$E$11+1,1))-AVERAGE(OFFSET($H$3,0,0,'Données projet'!$E$11+1,1))</f>
        <v>187.13674266165236</v>
      </c>
      <c r="BJ135" s="62">
        <f t="shared" si="146"/>
        <v>439.28159165815276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7.0730390953123337</v>
      </c>
      <c r="BQ135" s="23">
        <f>EXP(-LN(2)/25)*BQ134+(1-EXP(-LN(2)/25))/(LN(2)/25)*Calculateur!BL135*Calculateur!BN135*VLOOKUP('Données projet'!$B$11,Paramètres!$A$1:$I$89,3,0)*0.475*44/12</f>
        <v>2.59863201422954</v>
      </c>
      <c r="BR135" s="23">
        <f>EXP(-LN(2)/2)*BR134+(1-EXP(-LN(2)/2))/(LN(2)/2)*BL135*BO135*VLOOKUP('Données projet'!$B$11,Paramètres!$A$1:$I$89,3,0)*0.475*44/12</f>
        <v>1.9347805489692811E-14</v>
      </c>
      <c r="BS135" s="24">
        <f t="shared" si="117"/>
        <v>9.6716711095418937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123.96745898973995</v>
      </c>
      <c r="CE135" s="62">
        <f t="shared" si="148"/>
        <v>638.75149573151157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15.82512661124265</v>
      </c>
      <c r="CL135" s="23">
        <f>EXP(-LN(2)/25)*CL134+(1-EXP(-LN(2)/25))/(LN(2)/25)*Calculateur!CG135*Calculateur!CI135*VLOOKUP('Données projet'!$B$12,Paramètres!$A$1:$I$89,3,0)*0.475*44/12</f>
        <v>1.7702883457829737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17.595414957025625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121.59687193641378</v>
      </c>
      <c r="T136" s="62">
        <f t="shared" si="142"/>
        <v>625.69364310937681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15.177527149666618</v>
      </c>
      <c r="AA136" s="23">
        <f>EXP(-LN(2)/25)*AA135+(1-EXP(-LN(2)/25))/(LN(2)/25)*Calculateur!V136*Calculateur!X136*VLOOKUP('Données projet'!$B$9,Paramètres!$A$1:$I$89,3,0)*0.475*44/12</f>
        <v>1.684447550092294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16.86197469975891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-5.1431925385259088E-14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366.86025470473652</v>
      </c>
      <c r="AO136" s="62">
        <f t="shared" si="144"/>
        <v>513.80016421153414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6.7984728957526396E-14</v>
      </c>
      <c r="BF136" s="14">
        <f t="shared" si="145"/>
        <v>1.0682447123141398E-12</v>
      </c>
      <c r="BG136" s="22">
        <f t="shared" si="115"/>
        <v>1.978932943548152E-12</v>
      </c>
      <c r="BH136" s="62">
        <f t="shared" si="116"/>
        <v>293.3333333333353</v>
      </c>
      <c r="BI136" s="62">
        <f ca="1">AVERAGE(OFFSET($BH$3,0,0,'Données projet'!$E$11+1,1))-AVERAGE(OFFSET($H$3,0,0,'Données projet'!$E$11+1,1))</f>
        <v>187.13674266165236</v>
      </c>
      <c r="BJ136" s="62">
        <f t="shared" si="146"/>
        <v>439.28159165815276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6.9343411127811221</v>
      </c>
      <c r="BQ136" s="23">
        <f>EXP(-LN(2)/25)*BQ135+(1-EXP(-LN(2)/25))/(LN(2)/25)*Calculateur!BL136*Calculateur!BN136*VLOOKUP('Données projet'!$B$11,Paramètres!$A$1:$I$89,3,0)*0.475*44/12</f>
        <v>2.527572285144315</v>
      </c>
      <c r="BR136" s="23">
        <f>EXP(-LN(2)/2)*BR135+(1-EXP(-LN(2)/2))/(LN(2)/2)*BL136*BO136*VLOOKUP('Données projet'!$B$11,Paramètres!$A$1:$I$89,3,0)*0.475*44/12</f>
        <v>1.3680964462840098E-14</v>
      </c>
      <c r="BS136" s="24">
        <f t="shared" si="117"/>
        <v>9.4619133979254517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123.96745898973995</v>
      </c>
      <c r="CE136" s="62">
        <f t="shared" si="148"/>
        <v>638.75149573151157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15.514805530770323</v>
      </c>
      <c r="CL136" s="23">
        <f>EXP(-LN(2)/25)*CL135+(1-EXP(-LN(2)/25))/(LN(2)/25)*Calculateur!CG136*Calculateur!CI136*VLOOKUP('Données projet'!$B$12,Paramètres!$A$1:$I$89,3,0)*0.475*44/12</f>
        <v>1.7218797178721201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17.236685248642441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121.59687193641378</v>
      </c>
      <c r="T137" s="62">
        <f t="shared" si="142"/>
        <v>625.69364310937681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14.879905099639126</v>
      </c>
      <c r="AA137" s="23">
        <f>EXP(-LN(2)/25)*AA136+(1-EXP(-LN(2)/25))/(LN(2)/25)*Calculateur!V137*Calculateur!X137*VLOOKUP('Données projet'!$B$9,Paramètres!$A$1:$I$89,3,0)*0.475*44/12</f>
        <v>1.6383862432537735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16.518291342892901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-5.1431925385259088E-14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366.86025470473652</v>
      </c>
      <c r="AO137" s="62">
        <f t="shared" si="144"/>
        <v>513.80016421153414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6.7984728957526396E-14</v>
      </c>
      <c r="BF137" s="14">
        <f t="shared" si="145"/>
        <v>1.0682447123141398E-12</v>
      </c>
      <c r="BG137" s="22">
        <f t="shared" si="115"/>
        <v>1.978932943548152E-12</v>
      </c>
      <c r="BH137" s="62">
        <f t="shared" si="116"/>
        <v>293.3333333333353</v>
      </c>
      <c r="BI137" s="62">
        <f ca="1">AVERAGE(OFFSET($BH$3,0,0,'Données projet'!$E$11+1,1))-AVERAGE(OFFSET($H$3,0,0,'Données projet'!$E$11+1,1))</f>
        <v>187.13674266165236</v>
      </c>
      <c r="BJ137" s="62">
        <f t="shared" si="146"/>
        <v>439.28159165815276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6.7983629130899317</v>
      </c>
      <c r="BQ137" s="23">
        <f>EXP(-LN(2)/25)*BQ136+(1-EXP(-LN(2)/25))/(LN(2)/25)*Calculateur!BL137*Calculateur!BN137*VLOOKUP('Données projet'!$B$11,Paramètres!$A$1:$I$89,3,0)*0.475*44/12</f>
        <v>2.4584556880877941</v>
      </c>
      <c r="BR137" s="23">
        <f>EXP(-LN(2)/2)*BR136+(1-EXP(-LN(2)/2))/(LN(2)/2)*BL137*BO137*VLOOKUP('Données projet'!$B$11,Paramètres!$A$1:$I$89,3,0)*0.475*44/12</f>
        <v>9.6739027448464056E-15</v>
      </c>
      <c r="BS137" s="24">
        <f t="shared" si="117"/>
        <v>9.2568186011777343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123.96745898973995</v>
      </c>
      <c r="CE137" s="62">
        <f t="shared" si="148"/>
        <v>638.75149573151157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15.210569657408888</v>
      </c>
      <c r="CL137" s="23">
        <f>EXP(-LN(2)/25)*CL136+(1-EXP(-LN(2)/25))/(LN(2)/25)*Calculateur!CG137*Calculateur!CI137*VLOOKUP('Données projet'!$B$12,Paramètres!$A$1:$I$89,3,0)*0.475*44/12</f>
        <v>1.6747948264371881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16.885364483846075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121.59687193641378</v>
      </c>
      <c r="T138" s="62">
        <f t="shared" si="142"/>
        <v>625.69364310937681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14.588119236481148</v>
      </c>
      <c r="AA138" s="23">
        <f>EXP(-LN(2)/25)*AA137+(1-EXP(-LN(2)/25))/(LN(2)/25)*Calculateur!V138*Calculateur!X138*VLOOKUP('Données projet'!$B$9,Paramètres!$A$1:$I$89,3,0)*0.475*44/12</f>
        <v>1.593584485273011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16.181703721754161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-5.1431925385259088E-14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366.86025470473652</v>
      </c>
      <c r="AO138" s="62">
        <f t="shared" si="144"/>
        <v>513.80016421153414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6.7984728957526396E-14</v>
      </c>
      <c r="BF138" s="14">
        <f t="shared" si="145"/>
        <v>1.0682447123141398E-12</v>
      </c>
      <c r="BG138" s="22">
        <f t="shared" si="115"/>
        <v>1.978932943548152E-12</v>
      </c>
      <c r="BH138" s="62">
        <f t="shared" si="116"/>
        <v>293.3333333333353</v>
      </c>
      <c r="BI138" s="62">
        <f ca="1">AVERAGE(OFFSET($BH$3,0,0,'Données projet'!$E$11+1,1))-AVERAGE(OFFSET($H$3,0,0,'Données projet'!$E$11+1,1))</f>
        <v>187.13674266165236</v>
      </c>
      <c r="BJ138" s="62">
        <f t="shared" si="146"/>
        <v>439.28159165815276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6.6650511629561731</v>
      </c>
      <c r="BQ138" s="23">
        <f>EXP(-LN(2)/25)*BQ137+(1-EXP(-LN(2)/25))/(LN(2)/25)*Calculateur!BL138*Calculateur!BN138*VLOOKUP('Données projet'!$B$11,Paramètres!$A$1:$I$89,3,0)*0.475*44/12</f>
        <v>2.3912290880124676</v>
      </c>
      <c r="BR138" s="23">
        <f>EXP(-LN(2)/2)*BR137+(1-EXP(-LN(2)/2))/(LN(2)/2)*BL138*BO138*VLOOKUP('Données projet'!$B$11,Paramètres!$A$1:$I$89,3,0)*0.475*44/12</f>
        <v>6.8404822314200489E-15</v>
      </c>
      <c r="BS138" s="24">
        <f t="shared" si="117"/>
        <v>9.0562802509686477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123.96745898973995</v>
      </c>
      <c r="CE138" s="62">
        <f t="shared" si="148"/>
        <v>638.75149573151157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14.91229966395851</v>
      </c>
      <c r="CL138" s="23">
        <f>EXP(-LN(2)/25)*CL137+(1-EXP(-LN(2)/25))/(LN(2)/25)*Calculateur!CG138*Calculateur!CI138*VLOOKUP('Données projet'!$B$12,Paramètres!$A$1:$I$89,3,0)*0.475*44/12</f>
        <v>1.6289974738346311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16.541297137793141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121.59687193641378</v>
      </c>
      <c r="T139" s="62">
        <f t="shared" si="142"/>
        <v>625.69364310937681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14.302055116127896</v>
      </c>
      <c r="AA139" s="23">
        <f>EXP(-LN(2)/25)*AA138+(1-EXP(-LN(2)/25))/(LN(2)/25)*Calculateur!V139*Calculateur!X139*VLOOKUP('Données projet'!$B$9,Paramètres!$A$1:$I$89,3,0)*0.475*44/12</f>
        <v>1.5500078337202545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15.85206294984815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-5.1431925385259088E-14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366.86025470473652</v>
      </c>
      <c r="AO139" s="62">
        <f t="shared" si="144"/>
        <v>513.80016421153414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6.7984728957526396E-14</v>
      </c>
      <c r="BF139" s="14">
        <f t="shared" si="145"/>
        <v>1.0682447123141398E-12</v>
      </c>
      <c r="BG139" s="22">
        <f t="shared" si="115"/>
        <v>1.978932943548152E-12</v>
      </c>
      <c r="BH139" s="62">
        <f t="shared" si="116"/>
        <v>293.3333333333353</v>
      </c>
      <c r="BI139" s="62">
        <f ca="1">AVERAGE(OFFSET($BH$3,0,0,'Données projet'!$E$11+1,1))-AVERAGE(OFFSET($H$3,0,0,'Données projet'!$E$11+1,1))</f>
        <v>187.13674266165236</v>
      </c>
      <c r="BJ139" s="62">
        <f t="shared" si="146"/>
        <v>439.28159165815276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6.5343535749303987</v>
      </c>
      <c r="BQ139" s="23">
        <f>EXP(-LN(2)/25)*BQ138+(1-EXP(-LN(2)/25))/(LN(2)/25)*Calculateur!BL139*Calculateur!BN139*VLOOKUP('Données projet'!$B$11,Paramètres!$A$1:$I$89,3,0)*0.475*44/12</f>
        <v>2.3258408028514941</v>
      </c>
      <c r="BR139" s="23">
        <f>EXP(-LN(2)/2)*BR138+(1-EXP(-LN(2)/2))/(LN(2)/2)*BL139*BO139*VLOOKUP('Données projet'!$B$11,Paramètres!$A$1:$I$89,3,0)*0.475*44/12</f>
        <v>4.8369513724232028E-15</v>
      </c>
      <c r="BS139" s="24">
        <f t="shared" si="117"/>
        <v>8.8601943777818981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123.96745898973995</v>
      </c>
      <c r="CE139" s="62">
        <f t="shared" si="148"/>
        <v>638.75149573151157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14.619878563152962</v>
      </c>
      <c r="CL139" s="23">
        <f>EXP(-LN(2)/25)*CL138+(1-EXP(-LN(2)/25))/(LN(2)/25)*Calculateur!CG139*Calculateur!CI139*VLOOKUP('Données projet'!$B$12,Paramètres!$A$1:$I$89,3,0)*0.475*44/12</f>
        <v>1.5844524522473691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16.204331015400331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121.59687193641378</v>
      </c>
      <c r="T140" s="62">
        <f t="shared" si="142"/>
        <v>625.69364310937681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14.021600538692885</v>
      </c>
      <c r="AA140" s="23">
        <f>EXP(-LN(2)/25)*AA139+(1-EXP(-LN(2)/25))/(LN(2)/25)*Calculateur!V140*Calculateur!X140*VLOOKUP('Données projet'!$B$9,Paramètres!$A$1:$I$89,3,0)*0.475*44/12</f>
        <v>1.5076227879958048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15.52922332668869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-5.1431925385259088E-14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366.86025470473652</v>
      </c>
      <c r="AO140" s="62">
        <f t="shared" si="144"/>
        <v>513.80016421153414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6.7984728957526396E-14</v>
      </c>
      <c r="BF140" s="14">
        <f t="shared" si="145"/>
        <v>1.0682447123141398E-12</v>
      </c>
      <c r="BG140" s="22">
        <f t="shared" si="115"/>
        <v>1.978932943548152E-12</v>
      </c>
      <c r="BH140" s="62">
        <f t="shared" si="116"/>
        <v>293.3333333333353</v>
      </c>
      <c r="BI140" s="62">
        <f ca="1">AVERAGE(OFFSET($BH$3,0,0,'Données projet'!$E$11+1,1))-AVERAGE(OFFSET($H$3,0,0,'Données projet'!$E$11+1,1))</f>
        <v>187.13674266165236</v>
      </c>
      <c r="BJ140" s="62">
        <f t="shared" si="146"/>
        <v>439.28159165815276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6.4062188868881531</v>
      </c>
      <c r="BQ140" s="23">
        <f>EXP(-LN(2)/25)*BQ139+(1-EXP(-LN(2)/25))/(LN(2)/25)*Calculateur!BL140*Calculateur!BN140*VLOOKUP('Données projet'!$B$11,Paramètres!$A$1:$I$89,3,0)*0.475*44/12</f>
        <v>2.2622405637868681</v>
      </c>
      <c r="BR140" s="23">
        <f>EXP(-LN(2)/2)*BR139+(1-EXP(-LN(2)/2))/(LN(2)/2)*BL140*BO140*VLOOKUP('Données projet'!$B$11,Paramètres!$A$1:$I$89,3,0)*0.475*44/12</f>
        <v>3.4202411157100244E-15</v>
      </c>
      <c r="BS140" s="24">
        <f t="shared" si="117"/>
        <v>8.6684594506750248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123.96745898973995</v>
      </c>
      <c r="CE140" s="62">
        <f t="shared" si="148"/>
        <v>638.75149573151157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14.333191661774951</v>
      </c>
      <c r="CL140" s="23">
        <f>EXP(-LN(2)/25)*CL139+(1-EXP(-LN(2)/25))/(LN(2)/25)*Calculateur!CG140*Calculateur!CI140*VLOOKUP('Données projet'!$B$12,Paramètres!$A$1:$I$89,3,0)*0.475*44/12</f>
        <v>1.5411255166179316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15.874317178392882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121.59687193641378</v>
      </c>
      <c r="T141" s="62">
        <f t="shared" si="142"/>
        <v>625.69364310937681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13.746645504460973</v>
      </c>
      <c r="AA141" s="23">
        <f>EXP(-LN(2)/25)*AA140+(1-EXP(-LN(2)/25))/(LN(2)/25)*Calculateur!V141*Calculateur!X141*VLOOKUP('Données projet'!$B$9,Paramètres!$A$1:$I$89,3,0)*0.475*44/12</f>
        <v>1.4663967635756228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15.213042268036595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-5.1431925385259088E-14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366.86025470473652</v>
      </c>
      <c r="AO141" s="62">
        <f t="shared" si="144"/>
        <v>513.80016421153414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6.7984728957526396E-14</v>
      </c>
      <c r="BF141" s="14">
        <f t="shared" si="145"/>
        <v>1.0682447123141398E-12</v>
      </c>
      <c r="BG141" s="22">
        <f t="shared" si="115"/>
        <v>1.978932943548152E-12</v>
      </c>
      <c r="BH141" s="62">
        <f t="shared" si="116"/>
        <v>293.3333333333353</v>
      </c>
      <c r="BI141" s="62">
        <f ca="1">AVERAGE(OFFSET($BH$3,0,0,'Données projet'!$E$11+1,1))-AVERAGE(OFFSET($H$3,0,0,'Données projet'!$E$11+1,1))</f>
        <v>187.13674266165236</v>
      </c>
      <c r="BJ141" s="62">
        <f t="shared" si="146"/>
        <v>439.28159165815276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6.2805968419239733</v>
      </c>
      <c r="BQ141" s="23">
        <f>EXP(-LN(2)/25)*BQ140+(1-EXP(-LN(2)/25))/(LN(2)/25)*Calculateur!BL141*Calculateur!BN141*VLOOKUP('Données projet'!$B$11,Paramètres!$A$1:$I$89,3,0)*0.475*44/12</f>
        <v>2.2003794766040552</v>
      </c>
      <c r="BR141" s="23">
        <f>EXP(-LN(2)/2)*BR140+(1-EXP(-LN(2)/2))/(LN(2)/2)*BL141*BO141*VLOOKUP('Données projet'!$B$11,Paramètres!$A$1:$I$89,3,0)*0.475*44/12</f>
        <v>2.4184756862116014E-15</v>
      </c>
      <c r="BS141" s="24">
        <f t="shared" si="117"/>
        <v>8.4809763185280307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123.96745898973995</v>
      </c>
      <c r="CE141" s="62">
        <f t="shared" si="148"/>
        <v>638.75149573151157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14.052126515671219</v>
      </c>
      <c r="CL141" s="23">
        <f>EXP(-LN(2)/25)*CL140+(1-EXP(-LN(2)/25))/(LN(2)/25)*Calculateur!CG141*Calculateur!CI141*VLOOKUP('Données projet'!$B$12,Paramètres!$A$1:$I$89,3,0)*0.475*44/12</f>
        <v>1.4989833583217456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15.551109873992964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121.59687193641378</v>
      </c>
      <c r="T142" s="62">
        <f t="shared" si="142"/>
        <v>625.69364310937681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13.477082170744339</v>
      </c>
      <c r="AA142" s="23">
        <f>EXP(-LN(2)/25)*AA141+(1-EXP(-LN(2)/25))/(LN(2)/25)*Calculateur!V142*Calculateur!X142*VLOOKUP('Données projet'!$B$9,Paramètres!$A$1:$I$89,3,0)*0.475*44/12</f>
        <v>1.4262980669611931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14.903380237705532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-5.1431925385259088E-14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366.86025470473652</v>
      </c>
      <c r="AO142" s="62">
        <f t="shared" si="144"/>
        <v>513.80016421153414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6.7984728957526396E-14</v>
      </c>
      <c r="BF142" s="14">
        <f t="shared" si="145"/>
        <v>1.0682447123141398E-12</v>
      </c>
      <c r="BG142" s="22">
        <f t="shared" si="115"/>
        <v>1.978932943548152E-12</v>
      </c>
      <c r="BH142" s="62">
        <f t="shared" si="116"/>
        <v>293.3333333333353</v>
      </c>
      <c r="BI142" s="62">
        <f ca="1">AVERAGE(OFFSET($BH$3,0,0,'Données projet'!$E$11+1,1))-AVERAGE(OFFSET($H$3,0,0,'Données projet'!$E$11+1,1))</f>
        <v>187.13674266165236</v>
      </c>
      <c r="BJ142" s="62">
        <f t="shared" si="146"/>
        <v>439.28159165815276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6.1574381686396586</v>
      </c>
      <c r="BQ142" s="23">
        <f>EXP(-LN(2)/25)*BQ141+(1-EXP(-LN(2)/25))/(LN(2)/25)*Calculateur!BL142*Calculateur!BN142*VLOOKUP('Données projet'!$B$11,Paramètres!$A$1:$I$89,3,0)*0.475*44/12</f>
        <v>2.1402099841033895</v>
      </c>
      <c r="BR142" s="23">
        <f>EXP(-LN(2)/2)*BR141+(1-EXP(-LN(2)/2))/(LN(2)/2)*BL142*BO142*VLOOKUP('Données projet'!$B$11,Paramètres!$A$1:$I$89,3,0)*0.475*44/12</f>
        <v>1.7101205578550122E-15</v>
      </c>
      <c r="BS142" s="24">
        <f t="shared" si="117"/>
        <v>8.297648152743049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123.96745898973995</v>
      </c>
      <c r="CE142" s="62">
        <f t="shared" si="148"/>
        <v>638.75149573151157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13.77657288564977</v>
      </c>
      <c r="CL142" s="23">
        <f>EXP(-LN(2)/25)*CL141+(1-EXP(-LN(2)/25))/(LN(2)/25)*Calculateur!CG142*Calculateur!CI142*VLOOKUP('Données projet'!$B$12,Paramètres!$A$1:$I$89,3,0)*0.475*44/12</f>
        <v>1.4579935795603285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15.234566465210099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121.59687193641378</v>
      </c>
      <c r="T143" s="62">
        <f t="shared" si="142"/>
        <v>625.69364310937681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13.212804809584489</v>
      </c>
      <c r="AA143" s="23">
        <f>EXP(-LN(2)/25)*AA142+(1-EXP(-LN(2)/25))/(LN(2)/25)*Calculateur!V143*Calculateur!X143*VLOOKUP('Données projet'!$B$9,Paramètres!$A$1:$I$89,3,0)*0.475*44/12</f>
        <v>1.3872958713143837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14.600100680898873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-5.1431925385259088E-14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366.86025470473652</v>
      </c>
      <c r="AO143" s="62">
        <f t="shared" si="144"/>
        <v>513.80016421153414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6.7984728957526396E-14</v>
      </c>
      <c r="BF143" s="14">
        <f t="shared" si="145"/>
        <v>1.0682447123141398E-12</v>
      </c>
      <c r="BG143" s="22">
        <f t="shared" si="115"/>
        <v>1.978932943548152E-12</v>
      </c>
      <c r="BH143" s="62">
        <f t="shared" si="116"/>
        <v>293.3333333333353</v>
      </c>
      <c r="BI143" s="62">
        <f ca="1">AVERAGE(OFFSET($BH$3,0,0,'Données projet'!$E$11+1,1))-AVERAGE(OFFSET($H$3,0,0,'Données projet'!$E$11+1,1))</f>
        <v>187.13674266165236</v>
      </c>
      <c r="BJ143" s="62">
        <f t="shared" si="146"/>
        <v>439.28159165815276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6.0366945618190764</v>
      </c>
      <c r="BQ143" s="23">
        <f>EXP(-LN(2)/25)*BQ142+(1-EXP(-LN(2)/25))/(LN(2)/25)*Calculateur!BL143*Calculateur!BN143*VLOOKUP('Données projet'!$B$11,Paramètres!$A$1:$I$89,3,0)*0.475*44/12</f>
        <v>2.0816858295393308</v>
      </c>
      <c r="BR143" s="23">
        <f>EXP(-LN(2)/2)*BR142+(1-EXP(-LN(2)/2))/(LN(2)/2)*BL143*BO143*VLOOKUP('Données projet'!$B$11,Paramètres!$A$1:$I$89,3,0)*0.475*44/12</f>
        <v>1.2092378431058007E-15</v>
      </c>
      <c r="BS143" s="24">
        <f t="shared" si="117"/>
        <v>8.1183803913584089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123.96745898973995</v>
      </c>
      <c r="CE143" s="62">
        <f t="shared" si="148"/>
        <v>638.75149573151157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13.506422694241923</v>
      </c>
      <c r="CL143" s="23">
        <f>EXP(-LN(2)/25)*CL142+(1-EXP(-LN(2)/25))/(LN(2)/25)*Calculateur!CG143*Calculateur!CI143*VLOOKUP('Données projet'!$B$12,Paramètres!$A$1:$I$89,3,0)*0.475*44/12</f>
        <v>1.4181246684547013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14.924547362696625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121.59687193641378</v>
      </c>
      <c r="T144" s="62">
        <f t="shared" si="142"/>
        <v>625.69364310937681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12.953709766283708</v>
      </c>
      <c r="AA144" s="23">
        <f>EXP(-LN(2)/25)*AA143+(1-EXP(-LN(2)/25))/(LN(2)/25)*Calculateur!V144*Calculateur!X144*VLOOKUP('Données projet'!$B$9,Paramètres!$A$1:$I$89,3,0)*0.475*44/12</f>
        <v>1.3493601927585728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14.303069959042281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-5.1431925385259088E-14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366.86025470473652</v>
      </c>
      <c r="AO144" s="62">
        <f t="shared" si="144"/>
        <v>513.80016421153414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6.7984728957526396E-14</v>
      </c>
      <c r="BF144" s="14">
        <f t="shared" si="145"/>
        <v>1.0682447123141398E-12</v>
      </c>
      <c r="BG144" s="22">
        <f t="shared" si="115"/>
        <v>1.978932943548152E-12</v>
      </c>
      <c r="BH144" s="62">
        <f t="shared" si="116"/>
        <v>293.3333333333353</v>
      </c>
      <c r="BI144" s="62">
        <f ca="1">AVERAGE(OFFSET($BH$3,0,0,'Données projet'!$E$11+1,1))-AVERAGE(OFFSET($H$3,0,0,'Données projet'!$E$11+1,1))</f>
        <v>187.13674266165236</v>
      </c>
      <c r="BJ144" s="62">
        <f t="shared" si="146"/>
        <v>439.28159165815276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5.9183186634819176</v>
      </c>
      <c r="BQ144" s="23">
        <f>EXP(-LN(2)/25)*BQ143+(1-EXP(-LN(2)/25))/(LN(2)/25)*Calculateur!BL144*Calculateur!BN144*VLOOKUP('Données projet'!$B$11,Paramètres!$A$1:$I$89,3,0)*0.475*44/12</f>
        <v>2.0247620210594777</v>
      </c>
      <c r="BR144" s="23">
        <f>EXP(-LN(2)/2)*BR143+(1-EXP(-LN(2)/2))/(LN(2)/2)*BL144*BO144*VLOOKUP('Données projet'!$B$11,Paramètres!$A$1:$I$89,3,0)*0.475*44/12</f>
        <v>8.5506027892750611E-16</v>
      </c>
      <c r="BS144" s="24">
        <f t="shared" si="117"/>
        <v>7.9430806845413962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123.96745898973995</v>
      </c>
      <c r="CE144" s="62">
        <f t="shared" si="148"/>
        <v>638.75149573151157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13.241569983312237</v>
      </c>
      <c r="CL144" s="23">
        <f>EXP(-LN(2)/25)*CL143+(1-EXP(-LN(2)/25))/(LN(2)/25)*Calculateur!CG144*Calculateur!CI144*VLOOKUP('Données projet'!$B$12,Paramètres!$A$1:$I$89,3,0)*0.475*44/12</f>
        <v>1.3793459748198724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14.620915958132109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121.59687193641378</v>
      </c>
      <c r="T145" s="62">
        <f t="shared" si="142"/>
        <v>625.69364310937681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12.699695418749686</v>
      </c>
      <c r="AA145" s="23">
        <f>EXP(-LN(2)/25)*AA144+(1-EXP(-LN(2)/25))/(LN(2)/25)*Calculateur!V145*Calculateur!X145*VLOOKUP('Données projet'!$B$9,Paramètres!$A$1:$I$89,3,0)*0.475*44/12</f>
        <v>1.312461867327821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14.012157286077507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-5.1431925385259088E-14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366.86025470473652</v>
      </c>
      <c r="AO145" s="62">
        <f t="shared" si="144"/>
        <v>513.80016421153414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6.7984728957526396E-14</v>
      </c>
      <c r="BF145" s="14">
        <f t="shared" si="145"/>
        <v>1.0682447123141398E-12</v>
      </c>
      <c r="BG145" s="22">
        <f t="shared" si="115"/>
        <v>1.978932943548152E-12</v>
      </c>
      <c r="BH145" s="62">
        <f t="shared" si="116"/>
        <v>293.3333333333353</v>
      </c>
      <c r="BI145" s="62">
        <f ca="1">AVERAGE(OFFSET($BH$3,0,0,'Données projet'!$E$11+1,1))-AVERAGE(OFFSET($H$3,0,0,'Données projet'!$E$11+1,1))</f>
        <v>187.13674266165236</v>
      </c>
      <c r="BJ145" s="62">
        <f t="shared" si="146"/>
        <v>439.28159165815276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5.8022640443089823</v>
      </c>
      <c r="BQ145" s="23">
        <f>EXP(-LN(2)/25)*BQ144+(1-EXP(-LN(2)/25))/(LN(2)/25)*Calculateur!BL145*Calculateur!BN145*VLOOKUP('Données projet'!$B$11,Paramètres!$A$1:$I$89,3,0)*0.475*44/12</f>
        <v>1.9693947971159993</v>
      </c>
      <c r="BR145" s="23">
        <f>EXP(-LN(2)/2)*BR144+(1-EXP(-LN(2)/2))/(LN(2)/2)*BL145*BO145*VLOOKUP('Données projet'!$B$11,Paramètres!$A$1:$I$89,3,0)*0.475*44/12</f>
        <v>6.0461892155290035E-16</v>
      </c>
      <c r="BS145" s="24">
        <f t="shared" si="117"/>
        <v>7.7716588414249825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123.96745898973995</v>
      </c>
      <c r="CE145" s="62">
        <f t="shared" si="148"/>
        <v>638.75149573151157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12.981910872499681</v>
      </c>
      <c r="CL145" s="23">
        <f>EXP(-LN(2)/25)*CL144+(1-EXP(-LN(2)/25))/(LN(2)/25)*Calculateur!CG145*Calculateur!CI145*VLOOKUP('Données projet'!$B$12,Paramètres!$A$1:$I$89,3,0)*0.475*44/12</f>
        <v>1.3416276866017707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14.323538559101451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121.59687193641378</v>
      </c>
      <c r="T146" s="62">
        <f t="shared" si="142"/>
        <v>625.69364310937681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12.450662137637352</v>
      </c>
      <c r="AA146" s="23">
        <f>EXP(-LN(2)/25)*AA145+(1-EXP(-LN(2)/25))/(LN(2)/25)*Calculateur!V146*Calculateur!X146*VLOOKUP('Données projet'!$B$9,Paramètres!$A$1:$I$89,3,0)*0.475*44/12</f>
        <v>1.2765725285463718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13.727234666183723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-5.1431925385259088E-14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366.86025470473652</v>
      </c>
      <c r="AO146" s="62">
        <f t="shared" si="144"/>
        <v>513.80016421153414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6.7984728957526396E-14</v>
      </c>
      <c r="BF146" s="14">
        <f t="shared" si="145"/>
        <v>1.0682447123141398E-12</v>
      </c>
      <c r="BG146" s="22">
        <f t="shared" si="115"/>
        <v>1.978932943548152E-12</v>
      </c>
      <c r="BH146" s="62">
        <f t="shared" si="116"/>
        <v>293.3333333333353</v>
      </c>
      <c r="BI146" s="62">
        <f ca="1">AVERAGE(OFFSET($BH$3,0,0,'Données projet'!$E$11+1,1))-AVERAGE(OFFSET($H$3,0,0,'Données projet'!$E$11+1,1))</f>
        <v>187.13674266165236</v>
      </c>
      <c r="BJ146" s="62">
        <f t="shared" si="146"/>
        <v>439.28159165815276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5.6884851854317002</v>
      </c>
      <c r="BQ146" s="23">
        <f>EXP(-LN(2)/25)*BQ145+(1-EXP(-LN(2)/25))/(LN(2)/25)*Calculateur!BL146*Calculateur!BN146*VLOOKUP('Données projet'!$B$11,Paramètres!$A$1:$I$89,3,0)*0.475*44/12</f>
        <v>1.9155415928228909</v>
      </c>
      <c r="BR146" s="23">
        <f>EXP(-LN(2)/2)*BR145+(1-EXP(-LN(2)/2))/(LN(2)/2)*BL146*BO146*VLOOKUP('Données projet'!$B$11,Paramètres!$A$1:$I$89,3,0)*0.475*44/12</f>
        <v>4.2753013946375306E-16</v>
      </c>
      <c r="BS146" s="24">
        <f t="shared" si="117"/>
        <v>7.6040267782545907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123.96745898973995</v>
      </c>
      <c r="CE146" s="62">
        <f t="shared" si="148"/>
        <v>638.75149573151157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12.727343518473738</v>
      </c>
      <c r="CL146" s="23">
        <f>EXP(-LN(2)/25)*CL145+(1-EXP(-LN(2)/25))/(LN(2)/25)*Calculateur!CG146*Calculateur!CI146*VLOOKUP('Données projet'!$B$12,Paramètres!$A$1:$I$89,3,0)*0.475*44/12</f>
        <v>1.3049408069585116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14.032284325432249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121.59687193641378</v>
      </c>
      <c r="T147" s="62">
        <f t="shared" si="142"/>
        <v>625.69364310937681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12.206512247272327</v>
      </c>
      <c r="AA147" s="23">
        <f>EXP(-LN(2)/25)*AA146+(1-EXP(-LN(2)/25))/(LN(2)/25)*Calculateur!V147*Calculateur!X147*VLOOKUP('Données projet'!$B$9,Paramètres!$A$1:$I$89,3,0)*0.475*44/12</f>
        <v>1.2416645856212396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13.448176832893566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-5.1431925385259088E-14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366.86025470473652</v>
      </c>
      <c r="AO147" s="62">
        <f t="shared" si="144"/>
        <v>513.80016421153414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6.7984728957526396E-14</v>
      </c>
      <c r="BF147" s="14">
        <f t="shared" si="145"/>
        <v>1.0682447123141398E-12</v>
      </c>
      <c r="BG147" s="22">
        <f t="shared" si="115"/>
        <v>1.978932943548152E-12</v>
      </c>
      <c r="BH147" s="62">
        <f t="shared" si="116"/>
        <v>293.3333333333353</v>
      </c>
      <c r="BI147" s="62">
        <f ca="1">AVERAGE(OFFSET($BH$3,0,0,'Données projet'!$E$11+1,1))-AVERAGE(OFFSET($H$3,0,0,'Données projet'!$E$11+1,1))</f>
        <v>187.13674266165236</v>
      </c>
      <c r="BJ147" s="62">
        <f t="shared" si="146"/>
        <v>439.28159165815276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5.5769374605787503</v>
      </c>
      <c r="BQ147" s="23">
        <f>EXP(-LN(2)/25)*BQ146+(1-EXP(-LN(2)/25))/(LN(2)/25)*Calculateur!BL147*Calculateur!BN147*VLOOKUP('Données projet'!$B$11,Paramètres!$A$1:$I$89,3,0)*0.475*44/12</f>
        <v>1.8631610072331946</v>
      </c>
      <c r="BR147" s="23">
        <f>EXP(-LN(2)/2)*BR146+(1-EXP(-LN(2)/2))/(LN(2)/2)*BL147*BO147*VLOOKUP('Données projet'!$B$11,Paramètres!$A$1:$I$89,3,0)*0.475*44/12</f>
        <v>3.0230946077645017E-16</v>
      </c>
      <c r="BS147" s="24">
        <f t="shared" si="117"/>
        <v>7.4400984678119446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123.96745898973995</v>
      </c>
      <c r="CE147" s="62">
        <f t="shared" si="148"/>
        <v>638.75149573151157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12.477768074989489</v>
      </c>
      <c r="CL147" s="23">
        <f>EXP(-LN(2)/25)*CL146+(1-EXP(-LN(2)/25))/(LN(2)/25)*Calculateur!CG147*Calculateur!CI147*VLOOKUP('Données projet'!$B$12,Paramètres!$A$1:$I$89,3,0)*0.475*44/12</f>
        <v>1.2692571319683765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13.747025206957867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121.59687193641378</v>
      </c>
      <c r="T148" s="62">
        <f t="shared" si="142"/>
        <v>625.69364310937681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11.967149987340632</v>
      </c>
      <c r="AA148" s="23">
        <f>EXP(-LN(2)/25)*AA147+(1-EXP(-LN(2)/25))/(LN(2)/25)*Calculateur!V148*Calculateur!X148*VLOOKUP('Données projet'!$B$9,Paramètres!$A$1:$I$89,3,0)*0.475*44/12</f>
        <v>1.207711202231124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13.174861189571756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-5.1431925385259088E-14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366.86025470473652</v>
      </c>
      <c r="AO148" s="62">
        <f t="shared" si="144"/>
        <v>513.80016421153414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6.7984728957526396E-14</v>
      </c>
      <c r="BF148" s="14">
        <f t="shared" si="145"/>
        <v>1.0682447123141398E-12</v>
      </c>
      <c r="BG148" s="22">
        <f t="shared" si="115"/>
        <v>1.978932943548152E-12</v>
      </c>
      <c r="BH148" s="62">
        <f t="shared" si="116"/>
        <v>293.3333333333353</v>
      </c>
      <c r="BI148" s="62">
        <f ca="1">AVERAGE(OFFSET($BH$3,0,0,'Données projet'!$E$11+1,1))-AVERAGE(OFFSET($H$3,0,0,'Données projet'!$E$11+1,1))</f>
        <v>187.13674266165236</v>
      </c>
      <c r="BJ148" s="62">
        <f t="shared" si="146"/>
        <v>439.28159165815276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5.4675771185727724</v>
      </c>
      <c r="BQ148" s="23">
        <f>EXP(-LN(2)/25)*BQ147+(1-EXP(-LN(2)/25))/(LN(2)/25)*Calculateur!BL148*Calculateur!BN148*VLOOKUP('Données projet'!$B$11,Paramètres!$A$1:$I$89,3,0)*0.475*44/12</f>
        <v>1.8122127715110239</v>
      </c>
      <c r="BR148" s="23">
        <f>EXP(-LN(2)/2)*BR147+(1-EXP(-LN(2)/2))/(LN(2)/2)*BL148*BO148*VLOOKUP('Données projet'!$B$11,Paramètres!$A$1:$I$89,3,0)*0.475*44/12</f>
        <v>2.1376506973187653E-16</v>
      </c>
      <c r="BS148" s="24">
        <f t="shared" si="117"/>
        <v>7.2797898900837961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123.96745898973995</v>
      </c>
      <c r="CE148" s="62">
        <f t="shared" si="148"/>
        <v>638.75149573151157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12.233086653725978</v>
      </c>
      <c r="CL148" s="23">
        <f>EXP(-LN(2)/25)*CL147+(1-EXP(-LN(2)/25))/(LN(2)/25)*Calculateur!CG148*Calculateur!CI148*VLOOKUP('Données projet'!$B$12,Paramètres!$A$1:$I$89,3,0)*0.475*44/12</f>
        <v>1.2345492289473696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13.467635882673347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121.59687193641378</v>
      </c>
      <c r="T149" s="62">
        <f t="shared" si="142"/>
        <v>625.69364310937681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11.732481475329633</v>
      </c>
      <c r="AA149" s="23">
        <f>EXP(-LN(2)/25)*AA148+(1-EXP(-LN(2)/25))/(LN(2)/25)*Calculateur!V149*Calculateur!X149*VLOOKUP('Données projet'!$B$9,Paramètres!$A$1:$I$89,3,0)*0.475*44/12</f>
        <v>1.174686275895342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12.907167751224975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-5.1431925385259088E-14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366.86025470473652</v>
      </c>
      <c r="AO149" s="62">
        <f t="shared" si="144"/>
        <v>513.80016421153414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6.7984728957526396E-14</v>
      </c>
      <c r="BF149" s="14">
        <f t="shared" si="145"/>
        <v>1.0682447123141398E-12</v>
      </c>
      <c r="BG149" s="22">
        <f t="shared" si="115"/>
        <v>1.978932943548152E-12</v>
      </c>
      <c r="BH149" s="62">
        <f t="shared" si="116"/>
        <v>293.3333333333353</v>
      </c>
      <c r="BI149" s="62">
        <f ca="1">AVERAGE(OFFSET($BH$3,0,0,'Données projet'!$E$11+1,1))-AVERAGE(OFFSET($H$3,0,0,'Données projet'!$E$11+1,1))</f>
        <v>187.13674266165236</v>
      </c>
      <c r="BJ149" s="62">
        <f t="shared" si="146"/>
        <v>439.28159165815276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5.3603612661703091</v>
      </c>
      <c r="BQ149" s="23">
        <f>EXP(-LN(2)/25)*BQ148+(1-EXP(-LN(2)/25))/(LN(2)/25)*Calculateur!BL149*Calculateur!BN149*VLOOKUP('Données projet'!$B$11,Paramètres!$A$1:$I$89,3,0)*0.475*44/12</f>
        <v>1.7626577179739271</v>
      </c>
      <c r="BR149" s="23">
        <f>EXP(-LN(2)/2)*BR148+(1-EXP(-LN(2)/2))/(LN(2)/2)*BL149*BO149*VLOOKUP('Données projet'!$B$11,Paramètres!$A$1:$I$89,3,0)*0.475*44/12</f>
        <v>1.5115473038822509E-16</v>
      </c>
      <c r="BS149" s="24">
        <f t="shared" si="117"/>
        <v>7.1230189841442364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123.96745898973995</v>
      </c>
      <c r="CE149" s="62">
        <f t="shared" si="148"/>
        <v>638.75149573151157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11.993203285892514</v>
      </c>
      <c r="CL149" s="23">
        <f>EXP(-LN(2)/25)*CL148+(1-EXP(-LN(2)/25))/(LN(2)/25)*Calculateur!CG149*Calculateur!CI149*VLOOKUP('Données projet'!$B$12,Paramètres!$A$1:$I$89,3,0)*0.475*44/12</f>
        <v>1.2007904153596816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13.193993701252197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121.59687193641378</v>
      </c>
      <c r="T150" s="62">
        <f t="shared" si="142"/>
        <v>625.69364310937681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11.502414669705512</v>
      </c>
      <c r="AA150" s="23">
        <f>EXP(-LN(2)/25)*AA149+(1-EXP(-LN(2)/25))/(LN(2)/25)*Calculateur!V150*Calculateur!X150*VLOOKUP('Données projet'!$B$9,Paramètres!$A$1:$I$89,3,0)*0.475*44/12</f>
        <v>1.1425644179069174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12.64497908761243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-5.1431925385259088E-14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366.86025470473652</v>
      </c>
      <c r="AO150" s="62">
        <f t="shared" si="144"/>
        <v>513.80016421153414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6.7984728957526396E-14</v>
      </c>
      <c r="BF150" s="14">
        <f t="shared" si="145"/>
        <v>1.0682447123141398E-12</v>
      </c>
      <c r="BG150" s="22">
        <f t="shared" si="115"/>
        <v>1.978932943548152E-12</v>
      </c>
      <c r="BH150" s="62">
        <f t="shared" si="116"/>
        <v>293.3333333333353</v>
      </c>
      <c r="BI150" s="62">
        <f ca="1">AVERAGE(OFFSET($BH$3,0,0,'Données projet'!$E$11+1,1))-AVERAGE(OFFSET($H$3,0,0,'Données projet'!$E$11+1,1))</f>
        <v>187.13674266165236</v>
      </c>
      <c r="BJ150" s="62">
        <f t="shared" si="146"/>
        <v>439.28159165815276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5.2552478512382459</v>
      </c>
      <c r="BQ150" s="23">
        <f>EXP(-LN(2)/25)*BQ149+(1-EXP(-LN(2)/25))/(LN(2)/25)*Calculateur!BL150*Calculateur!BN150*VLOOKUP('Données projet'!$B$11,Paramètres!$A$1:$I$89,3,0)*0.475*44/12</f>
        <v>1.7144577499817892</v>
      </c>
      <c r="BR150" s="23">
        <f>EXP(-LN(2)/2)*BR149+(1-EXP(-LN(2)/2))/(LN(2)/2)*BL150*BO150*VLOOKUP('Données projet'!$B$11,Paramètres!$A$1:$I$89,3,0)*0.475*44/12</f>
        <v>1.0688253486593826E-16</v>
      </c>
      <c r="BS150" s="24">
        <f t="shared" si="117"/>
        <v>6.9697056012200349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123.96745898973995</v>
      </c>
      <c r="CE150" s="62">
        <f t="shared" si="148"/>
        <v>638.75149573151157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11.758023884587857</v>
      </c>
      <c r="CL150" s="23">
        <f>EXP(-LN(2)/25)*CL149+(1-EXP(-LN(2)/25))/(LN(2)/25)*Calculateur!CG150*Calculateur!CI150*VLOOKUP('Données projet'!$B$12,Paramètres!$A$1:$I$89,3,0)*0.475*44/12</f>
        <v>1.1679547383048476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12.925978622892705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121.59687193641378</v>
      </c>
      <c r="T151" s="62">
        <f t="shared" si="142"/>
        <v>625.69364310937681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11.276859333812785</v>
      </c>
      <c r="AA151" s="23">
        <f>EXP(-LN(2)/25)*AA150+(1-EXP(-LN(2)/25))/(LN(2)/25)*Calculateur!V151*Calculateur!X151*VLOOKUP('Données projet'!$B$9,Paramètres!$A$1:$I$89,3,0)*0.475*44/12</f>
        <v>1.1113209338144014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12.388180267627186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-5.1431925385259088E-14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366.86025470473652</v>
      </c>
      <c r="AO151" s="62">
        <f t="shared" si="144"/>
        <v>513.80016421153414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6.7984728957526396E-14</v>
      </c>
      <c r="BF151" s="14">
        <f t="shared" si="145"/>
        <v>1.0682447123141398E-12</v>
      </c>
      <c r="BG151" s="22">
        <f t="shared" si="115"/>
        <v>1.978932943548152E-12</v>
      </c>
      <c r="BH151" s="62">
        <f t="shared" si="116"/>
        <v>293.3333333333353</v>
      </c>
      <c r="BI151" s="62">
        <f ca="1">AVERAGE(OFFSET($BH$3,0,0,'Données projet'!$E$11+1,1))-AVERAGE(OFFSET($H$3,0,0,'Données projet'!$E$11+1,1))</f>
        <v>187.13674266165236</v>
      </c>
      <c r="BJ151" s="62">
        <f t="shared" si="146"/>
        <v>439.28159165815276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5.1521956462601475</v>
      </c>
      <c r="BQ151" s="23">
        <f>EXP(-LN(2)/25)*BQ150+(1-EXP(-LN(2)/25))/(LN(2)/25)*Calculateur!BL151*Calculateur!BN151*VLOOKUP('Données projet'!$B$11,Paramètres!$A$1:$I$89,3,0)*0.475*44/12</f>
        <v>1.6675758126491227</v>
      </c>
      <c r="BR151" s="23">
        <f>EXP(-LN(2)/2)*BR150+(1-EXP(-LN(2)/2))/(LN(2)/2)*BL151*BO151*VLOOKUP('Données projet'!$B$11,Paramètres!$A$1:$I$89,3,0)*0.475*44/12</f>
        <v>7.5577365194112544E-17</v>
      </c>
      <c r="BS151" s="24">
        <f t="shared" si="117"/>
        <v>6.8197714589092699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123.96745898973995</v>
      </c>
      <c r="CE151" s="62">
        <f t="shared" si="148"/>
        <v>638.75149573151157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11.527456207897513</v>
      </c>
      <c r="CL151" s="23">
        <f>EXP(-LN(2)/25)*CL150+(1-EXP(-LN(2)/25))/(LN(2)/25)*Calculateur!CG151*Calculateur!CI151*VLOOKUP('Données projet'!$B$12,Paramètres!$A$1:$I$89,3,0)*0.475*44/12</f>
        <v>1.1360169545658312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12.663473162463344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121.59687193641378</v>
      </c>
      <c r="T152" s="62">
        <f t="shared" si="142"/>
        <v>625.69364310937681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11.055727000481744</v>
      </c>
      <c r="AA152" s="23">
        <f>EXP(-LN(2)/25)*AA151+(1-EXP(-LN(2)/25))/(LN(2)/25)*Calculateur!V152*Calculateur!X152*VLOOKUP('Données projet'!$B$9,Paramètres!$A$1:$I$89,3,0)*0.475*44/12</f>
        <v>1.0809318044374188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12.136658804919163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-5.1431925385259088E-14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366.86025470473652</v>
      </c>
      <c r="AO152" s="62">
        <f t="shared" si="144"/>
        <v>513.80016421153414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6.7984728957526396E-14</v>
      </c>
      <c r="BF152" s="14">
        <f t="shared" si="145"/>
        <v>1.0682447123141398E-12</v>
      </c>
      <c r="BG152" s="22">
        <f t="shared" si="115"/>
        <v>1.978932943548152E-12</v>
      </c>
      <c r="BH152" s="62">
        <f t="shared" si="116"/>
        <v>293.3333333333353</v>
      </c>
      <c r="BI152" s="62">
        <f ca="1">AVERAGE(OFFSET($BH$3,0,0,'Données projet'!$E$11+1,1))-AVERAGE(OFFSET($H$3,0,0,'Données projet'!$E$11+1,1))</f>
        <v>187.13674266165236</v>
      </c>
      <c r="BJ152" s="62">
        <f t="shared" si="146"/>
        <v>439.28159165815276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5.0511642321660313</v>
      </c>
      <c r="BQ152" s="23">
        <f>EXP(-LN(2)/25)*BQ151+(1-EXP(-LN(2)/25))/(LN(2)/25)*Calculateur!BL152*Calculateur!BN152*VLOOKUP('Données projet'!$B$11,Paramètres!$A$1:$I$89,3,0)*0.475*44/12</f>
        <v>1.6219758643582318</v>
      </c>
      <c r="BR152" s="23">
        <f>EXP(-LN(2)/2)*BR151+(1-EXP(-LN(2)/2))/(LN(2)/2)*BL152*BO152*VLOOKUP('Données projet'!$B$11,Paramètres!$A$1:$I$89,3,0)*0.475*44/12</f>
        <v>5.3441267432969132E-17</v>
      </c>
      <c r="BS152" s="24">
        <f t="shared" si="117"/>
        <v>6.6731400965242633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123.96745898973995</v>
      </c>
      <c r="CE152" s="62">
        <f t="shared" si="148"/>
        <v>638.75149573151157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11.301409822714671</v>
      </c>
      <c r="CL152" s="23">
        <f>EXP(-LN(2)/25)*CL151+(1-EXP(-LN(2)/25))/(LN(2)/25)*Calculateur!CG152*Calculateur!CI152*VLOOKUP('Données projet'!$B$12,Paramètres!$A$1:$I$89,3,0)*0.475*44/12</f>
        <v>1.1049525112026932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12.406362333917365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121.59687193641378</v>
      </c>
      <c r="T153" s="62">
        <f t="shared" si="142"/>
        <v>625.69364310937681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10.838930937329918</v>
      </c>
      <c r="AA153" s="23">
        <f>EXP(-LN(2)/25)*AA152+(1-EXP(-LN(2)/25))/(LN(2)/25)*Calculateur!V153*Calculateur!X153*VLOOKUP('Données projet'!$B$9,Paramètres!$A$1:$I$89,3,0)*0.475*44/12</f>
        <v>1.0513736674013445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11.890304604731263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-5.1431925385259088E-14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366.86025470473652</v>
      </c>
      <c r="AO153" s="62">
        <f t="shared" si="144"/>
        <v>513.80016421153414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6.7984728957526396E-14</v>
      </c>
      <c r="BF153" s="14">
        <f t="shared" si="145"/>
        <v>1.0682447123141398E-12</v>
      </c>
      <c r="BG153" s="22">
        <f t="shared" si="115"/>
        <v>1.978932943548152E-12</v>
      </c>
      <c r="BH153" s="62">
        <f t="shared" si="116"/>
        <v>293.3333333333353</v>
      </c>
      <c r="BI153" s="62">
        <f ca="1">AVERAGE(OFFSET($BH$3,0,0,'Données projet'!$E$11+1,1))-AVERAGE(OFFSET($H$3,0,0,'Données projet'!$E$11+1,1))</f>
        <v>187.13674266165236</v>
      </c>
      <c r="BJ153" s="62">
        <f t="shared" si="146"/>
        <v>439.28159165815276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4.9521139824792231</v>
      </c>
      <c r="BQ153" s="23">
        <f>EXP(-LN(2)/25)*BQ152+(1-EXP(-LN(2)/25))/(LN(2)/25)*Calculateur!BL153*Calculateur!BN153*VLOOKUP('Données projet'!$B$11,Paramètres!$A$1:$I$89,3,0)*0.475*44/12</f>
        <v>1.5776228490513524</v>
      </c>
      <c r="BR153" s="23">
        <f>EXP(-LN(2)/2)*BR152+(1-EXP(-LN(2)/2))/(LN(2)/2)*BL153*BO153*VLOOKUP('Données projet'!$B$11,Paramètres!$A$1:$I$89,3,0)*0.475*44/12</f>
        <v>3.7788682597056272E-17</v>
      </c>
      <c r="BS153" s="24">
        <f t="shared" si="117"/>
        <v>6.5297368315305757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123.96745898973995</v>
      </c>
      <c r="CE153" s="62">
        <f t="shared" si="148"/>
        <v>638.75149573151157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11.079796069270584</v>
      </c>
      <c r="CL153" s="23">
        <f>EXP(-LN(2)/25)*CL152+(1-EXP(-LN(2)/25))/(LN(2)/25)*Calculateur!CG153*Calculateur!CI153*VLOOKUP('Données projet'!$B$12,Paramètres!$A$1:$I$89,3,0)*0.475*44/12</f>
        <v>1.0747375266769283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12.154533595947512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121.59687193641378</v>
      </c>
      <c r="T154" s="62">
        <f t="shared" si="142"/>
        <v>625.69364310937681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10.626386112743958</v>
      </c>
      <c r="AA154" s="23">
        <f>EXP(-LN(2)/25)*AA153+(1-EXP(-LN(2)/25))/(LN(2)/25)*Calculateur!V154*Calculateur!X154*VLOOKUP('Données projet'!$B$9,Paramètres!$A$1:$I$89,3,0)*0.475*44/12</f>
        <v>1.0226237991769165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11.649009911920874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-5.1431925385259088E-14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366.86025470473652</v>
      </c>
      <c r="AO154" s="62">
        <f t="shared" si="144"/>
        <v>513.80016421153414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6.7984728957526396E-14</v>
      </c>
      <c r="BF154" s="14">
        <f t="shared" ref="BF154:BF203" si="167">EXP(-1.0587+0.8836*LN(BE154)+0.284)</f>
        <v>1.0682447123141398E-12</v>
      </c>
      <c r="BG154" s="22">
        <f t="shared" ref="BG154:BG203" si="168">(BE154+BF154)*0.475*44/12</f>
        <v>1.978932943548152E-12</v>
      </c>
      <c r="BH154" s="62">
        <f t="shared" si="116"/>
        <v>293.3333333333353</v>
      </c>
      <c r="BI154" s="62">
        <f ca="1">AVERAGE(OFFSET($BH$3,0,0,'Données projet'!$E$11+1,1))-AVERAGE(OFFSET($H$3,0,0,'Données projet'!$E$11+1,1))</f>
        <v>187.13674266165236</v>
      </c>
      <c r="BJ154" s="62">
        <f t="shared" si="146"/>
        <v>439.28159165815276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4.8550060477740864</v>
      </c>
      <c r="BQ154" s="23">
        <f>EXP(-LN(2)/25)*BQ153+(1-EXP(-LN(2)/25))/(LN(2)/25)*Calculateur!BL154*Calculateur!BN154*VLOOKUP('Données projet'!$B$11,Paramètres!$A$1:$I$89,3,0)*0.475*44/12</f>
        <v>1.5344826692804632</v>
      </c>
      <c r="BR154" s="23">
        <f>EXP(-LN(2)/2)*BR153+(1-EXP(-LN(2)/2))/(LN(2)/2)*BL154*BO154*VLOOKUP('Données projet'!$B$11,Paramètres!$A$1:$I$89,3,0)*0.475*44/12</f>
        <v>2.6720633716484566E-17</v>
      </c>
      <c r="BS154" s="24">
        <f t="shared" ref="BS154:BS203" si="169">SUM(BP154:BR154)</f>
        <v>6.3894887170545491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123.96745898973995</v>
      </c>
      <c r="CE154" s="62">
        <f t="shared" si="148"/>
        <v>638.75149573151157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10.862528026360492</v>
      </c>
      <c r="CL154" s="23">
        <f>EXP(-LN(2)/25)*CL153+(1-EXP(-LN(2)/25))/(LN(2)/25)*Calculateur!CG154*Calculateur!CI154*VLOOKUP('Données projet'!$B$12,Paramètres!$A$1:$I$89,3,0)*0.475*44/12</f>
        <v>1.0453487724919575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11.907876798852449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121.59687193641378</v>
      </c>
      <c r="T155" s="62">
        <f t="shared" si="142"/>
        <v>625.69364310937681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10.418009162528588</v>
      </c>
      <c r="AA155" s="23">
        <f>EXP(-LN(2)/25)*AA154+(1-EXP(-LN(2)/25))/(LN(2)/25)*Calculateur!V155*Calculateur!X155*VLOOKUP('Données projet'!$B$9,Paramètres!$A$1:$I$89,3,0)*0.475*44/12</f>
        <v>0.99466009761097529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11.412669260139563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-5.1431925385259088E-14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366.86025470473652</v>
      </c>
      <c r="AO155" s="62">
        <f t="shared" si="144"/>
        <v>513.80016421153414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6.7984728957526396E-14</v>
      </c>
      <c r="BF155" s="14">
        <f t="shared" si="167"/>
        <v>1.0682447123141398E-12</v>
      </c>
      <c r="BG155" s="22">
        <f t="shared" si="168"/>
        <v>1.978932943548152E-12</v>
      </c>
      <c r="BH155" s="62">
        <f t="shared" si="116"/>
        <v>293.3333333333353</v>
      </c>
      <c r="BI155" s="62">
        <f ca="1">AVERAGE(OFFSET($BH$3,0,0,'Données projet'!$E$11+1,1))-AVERAGE(OFFSET($H$3,0,0,'Données projet'!$E$11+1,1))</f>
        <v>187.13674266165236</v>
      </c>
      <c r="BJ155" s="62">
        <f t="shared" si="146"/>
        <v>439.28159165815276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4.759802340438525</v>
      </c>
      <c r="BQ155" s="23">
        <f>EXP(-LN(2)/25)*BQ154+(1-EXP(-LN(2)/25))/(LN(2)/25)*Calculateur!BL155*Calculateur!BN155*VLOOKUP('Données projet'!$B$11,Paramètres!$A$1:$I$89,3,0)*0.475*44/12</f>
        <v>1.4925221599940524</v>
      </c>
      <c r="BR155" s="23">
        <f>EXP(-LN(2)/2)*BR154+(1-EXP(-LN(2)/2))/(LN(2)/2)*BL155*BO155*VLOOKUP('Données projet'!$B$11,Paramètres!$A$1:$I$89,3,0)*0.475*44/12</f>
        <v>1.8894341298528136E-17</v>
      </c>
      <c r="BS155" s="24">
        <f t="shared" si="169"/>
        <v>6.2523245004325769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123.96745898973995</v>
      </c>
      <c r="CE155" s="62">
        <f t="shared" si="148"/>
        <v>638.75149573151157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10.649520477251446</v>
      </c>
      <c r="CL155" s="23">
        <f>EXP(-LN(2)/25)*CL154+(1-EXP(-LN(2)/25))/(LN(2)/25)*Calculateur!CG155*Calculateur!CI155*VLOOKUP('Données projet'!$B$12,Paramètres!$A$1:$I$89,3,0)*0.475*44/12</f>
        <v>1.016763655335662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11.666284132587109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121.59687193641378</v>
      </c>
      <c r="T156" s="62">
        <f t="shared" si="142"/>
        <v>625.69364310937681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10.213718357209551</v>
      </c>
      <c r="AA156" s="23">
        <f>EXP(-LN(2)/25)*AA155+(1-EXP(-LN(2)/25))/(LN(2)/25)*Calculateur!V156*Calculateur!X156*VLOOKUP('Données projet'!$B$9,Paramètres!$A$1:$I$89,3,0)*0.475*44/12</f>
        <v>0.96746106493490192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11.181179422144453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-5.1431925385259088E-14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366.86025470473652</v>
      </c>
      <c r="AO156" s="62">
        <f t="shared" si="144"/>
        <v>513.80016421153414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6.7984728957526396E-14</v>
      </c>
      <c r="BF156" s="14">
        <f t="shared" si="167"/>
        <v>1.0682447123141398E-12</v>
      </c>
      <c r="BG156" s="22">
        <f t="shared" si="168"/>
        <v>1.978932943548152E-12</v>
      </c>
      <c r="BH156" s="62">
        <f t="shared" si="116"/>
        <v>293.3333333333353</v>
      </c>
      <c r="BI156" s="62">
        <f ca="1">AVERAGE(OFFSET($BH$3,0,0,'Données projet'!$E$11+1,1))-AVERAGE(OFFSET($H$3,0,0,'Données projet'!$E$11+1,1))</f>
        <v>187.13674266165236</v>
      </c>
      <c r="BJ156" s="62">
        <f t="shared" si="146"/>
        <v>439.28159165815276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4.6664655197352864</v>
      </c>
      <c r="BQ156" s="23">
        <f>EXP(-LN(2)/25)*BQ155+(1-EXP(-LN(2)/25))/(LN(2)/25)*Calculateur!BL156*Calculateur!BN156*VLOOKUP('Données projet'!$B$11,Paramètres!$A$1:$I$89,3,0)*0.475*44/12</f>
        <v>1.4517090630406857</v>
      </c>
      <c r="BR156" s="23">
        <f>EXP(-LN(2)/2)*BR155+(1-EXP(-LN(2)/2))/(LN(2)/2)*BL156*BO156*VLOOKUP('Données projet'!$B$11,Paramètres!$A$1:$I$89,3,0)*0.475*44/12</f>
        <v>1.3360316858242283E-17</v>
      </c>
      <c r="BS156" s="24">
        <f t="shared" si="169"/>
        <v>6.1181745827759721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123.96745898973995</v>
      </c>
      <c r="CE156" s="62">
        <f t="shared" si="148"/>
        <v>638.75149573151157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10.440689876258652</v>
      </c>
      <c r="CL156" s="23">
        <f>EXP(-LN(2)/25)*CL155+(1-EXP(-LN(2)/25))/(LN(2)/25)*Calculateur!CG156*Calculateur!CI156*VLOOKUP('Données projet'!$B$12,Paramètres!$A$1:$I$89,3,0)*0.475*44/12</f>
        <v>0.98896019971123161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11.429650075969883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121.59687193641378</v>
      </c>
      <c r="T157" s="62">
        <f t="shared" si="142"/>
        <v>625.69364310937681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10.013433569977732</v>
      </c>
      <c r="AA157" s="23">
        <f>EXP(-LN(2)/25)*AA156+(1-EXP(-LN(2)/25))/(LN(2)/25)*Calculateur!V157*Calculateur!X157*VLOOKUP('Données projet'!$B$9,Paramètres!$A$1:$I$89,3,0)*0.475*44/12</f>
        <v>0.94100579123769079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10.954439361215423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-5.1431925385259088E-14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366.86025470473652</v>
      </c>
      <c r="AO157" s="62">
        <f t="shared" si="144"/>
        <v>513.80016421153414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6.7984728957526396E-14</v>
      </c>
      <c r="BF157" s="14">
        <f t="shared" si="167"/>
        <v>1.0682447123141398E-12</v>
      </c>
      <c r="BG157" s="22">
        <f t="shared" si="168"/>
        <v>1.978932943548152E-12</v>
      </c>
      <c r="BH157" s="62">
        <f t="shared" si="116"/>
        <v>293.3333333333353</v>
      </c>
      <c r="BI157" s="62">
        <f ca="1">AVERAGE(OFFSET($BH$3,0,0,'Données projet'!$E$11+1,1))-AVERAGE(OFFSET($H$3,0,0,'Données projet'!$E$11+1,1))</f>
        <v>187.13674266165236</v>
      </c>
      <c r="BJ157" s="62">
        <f t="shared" si="146"/>
        <v>439.28159165815276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4.5749589771561991</v>
      </c>
      <c r="BQ157" s="23">
        <f>EXP(-LN(2)/25)*BQ156+(1-EXP(-LN(2)/25))/(LN(2)/25)*Calculateur!BL157*Calculateur!BN157*VLOOKUP('Données projet'!$B$11,Paramètres!$A$1:$I$89,3,0)*0.475*44/12</f>
        <v>1.4120120023697764</v>
      </c>
      <c r="BR157" s="23">
        <f>EXP(-LN(2)/2)*BR156+(1-EXP(-LN(2)/2))/(LN(2)/2)*BL157*BO157*VLOOKUP('Données projet'!$B$11,Paramètres!$A$1:$I$89,3,0)*0.475*44/12</f>
        <v>9.447170649264068E-18</v>
      </c>
      <c r="BS157" s="24">
        <f t="shared" si="169"/>
        <v>5.9869709795259753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123.96745898973995</v>
      </c>
      <c r="CE157" s="62">
        <f t="shared" si="148"/>
        <v>638.75149573151157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10.235954315977239</v>
      </c>
      <c r="CL157" s="23">
        <f>EXP(-LN(2)/25)*CL156+(1-EXP(-LN(2)/25))/(LN(2)/25)*Calculateur!CG157*Calculateur!CI157*VLOOKUP('Données projet'!$B$12,Paramètres!$A$1:$I$89,3,0)*0.475*44/12</f>
        <v>0.96191703104297133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11.197871347020209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121.59687193641378</v>
      </c>
      <c r="T158" s="62">
        <f t="shared" si="142"/>
        <v>625.69364310937681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9.8170762452618714</v>
      </c>
      <c r="AA158" s="23">
        <f>EXP(-LN(2)/25)*AA157+(1-EXP(-LN(2)/25))/(LN(2)/25)*Calculateur!V158*Calculateur!X158*VLOOKUP('Données projet'!$B$9,Paramètres!$A$1:$I$89,3,0)*0.475*44/12</f>
        <v>0.91527393839095228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10.732350183652823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-5.1431925385259088E-14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366.86025470473652</v>
      </c>
      <c r="AO158" s="62">
        <f t="shared" si="144"/>
        <v>513.80016421153414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6.7984728957526396E-14</v>
      </c>
      <c r="BF158" s="14">
        <f t="shared" si="167"/>
        <v>1.0682447123141398E-12</v>
      </c>
      <c r="BG158" s="22">
        <f t="shared" si="168"/>
        <v>1.978932943548152E-12</v>
      </c>
      <c r="BH158" s="62">
        <f t="shared" si="116"/>
        <v>293.3333333333353</v>
      </c>
      <c r="BI158" s="62">
        <f ca="1">AVERAGE(OFFSET($BH$3,0,0,'Données projet'!$E$11+1,1))-AVERAGE(OFFSET($H$3,0,0,'Données projet'!$E$11+1,1))</f>
        <v>187.13674266165236</v>
      </c>
      <c r="BJ158" s="62">
        <f t="shared" si="146"/>
        <v>439.28159165815276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4.4852468220636084</v>
      </c>
      <c r="BQ158" s="23">
        <f>EXP(-LN(2)/25)*BQ157+(1-EXP(-LN(2)/25))/(LN(2)/25)*Calculateur!BL158*Calculateur!BN158*VLOOKUP('Données projet'!$B$11,Paramètres!$A$1:$I$89,3,0)*0.475*44/12</f>
        <v>1.373400459910491</v>
      </c>
      <c r="BR158" s="23">
        <f>EXP(-LN(2)/2)*BR157+(1-EXP(-LN(2)/2))/(LN(2)/2)*BL158*BO158*VLOOKUP('Données projet'!$B$11,Paramètres!$A$1:$I$89,3,0)*0.475*44/12</f>
        <v>6.6801584291211415E-18</v>
      </c>
      <c r="BS158" s="24">
        <f t="shared" si="169"/>
        <v>5.8586472819740996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123.96745898973995</v>
      </c>
      <c r="CE158" s="62">
        <f t="shared" si="148"/>
        <v>638.75149573151157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10.035233495156582</v>
      </c>
      <c r="CL158" s="23">
        <f>EXP(-LN(2)/25)*CL157+(1-EXP(-LN(2)/25))/(LN(2)/25)*Calculateur!CG158*Calculateur!CI158*VLOOKUP('Données projet'!$B$12,Paramètres!$A$1:$I$89,3,0)*0.475*44/12</f>
        <v>0.93561335924408306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10.970846854400666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121.59687193641378</v>
      </c>
      <c r="T159" s="62">
        <f t="shared" si="142"/>
        <v>625.69364310937681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9.6245693679175464</v>
      </c>
      <c r="AA159" s="23">
        <f>EXP(-LN(2)/25)*AA158+(1-EXP(-LN(2)/25))/(LN(2)/25)*Calculateur!V159*Calculateur!X159*VLOOKUP('Données projet'!$B$9,Paramètres!$A$1:$I$89,3,0)*0.475*44/12</f>
        <v>0.89024572441348715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10.514815092331034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-5.1431925385259088E-14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366.86025470473652</v>
      </c>
      <c r="AO159" s="62">
        <f t="shared" si="144"/>
        <v>513.80016421153414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6.7984728957526396E-14</v>
      </c>
      <c r="BF159" s="14">
        <f t="shared" si="167"/>
        <v>1.0682447123141398E-12</v>
      </c>
      <c r="BG159" s="22">
        <f t="shared" si="168"/>
        <v>1.978932943548152E-12</v>
      </c>
      <c r="BH159" s="62">
        <f t="shared" si="116"/>
        <v>293.3333333333353</v>
      </c>
      <c r="BI159" s="62">
        <f ca="1">AVERAGE(OFFSET($BH$3,0,0,'Données projet'!$E$11+1,1))-AVERAGE(OFFSET($H$3,0,0,'Données projet'!$E$11+1,1))</f>
        <v>187.13674266165236</v>
      </c>
      <c r="BJ159" s="62">
        <f t="shared" si="146"/>
        <v>439.28159165815276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4.3972938676133717</v>
      </c>
      <c r="BQ159" s="23">
        <f>EXP(-LN(2)/25)*BQ158+(1-EXP(-LN(2)/25))/(LN(2)/25)*Calculateur!BL159*Calculateur!BN159*VLOOKUP('Données projet'!$B$11,Paramètres!$A$1:$I$89,3,0)*0.475*44/12</f>
        <v>1.3358447521102474</v>
      </c>
      <c r="BR159" s="23">
        <f>EXP(-LN(2)/2)*BR158+(1-EXP(-LN(2)/2))/(LN(2)/2)*BL159*BO159*VLOOKUP('Données projet'!$B$11,Paramètres!$A$1:$I$89,3,0)*0.475*44/12</f>
        <v>4.723585324632034E-18</v>
      </c>
      <c r="BS159" s="24">
        <f t="shared" si="169"/>
        <v>5.7331386197236194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123.96745898973995</v>
      </c>
      <c r="CE159" s="62">
        <f t="shared" si="148"/>
        <v>638.75149573151157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9.8384486872046057</v>
      </c>
      <c r="CL159" s="23">
        <f>EXP(-LN(2)/25)*CL158+(1-EXP(-LN(2)/25))/(LN(2)/25)*Calculateur!CG159*Calculateur!CI159*VLOOKUP('Données projet'!$B$12,Paramètres!$A$1:$I$89,3,0)*0.475*44/12</f>
        <v>0.91002896273378542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10.74847764993839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121.59687193641378</v>
      </c>
      <c r="T160" s="62">
        <f t="shared" si="142"/>
        <v>625.69364310937681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9.4358374330203425</v>
      </c>
      <c r="AA160" s="23">
        <f>EXP(-LN(2)/25)*AA159+(1-EXP(-LN(2)/25))/(LN(2)/25)*Calculateur!V160*Calculateur!X160*VLOOKUP('Données projet'!$B$9,Paramètres!$A$1:$I$89,3,0)*0.475*44/12</f>
        <v>0.8659019082634124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10.301739341283755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-5.1431925385259088E-14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366.86025470473652</v>
      </c>
      <c r="AO160" s="62">
        <f t="shared" si="144"/>
        <v>513.80016421153414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6.7984728957526396E-14</v>
      </c>
      <c r="BF160" s="14">
        <f t="shared" si="167"/>
        <v>1.0682447123141398E-12</v>
      </c>
      <c r="BG160" s="22">
        <f t="shared" si="168"/>
        <v>1.978932943548152E-12</v>
      </c>
      <c r="BH160" s="62">
        <f t="shared" si="116"/>
        <v>293.3333333333353</v>
      </c>
      <c r="BI160" s="62">
        <f ca="1">AVERAGE(OFFSET($BH$3,0,0,'Données projet'!$E$11+1,1))-AVERAGE(OFFSET($H$3,0,0,'Données projet'!$E$11+1,1))</f>
        <v>187.13674266165236</v>
      </c>
      <c r="BJ160" s="62">
        <f t="shared" si="146"/>
        <v>439.28159165815276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4.3110656169538988</v>
      </c>
      <c r="BQ160" s="23">
        <f>EXP(-LN(2)/25)*BQ159+(1-EXP(-LN(2)/25))/(LN(2)/25)*Calculateur!BL160*Calculateur!BN160*VLOOKUP('Données projet'!$B$11,Paramètres!$A$1:$I$89,3,0)*0.475*44/12</f>
        <v>1.2993160071147702</v>
      </c>
      <c r="BR160" s="23">
        <f>EXP(-LN(2)/2)*BR159+(1-EXP(-LN(2)/2))/(LN(2)/2)*BL160*BO160*VLOOKUP('Données projet'!$B$11,Paramètres!$A$1:$I$89,3,0)*0.475*44/12</f>
        <v>3.3400792145605707E-18</v>
      </c>
      <c r="BS160" s="24">
        <f t="shared" si="169"/>
        <v>5.610381624068669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123.96745898973995</v>
      </c>
      <c r="CE160" s="62">
        <f t="shared" si="148"/>
        <v>638.75149573151157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9.6455227093096862</v>
      </c>
      <c r="CL160" s="23">
        <f>EXP(-LN(2)/25)*CL159+(1-EXP(-LN(2)/25))/(LN(2)/25)*Calculateur!CG160*Calculateur!CI160*VLOOKUP('Données projet'!$B$12,Paramètres!$A$1:$I$89,3,0)*0.475*44/12</f>
        <v>0.88514417289148684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10.530666882201173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121.59687193641378</v>
      </c>
      <c r="T161" s="62">
        <f t="shared" si="142"/>
        <v>625.69364310937681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9.2508064162513595</v>
      </c>
      <c r="AA161" s="23">
        <f>EXP(-LN(2)/25)*AA160+(1-EXP(-LN(2)/25))/(LN(2)/25)*Calculateur!V161*Calculateur!X161*VLOOKUP('Données projet'!$B$9,Paramètres!$A$1:$I$89,3,0)*0.475*44/12</f>
        <v>0.84222377504614709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10.093030191297506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-5.1431925385259088E-14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366.86025470473652</v>
      </c>
      <c r="AO161" s="62">
        <f t="shared" si="144"/>
        <v>513.80016421153414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6.7984728957526396E-14</v>
      </c>
      <c r="BF161" s="14">
        <f t="shared" si="167"/>
        <v>1.0682447123141398E-12</v>
      </c>
      <c r="BG161" s="22">
        <f t="shared" si="168"/>
        <v>1.978932943548152E-12</v>
      </c>
      <c r="BH161" s="62">
        <f t="shared" si="116"/>
        <v>293.3333333333353</v>
      </c>
      <c r="BI161" s="62">
        <f ca="1">AVERAGE(OFFSET($BH$3,0,0,'Données projet'!$E$11+1,1))-AVERAGE(OFFSET($H$3,0,0,'Données projet'!$E$11+1,1))</f>
        <v>187.13674266165236</v>
      </c>
      <c r="BJ161" s="62">
        <f t="shared" si="146"/>
        <v>439.28159165815276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4.2265282496958188</v>
      </c>
      <c r="BQ161" s="23">
        <f>EXP(-LN(2)/25)*BQ160+(1-EXP(-LN(2)/25))/(LN(2)/25)*Calculateur!BL161*Calculateur!BN161*VLOOKUP('Données projet'!$B$11,Paramètres!$A$1:$I$89,3,0)*0.475*44/12</f>
        <v>1.2637861425721577</v>
      </c>
      <c r="BR161" s="23">
        <f>EXP(-LN(2)/2)*BR160+(1-EXP(-LN(2)/2))/(LN(2)/2)*BL161*BO161*VLOOKUP('Données projet'!$B$11,Paramètres!$A$1:$I$89,3,0)*0.475*44/12</f>
        <v>2.361792662316017E-18</v>
      </c>
      <c r="BS161" s="24">
        <f t="shared" si="169"/>
        <v>5.490314392267976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123.96745898973995</v>
      </c>
      <c r="CE161" s="62">
        <f t="shared" si="148"/>
        <v>638.75149573151157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9.4563798921680586</v>
      </c>
      <c r="CL161" s="23">
        <f>EXP(-LN(2)/25)*CL160+(1-EXP(-LN(2)/25))/(LN(2)/25)*Calculateur!CG161*Calculateur!CI161*VLOOKUP('Données projet'!$B$12,Paramètres!$A$1:$I$89,3,0)*0.475*44/12</f>
        <v>0.86093985893606007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10.317319751104119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121.59687193641378</v>
      </c>
      <c r="T162" s="62">
        <f t="shared" si="142"/>
        <v>625.69364310937681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9.0694037448634397</v>
      </c>
      <c r="AA162" s="23">
        <f>EXP(-LN(2)/25)*AA161+(1-EXP(-LN(2)/25))/(LN(2)/25)*Calculateur!V162*Calculateur!X162*VLOOKUP('Données projet'!$B$9,Paramètres!$A$1:$I$89,3,0)*0.475*44/12</f>
        <v>0.81919312162688684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9.8885968664903263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-5.1431925385259088E-14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366.86025470473652</v>
      </c>
      <c r="AO162" s="62">
        <f t="shared" si="144"/>
        <v>513.80016421153414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6.7984728957526396E-14</v>
      </c>
      <c r="BF162" s="14">
        <f t="shared" si="167"/>
        <v>1.0682447123141398E-12</v>
      </c>
      <c r="BG162" s="22">
        <f t="shared" si="168"/>
        <v>1.978932943548152E-12</v>
      </c>
      <c r="BH162" s="62">
        <f t="shared" si="116"/>
        <v>293.3333333333353</v>
      </c>
      <c r="BI162" s="62">
        <f ca="1">AVERAGE(OFFSET($BH$3,0,0,'Données projet'!$E$11+1,1))-AVERAGE(OFFSET($H$3,0,0,'Données projet'!$E$11+1,1))</f>
        <v>187.13674266165236</v>
      </c>
      <c r="BJ162" s="62">
        <f t="shared" si="146"/>
        <v>439.28159165815276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4.1436486086469673</v>
      </c>
      <c r="BQ162" s="23">
        <f>EXP(-LN(2)/25)*BQ161+(1-EXP(-LN(2)/25))/(LN(2)/25)*Calculateur!BL162*Calculateur!BN162*VLOOKUP('Données projet'!$B$11,Paramètres!$A$1:$I$89,3,0)*0.475*44/12</f>
        <v>1.2292278440438973</v>
      </c>
      <c r="BR162" s="23">
        <f>EXP(-LN(2)/2)*BR161+(1-EXP(-LN(2)/2))/(LN(2)/2)*BL162*BO162*VLOOKUP('Données projet'!$B$11,Paramètres!$A$1:$I$89,3,0)*0.475*44/12</f>
        <v>1.6700396072802854E-18</v>
      </c>
      <c r="BS162" s="24">
        <f t="shared" si="169"/>
        <v>5.3728764526908641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123.96745898973995</v>
      </c>
      <c r="CE162" s="62">
        <f t="shared" si="148"/>
        <v>638.75149573151157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9.2709460503048522</v>
      </c>
      <c r="CL162" s="23">
        <f>EXP(-LN(2)/25)*CL161+(1-EXP(-LN(2)/25))/(LN(2)/25)*Calculateur!CG162*Calculateur!CI162*VLOOKUP('Données projet'!$B$12,Paramètres!$A$1:$I$89,3,0)*0.475*44/12</f>
        <v>0.83739741321859407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10.108343463523447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121.59687193641378</v>
      </c>
      <c r="T163" s="62">
        <f t="shared" si="142"/>
        <v>625.69364310937681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8.8915582692167323</v>
      </c>
      <c r="AA163" s="23">
        <f>EXP(-LN(2)/25)*AA162+(1-EXP(-LN(2)/25))/(LN(2)/25)*Calculateur!V163*Calculateur!X163*VLOOKUP('Données projet'!$B$9,Paramètres!$A$1:$I$89,3,0)*0.475*44/12</f>
        <v>0.79679224263650561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9.6883505118532387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-5.1431925385259088E-14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366.86025470473652</v>
      </c>
      <c r="AO163" s="62">
        <f t="shared" si="144"/>
        <v>513.80016421153414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6.7984728957526396E-14</v>
      </c>
      <c r="BF163" s="14">
        <f t="shared" si="167"/>
        <v>1.0682447123141398E-12</v>
      </c>
      <c r="BG163" s="22">
        <f t="shared" si="168"/>
        <v>1.978932943548152E-12</v>
      </c>
      <c r="BH163" s="62">
        <f t="shared" si="116"/>
        <v>293.3333333333353</v>
      </c>
      <c r="BI163" s="62">
        <f ca="1">AVERAGE(OFFSET($BH$3,0,0,'Données projet'!$E$11+1,1))-AVERAGE(OFFSET($H$3,0,0,'Données projet'!$E$11+1,1))</f>
        <v>187.13674266165236</v>
      </c>
      <c r="BJ163" s="62">
        <f t="shared" si="146"/>
        <v>439.28159165815276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4.0623941868074942</v>
      </c>
      <c r="BQ163" s="23">
        <f>EXP(-LN(2)/25)*BQ162+(1-EXP(-LN(2)/25))/(LN(2)/25)*Calculateur!BL163*Calculateur!BN163*VLOOKUP('Données projet'!$B$11,Paramètres!$A$1:$I$89,3,0)*0.475*44/12</f>
        <v>1.195614544006234</v>
      </c>
      <c r="BR163" s="23">
        <f>EXP(-LN(2)/2)*BR162+(1-EXP(-LN(2)/2))/(LN(2)/2)*BL163*BO163*VLOOKUP('Données projet'!$B$11,Paramètres!$A$1:$I$89,3,0)*0.475*44/12</f>
        <v>1.1808963311580085E-18</v>
      </c>
      <c r="BS163" s="24">
        <f t="shared" si="169"/>
        <v>5.258008730813728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123.96745898973995</v>
      </c>
      <c r="CE163" s="62">
        <f t="shared" si="148"/>
        <v>638.75149573151157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9.0891484529771081</v>
      </c>
      <c r="CL163" s="23">
        <f>EXP(-LN(2)/25)*CL162+(1-EXP(-LN(2)/25))/(LN(2)/25)*Calculateur!CG163*Calculateur!CI163*VLOOKUP('Données projet'!$B$12,Paramètres!$A$1:$I$89,3,0)*0.475*44/12</f>
        <v>0.81449873691731556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9.9036471898944232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121.59687193641378</v>
      </c>
      <c r="T164" s="62">
        <f t="shared" si="142"/>
        <v>625.69364310937681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8.7172002348724291</v>
      </c>
      <c r="AA164" s="23">
        <f>EXP(-LN(2)/25)*AA163+(1-EXP(-LN(2)/25))/(LN(2)/25)*Calculateur!V164*Calculateur!X164*VLOOKUP('Données projet'!$B$9,Paramètres!$A$1:$I$89,3,0)*0.475*44/12</f>
        <v>0.77500391686012737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9.4922041517325564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-5.1431925385259088E-14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366.86025470473652</v>
      </c>
      <c r="AO164" s="62">
        <f t="shared" si="144"/>
        <v>513.80016421153414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6.7984728957526396E-14</v>
      </c>
      <c r="BF164" s="14">
        <f t="shared" si="167"/>
        <v>1.0682447123141398E-12</v>
      </c>
      <c r="BG164" s="22">
        <f t="shared" si="168"/>
        <v>1.978932943548152E-12</v>
      </c>
      <c r="BH164" s="62">
        <f t="shared" si="116"/>
        <v>293.3333333333353</v>
      </c>
      <c r="BI164" s="62">
        <f ca="1">AVERAGE(OFFSET($BH$3,0,0,'Données projet'!$E$11+1,1))-AVERAGE(OFFSET($H$3,0,0,'Données projet'!$E$11+1,1))</f>
        <v>187.13674266165236</v>
      </c>
      <c r="BJ164" s="62">
        <f t="shared" si="146"/>
        <v>439.28159165815276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3.9827331146199891</v>
      </c>
      <c r="BQ164" s="23">
        <f>EXP(-LN(2)/25)*BQ163+(1-EXP(-LN(2)/25))/(LN(2)/25)*Calculateur!BL164*Calculateur!BN164*VLOOKUP('Données projet'!$B$11,Paramètres!$A$1:$I$89,3,0)*0.475*44/12</f>
        <v>1.1629204014257473</v>
      </c>
      <c r="BR164" s="23">
        <f>EXP(-LN(2)/2)*BR163+(1-EXP(-LN(2)/2))/(LN(2)/2)*BL164*BO164*VLOOKUP('Données projet'!$B$11,Paramètres!$A$1:$I$89,3,0)*0.475*44/12</f>
        <v>8.3501980364014269E-19</v>
      </c>
      <c r="BS164" s="24">
        <f t="shared" si="169"/>
        <v>5.1456535160457362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123.96745898973995</v>
      </c>
      <c r="CE164" s="62">
        <f t="shared" si="148"/>
        <v>638.75149573151157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8.9109157956473748</v>
      </c>
      <c r="CL164" s="23">
        <f>EXP(-LN(2)/25)*CL163+(1-EXP(-LN(2)/25))/(LN(2)/25)*Calculateur!CG164*Calculateur!CI164*VLOOKUP('Données projet'!$B$12,Paramètres!$A$1:$I$89,3,0)*0.475*44/12</f>
        <v>0.79222622612368454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9.7031420217710593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121.59687193641378</v>
      </c>
      <c r="T165" s="62">
        <f t="shared" si="142"/>
        <v>625.69364310937681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8.546261255233718</v>
      </c>
      <c r="AA165" s="23">
        <f>EXP(-LN(2)/25)*AA164+(1-EXP(-LN(2)/25))/(LN(2)/25)*Calculateur!V165*Calculateur!X165*VLOOKUP('Données projet'!$B$9,Paramètres!$A$1:$I$89,3,0)*0.475*44/12</f>
        <v>0.75381139399790253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9.3000726492316197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-5.1431925385259088E-14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366.86025470473652</v>
      </c>
      <c r="AO165" s="62">
        <f t="shared" si="144"/>
        <v>513.80016421153414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6.7984728957526396E-14</v>
      </c>
      <c r="BF165" s="14">
        <f t="shared" si="167"/>
        <v>1.0682447123141398E-12</v>
      </c>
      <c r="BG165" s="22">
        <f t="shared" si="168"/>
        <v>1.978932943548152E-12</v>
      </c>
      <c r="BH165" s="62">
        <f t="shared" si="116"/>
        <v>293.3333333333353</v>
      </c>
      <c r="BI165" s="62">
        <f ca="1">AVERAGE(OFFSET($BH$3,0,0,'Données projet'!$E$11+1,1))-AVERAGE(OFFSET($H$3,0,0,'Données projet'!$E$11+1,1))</f>
        <v>187.13674266165236</v>
      </c>
      <c r="BJ165" s="62">
        <f t="shared" si="146"/>
        <v>439.28159165815276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3.9046341474696247</v>
      </c>
      <c r="BQ165" s="23">
        <f>EXP(-LN(2)/25)*BQ164+(1-EXP(-LN(2)/25))/(LN(2)/25)*Calculateur!BL165*Calculateur!BN165*VLOOKUP('Données projet'!$B$11,Paramètres!$A$1:$I$89,3,0)*0.475*44/12</f>
        <v>1.1311202818934343</v>
      </c>
      <c r="BR165" s="23">
        <f>EXP(-LN(2)/2)*BR164+(1-EXP(-LN(2)/2))/(LN(2)/2)*BL165*BO165*VLOOKUP('Données projet'!$B$11,Paramètres!$A$1:$I$89,3,0)*0.475*44/12</f>
        <v>5.9044816557900425E-19</v>
      </c>
      <c r="BS165" s="24">
        <f t="shared" si="169"/>
        <v>5.0357544293630587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123.96745898973995</v>
      </c>
      <c r="CE165" s="62">
        <f t="shared" si="148"/>
        <v>638.75149573151157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8.7361781720166913</v>
      </c>
      <c r="CL165" s="23">
        <f>EXP(-LN(2)/25)*CL164+(1-EXP(-LN(2)/25))/(LN(2)/25)*Calculateur!CG165*Calculateur!CI165*VLOOKUP('Données projet'!$B$12,Paramètres!$A$1:$I$89,3,0)*0.475*44/12</f>
        <v>0.77056275830896581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9.5067409303256571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121.59687193641378</v>
      </c>
      <c r="T166" s="62">
        <f t="shared" si="142"/>
        <v>625.69364310937681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8.3786742847232389</v>
      </c>
      <c r="AA166" s="23">
        <f>EXP(-LN(2)/25)*AA165+(1-EXP(-LN(2)/25))/(LN(2)/25)*Calculateur!V166*Calculateur!X166*VLOOKUP('Données projet'!$B$9,Paramètres!$A$1:$I$89,3,0)*0.475*44/12</f>
        <v>0.73319838178781149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9.1118726665110508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-5.1431925385259088E-14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366.86025470473652</v>
      </c>
      <c r="AO166" s="62">
        <f t="shared" si="144"/>
        <v>513.80016421153414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6.7984728957526396E-14</v>
      </c>
      <c r="BF166" s="14">
        <f t="shared" si="167"/>
        <v>1.0682447123141398E-12</v>
      </c>
      <c r="BG166" s="22">
        <f t="shared" si="168"/>
        <v>1.978932943548152E-12</v>
      </c>
      <c r="BH166" s="62">
        <f t="shared" si="116"/>
        <v>293.3333333333353</v>
      </c>
      <c r="BI166" s="62">
        <f ca="1">AVERAGE(OFFSET($BH$3,0,0,'Données projet'!$E$11+1,1))-AVERAGE(OFFSET($H$3,0,0,'Données projet'!$E$11+1,1))</f>
        <v>187.13674266165236</v>
      </c>
      <c r="BJ166" s="62">
        <f t="shared" si="146"/>
        <v>439.28159165815276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3.8280666534294125</v>
      </c>
      <c r="BQ166" s="23">
        <f>EXP(-LN(2)/25)*BQ165+(1-EXP(-LN(2)/25))/(LN(2)/25)*Calculateur!BL166*Calculateur!BN166*VLOOKUP('Données projet'!$B$11,Paramètres!$A$1:$I$89,3,0)*0.475*44/12</f>
        <v>1.1001897383020278</v>
      </c>
      <c r="BR166" s="23">
        <f>EXP(-LN(2)/2)*BR165+(1-EXP(-LN(2)/2))/(LN(2)/2)*BL166*BO166*VLOOKUP('Données projet'!$B$11,Paramètres!$A$1:$I$89,3,0)*0.475*44/12</f>
        <v>4.1750990182007134E-19</v>
      </c>
      <c r="BS166" s="24">
        <f t="shared" si="169"/>
        <v>4.9282563917314404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123.96745898973995</v>
      </c>
      <c r="CE166" s="62">
        <f t="shared" si="148"/>
        <v>638.75149573151157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8.5648670466059791</v>
      </c>
      <c r="CL166" s="23">
        <f>EXP(-LN(2)/25)*CL165+(1-EXP(-LN(2)/25))/(LN(2)/25)*Calculateur!CG166*Calculateur!CI166*VLOOKUP('Données projet'!$B$12,Paramètres!$A$1:$I$89,3,0)*0.475*44/12</f>
        <v>0.74949167916087278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9.3143587257668514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121.59687193641378</v>
      </c>
      <c r="T167" s="62">
        <f t="shared" si="142"/>
        <v>625.69364310937681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8.2143735924865116</v>
      </c>
      <c r="AA167" s="23">
        <f>EXP(-LN(2)/25)*AA166+(1-EXP(-LN(2)/25))/(LN(2)/25)*Calculateur!V167*Calculateur!X167*VLOOKUP('Données projet'!$B$9,Paramètres!$A$1:$I$89,3,0)*0.475*44/12</f>
        <v>0.71314903348059666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8.927522625967109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-5.1431925385259088E-14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366.86025470473652</v>
      </c>
      <c r="AO167" s="62">
        <f t="shared" si="144"/>
        <v>513.80016421153414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6.7984728957526396E-14</v>
      </c>
      <c r="BF167" s="14">
        <f t="shared" si="167"/>
        <v>1.0682447123141398E-12</v>
      </c>
      <c r="BG167" s="22">
        <f t="shared" si="168"/>
        <v>1.978932943548152E-12</v>
      </c>
      <c r="BH167" s="62">
        <f t="shared" si="116"/>
        <v>293.3333333333353</v>
      </c>
      <c r="BI167" s="62">
        <f ca="1">AVERAGE(OFFSET($BH$3,0,0,'Données projet'!$E$11+1,1))-AVERAGE(OFFSET($H$3,0,0,'Données projet'!$E$11+1,1))</f>
        <v>187.13674266165236</v>
      </c>
      <c r="BJ167" s="62">
        <f t="shared" si="146"/>
        <v>439.28159165815276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3.7530006012457693</v>
      </c>
      <c r="BQ167" s="23">
        <f>EXP(-LN(2)/25)*BQ166+(1-EXP(-LN(2)/25))/(LN(2)/25)*Calculateur!BL167*Calculateur!BN167*VLOOKUP('Données projet'!$B$11,Paramètres!$A$1:$I$89,3,0)*0.475*44/12</f>
        <v>1.070104992051695</v>
      </c>
      <c r="BR167" s="23">
        <f>EXP(-LN(2)/2)*BR166+(1-EXP(-LN(2)/2))/(LN(2)/2)*BL167*BO167*VLOOKUP('Données projet'!$B$11,Paramètres!$A$1:$I$89,3,0)*0.475*44/12</f>
        <v>2.9522408278950212E-19</v>
      </c>
      <c r="BS167" s="24">
        <f t="shared" si="169"/>
        <v>4.8231055932974645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123.96745898973995</v>
      </c>
      <c r="CE167" s="62">
        <f t="shared" si="148"/>
        <v>638.75149573151157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8.3969152278751018</v>
      </c>
      <c r="CL167" s="23">
        <f>EXP(-LN(2)/25)*CL166+(1-EXP(-LN(2)/25))/(LN(2)/25)*Calculateur!CG167*Calculateur!CI167*VLOOKUP('Données projet'!$B$12,Paramètres!$A$1:$I$89,3,0)*0.475*44/12</f>
        <v>0.72899678978016424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9.1259120176552653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121.59687193641378</v>
      </c>
      <c r="T168" s="62">
        <f t="shared" si="142"/>
        <v>625.69364310937681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8.0532947366110186</v>
      </c>
      <c r="AA168" s="23">
        <f>EXP(-LN(2)/25)*AA167+(1-EXP(-LN(2)/25))/(LN(2)/25)*Calculateur!V168*Calculateur!X168*VLOOKUP('Données projet'!$B$9,Paramètres!$A$1:$I$89,3,0)*0.475*44/12</f>
        <v>0.69364793565719196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8.7469426722682098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-5.1431925385259088E-14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366.86025470473652</v>
      </c>
      <c r="AO168" s="62">
        <f t="shared" si="144"/>
        <v>513.80016421153414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6.7984728957526396E-14</v>
      </c>
      <c r="BF168" s="14">
        <f t="shared" si="167"/>
        <v>1.0682447123141398E-12</v>
      </c>
      <c r="BG168" s="22">
        <f t="shared" si="168"/>
        <v>1.978932943548152E-12</v>
      </c>
      <c r="BH168" s="62">
        <f t="shared" si="116"/>
        <v>293.3333333333353</v>
      </c>
      <c r="BI168" s="62">
        <f ca="1">AVERAGE(OFFSET($BH$3,0,0,'Données projet'!$E$11+1,1))-AVERAGE(OFFSET($H$3,0,0,'Données projet'!$E$11+1,1))</f>
        <v>187.13674266165236</v>
      </c>
      <c r="BJ168" s="62">
        <f t="shared" si="146"/>
        <v>439.28159165815276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3.6794065485596761</v>
      </c>
      <c r="BQ168" s="23">
        <f>EXP(-LN(2)/25)*BQ167+(1-EXP(-LN(2)/25))/(LN(2)/25)*Calculateur!BL168*Calculateur!BN168*VLOOKUP('Données projet'!$B$11,Paramètres!$A$1:$I$89,3,0)*0.475*44/12</f>
        <v>1.0408429147696656</v>
      </c>
      <c r="BR168" s="23">
        <f>EXP(-LN(2)/2)*BR167+(1-EXP(-LN(2)/2))/(LN(2)/2)*BL168*BO168*VLOOKUP('Données projet'!$B$11,Paramètres!$A$1:$I$89,3,0)*0.475*44/12</f>
        <v>2.0875495091003567E-19</v>
      </c>
      <c r="BS168" s="24">
        <f t="shared" si="169"/>
        <v>4.7202494633293419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123.96745898973995</v>
      </c>
      <c r="CE168" s="62">
        <f t="shared" si="148"/>
        <v>638.75149573151157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8.2322568418690434</v>
      </c>
      <c r="CL168" s="23">
        <f>EXP(-LN(2)/25)*CL167+(1-EXP(-LN(2)/25))/(LN(2)/25)*Calculateur!CG168*Calculateur!CI168*VLOOKUP('Données projet'!$B$12,Paramètres!$A$1:$I$89,3,0)*0.475*44/12</f>
        <v>0.70906233422735065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8.9413191760963944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121.59687193641378</v>
      </c>
      <c r="T169" s="62">
        <f t="shared" si="142"/>
        <v>625.69364310937681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7.8953745388508434</v>
      </c>
      <c r="AA169" s="23">
        <f>EXP(-LN(2)/25)*AA168+(1-EXP(-LN(2)/25))/(LN(2)/25)*Calculateur!V169*Calculateur!X169*VLOOKUP('Données projet'!$B$9,Paramètres!$A$1:$I$89,3,0)*0.475*44/12</f>
        <v>0.6746800963792865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8.5700546352301306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-5.1431925385259088E-14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366.86025470473652</v>
      </c>
      <c r="AO169" s="62">
        <f t="shared" si="144"/>
        <v>513.80016421153414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6.7984728957526396E-14</v>
      </c>
      <c r="BF169" s="14">
        <f t="shared" si="167"/>
        <v>1.0682447123141398E-12</v>
      </c>
      <c r="BG169" s="22">
        <f t="shared" si="168"/>
        <v>1.978932943548152E-12</v>
      </c>
      <c r="BH169" s="62">
        <f t="shared" si="116"/>
        <v>293.3333333333353</v>
      </c>
      <c r="BI169" s="62">
        <f ca="1">AVERAGE(OFFSET($BH$3,0,0,'Données projet'!$E$11+1,1))-AVERAGE(OFFSET($H$3,0,0,'Données projet'!$E$11+1,1))</f>
        <v>187.13674266165236</v>
      </c>
      <c r="BJ169" s="62">
        <f t="shared" si="146"/>
        <v>439.28159165815276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3.6072556303588175</v>
      </c>
      <c r="BQ169" s="23">
        <f>EXP(-LN(2)/25)*BQ168+(1-EXP(-LN(2)/25))/(LN(2)/25)*Calculateur!BL169*Calculateur!BN169*VLOOKUP('Données projet'!$B$11,Paramètres!$A$1:$I$89,3,0)*0.475*44/12</f>
        <v>1.0123810105297391</v>
      </c>
      <c r="BR169" s="23">
        <f>EXP(-LN(2)/2)*BR168+(1-EXP(-LN(2)/2))/(LN(2)/2)*BL169*BO169*VLOOKUP('Données projet'!$B$11,Paramètres!$A$1:$I$89,3,0)*0.475*44/12</f>
        <v>1.4761204139475106E-19</v>
      </c>
      <c r="BS169" s="24">
        <f t="shared" si="169"/>
        <v>4.6196366408885563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123.96745898973995</v>
      </c>
      <c r="CE169" s="62">
        <f t="shared" si="148"/>
        <v>638.75149573151157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8.0708273063808651</v>
      </c>
      <c r="CL169" s="23">
        <f>EXP(-LN(2)/25)*CL168+(1-EXP(-LN(2)/25))/(LN(2)/25)*Calculateur!CG169*Calculateur!CI169*VLOOKUP('Données projet'!$B$12,Paramètres!$A$1:$I$89,3,0)*0.475*44/12</f>
        <v>0.68967298740993621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8.7605002937908019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121.59687193641378</v>
      </c>
      <c r="T170" s="62">
        <f t="shared" si="142"/>
        <v>625.69364310937681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7.7405510598469363</v>
      </c>
      <c r="AA170" s="23">
        <f>EXP(-LN(2)/25)*AA169+(1-EXP(-LN(2)/25))/(LN(2)/25)*Calculateur!V170*Calculateur!X170*VLOOKUP('Données projet'!$B$9,Paramètres!$A$1:$I$89,3,0)*0.475*44/12</f>
        <v>0.65623093366391061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8.3967819935108476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-5.1431925385259088E-14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366.86025470473652</v>
      </c>
      <c r="AO170" s="62">
        <f t="shared" si="144"/>
        <v>513.80016421153414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6.7984728957526396E-14</v>
      </c>
      <c r="BF170" s="14">
        <f t="shared" si="167"/>
        <v>1.0682447123141398E-12</v>
      </c>
      <c r="BG170" s="22">
        <f t="shared" si="168"/>
        <v>1.978932943548152E-12</v>
      </c>
      <c r="BH170" s="62">
        <f t="shared" si="116"/>
        <v>293.3333333333353</v>
      </c>
      <c r="BI170" s="62">
        <f ca="1">AVERAGE(OFFSET($BH$3,0,0,'Données projet'!$E$11+1,1))-AVERAGE(OFFSET($H$3,0,0,'Données projet'!$E$11+1,1))</f>
        <v>187.13674266165236</v>
      </c>
      <c r="BJ170" s="62">
        <f t="shared" si="146"/>
        <v>439.28159165815276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3.5365195476561628</v>
      </c>
      <c r="BQ170" s="23">
        <f>EXP(-LN(2)/25)*BQ169+(1-EXP(-LN(2)/25))/(LN(2)/25)*Calculateur!BL170*Calculateur!BN170*VLOOKUP('Données projet'!$B$11,Paramètres!$A$1:$I$89,3,0)*0.475*44/12</f>
        <v>0.98469739855799987</v>
      </c>
      <c r="BR170" s="23">
        <f>EXP(-LN(2)/2)*BR169+(1-EXP(-LN(2)/2))/(LN(2)/2)*BL170*BO170*VLOOKUP('Données projet'!$B$11,Paramètres!$A$1:$I$89,3,0)*0.475*44/12</f>
        <v>1.0437747545501784E-19</v>
      </c>
      <c r="BS170" s="24">
        <f t="shared" si="169"/>
        <v>4.5212169462141629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123.96745898973995</v>
      </c>
      <c r="CE170" s="62">
        <f t="shared" si="148"/>
        <v>638.75149573151157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7.9125633056213154</v>
      </c>
      <c r="CL170" s="23">
        <f>EXP(-LN(2)/25)*CL169+(1-EXP(-LN(2)/25))/(LN(2)/25)*Calculateur!CG170*Calculateur!CI170*VLOOKUP('Données projet'!$B$12,Paramètres!$A$1:$I$89,3,0)*0.475*44/12</f>
        <v>0.67081384330088534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8.5833771489222013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121.59687193641378</v>
      </c>
      <c r="T171" s="62">
        <f t="shared" si="142"/>
        <v>625.69364310937681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7.5887635748332976</v>
      </c>
      <c r="AA171" s="23">
        <f>EXP(-LN(2)/25)*AA170+(1-EXP(-LN(2)/25))/(LN(2)/25)*Calculateur!V171*Calculateur!X171*VLOOKUP('Données projet'!$B$9,Paramètres!$A$1:$I$89,3,0)*0.475*44/12</f>
        <v>0.63828626427318602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8.227049839106483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-5.1431925385259088E-14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366.86025470473652</v>
      </c>
      <c r="AO171" s="62">
        <f t="shared" si="144"/>
        <v>513.80016421153414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6.7984728957526396E-14</v>
      </c>
      <c r="BF171" s="14">
        <f t="shared" si="167"/>
        <v>1.0682447123141398E-12</v>
      </c>
      <c r="BG171" s="22">
        <f t="shared" si="168"/>
        <v>1.978932943548152E-12</v>
      </c>
      <c r="BH171" s="62">
        <f t="shared" si="116"/>
        <v>293.3333333333353</v>
      </c>
      <c r="BI171" s="62">
        <f ca="1">AVERAGE(OFFSET($BH$3,0,0,'Données projet'!$E$11+1,1))-AVERAGE(OFFSET($H$3,0,0,'Données projet'!$E$11+1,1))</f>
        <v>187.13674266165236</v>
      </c>
      <c r="BJ171" s="62">
        <f t="shared" si="146"/>
        <v>439.28159165815276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3.467170556390557</v>
      </c>
      <c r="BQ171" s="23">
        <f>EXP(-LN(2)/25)*BQ170+(1-EXP(-LN(2)/25))/(LN(2)/25)*Calculateur!BL171*Calculateur!BN171*VLOOKUP('Données projet'!$B$11,Paramètres!$A$1:$I$89,3,0)*0.475*44/12</f>
        <v>0.95777079641144569</v>
      </c>
      <c r="BR171" s="23">
        <f>EXP(-LN(2)/2)*BR170+(1-EXP(-LN(2)/2))/(LN(2)/2)*BL171*BO171*VLOOKUP('Données projet'!$B$11,Paramètres!$A$1:$I$89,3,0)*0.475*44/12</f>
        <v>7.3806020697375531E-20</v>
      </c>
      <c r="BS171" s="24">
        <f t="shared" si="169"/>
        <v>4.4249413528020032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123.96745898973995</v>
      </c>
      <c r="CE171" s="62">
        <f t="shared" si="148"/>
        <v>638.75149573151157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7.7574027653851516</v>
      </c>
      <c r="CL171" s="23">
        <f>EXP(-LN(2)/25)*CL170+(1-EXP(-LN(2)/25))/(LN(2)/25)*Calculateur!CG171*Calculateur!CI171*VLOOKUP('Données projet'!$B$12,Paramètres!$A$1:$I$89,3,0)*0.475*44/12</f>
        <v>0.65247040347925578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8.4098731688644079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121.59687193641378</v>
      </c>
      <c r="T172" s="62">
        <f t="shared" si="142"/>
        <v>625.69364310937681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7.4399525498195525</v>
      </c>
      <c r="AA172" s="23">
        <f>EXP(-LN(2)/25)*AA171+(1-EXP(-LN(2)/25))/(LN(2)/25)*Calculateur!V172*Calculateur!X172*VLOOKUP('Données projet'!$B$9,Paramètres!$A$1:$I$89,3,0)*0.475*44/12</f>
        <v>0.62083229281061991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8.0607848426301718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-5.1431925385259088E-14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366.86025470473652</v>
      </c>
      <c r="AO172" s="62">
        <f t="shared" si="144"/>
        <v>513.80016421153414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6.7984728957526396E-14</v>
      </c>
      <c r="BF172" s="14">
        <f t="shared" si="167"/>
        <v>1.0682447123141398E-12</v>
      </c>
      <c r="BG172" s="22">
        <f t="shared" si="168"/>
        <v>1.978932943548152E-12</v>
      </c>
      <c r="BH172" s="62">
        <f t="shared" si="116"/>
        <v>293.3333333333353</v>
      </c>
      <c r="BI172" s="62">
        <f ca="1">AVERAGE(OFFSET($BH$3,0,0,'Données projet'!$E$11+1,1))-AVERAGE(OFFSET($H$3,0,0,'Données projet'!$E$11+1,1))</f>
        <v>187.13674266165236</v>
      </c>
      <c r="BJ172" s="62">
        <f t="shared" si="146"/>
        <v>439.28159165815276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3.3991814565449618</v>
      </c>
      <c r="BQ172" s="23">
        <f>EXP(-LN(2)/25)*BQ171+(1-EXP(-LN(2)/25))/(LN(2)/25)*Calculateur!BL172*Calculateur!BN172*VLOOKUP('Données projet'!$B$11,Paramètres!$A$1:$I$89,3,0)*0.475*44/12</f>
        <v>0.9315805036165975</v>
      </c>
      <c r="BR172" s="23">
        <f>EXP(-LN(2)/2)*BR171+(1-EXP(-LN(2)/2))/(LN(2)/2)*BL172*BO172*VLOOKUP('Données projet'!$B$11,Paramètres!$A$1:$I$89,3,0)*0.475*44/12</f>
        <v>5.2188737727508918E-20</v>
      </c>
      <c r="BS172" s="24">
        <f t="shared" si="169"/>
        <v>4.330761960161559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123.96745898973995</v>
      </c>
      <c r="CE172" s="62">
        <f t="shared" si="148"/>
        <v>638.75149573151157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7.6052848287044341</v>
      </c>
      <c r="CL172" s="23">
        <f>EXP(-LN(2)/25)*CL171+(1-EXP(-LN(2)/25))/(LN(2)/25)*Calculateur!CG172*Calculateur!CI172*VLOOKUP('Données projet'!$B$12,Paramètres!$A$1:$I$89,3,0)*0.475*44/12</f>
        <v>0.63462856598418826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8.2399133946886227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121.59687193641378</v>
      </c>
      <c r="T173" s="62">
        <f t="shared" si="142"/>
        <v>625.69364310937681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7.2940596182405635</v>
      </c>
      <c r="AA173" s="23">
        <f>EXP(-LN(2)/25)*AA172+(1-EXP(-LN(2)/25))/(LN(2)/25)*Calculateur!V173*Calculateur!X173*VLOOKUP('Données projet'!$B$9,Paramètres!$A$1:$I$89,3,0)*0.475*44/12</f>
        <v>0.60385560111556214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7.8979152193561255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-5.1431925385259088E-14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366.86025470473652</v>
      </c>
      <c r="AO173" s="62">
        <f t="shared" si="144"/>
        <v>513.80016421153414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6.7984728957526396E-14</v>
      </c>
      <c r="BF173" s="14">
        <f t="shared" si="167"/>
        <v>1.0682447123141398E-12</v>
      </c>
      <c r="BG173" s="22">
        <f t="shared" si="168"/>
        <v>1.978932943548152E-12</v>
      </c>
      <c r="BH173" s="62">
        <f t="shared" si="116"/>
        <v>293.3333333333353</v>
      </c>
      <c r="BI173" s="62">
        <f ca="1">AVERAGE(OFFSET($BH$3,0,0,'Données projet'!$E$11+1,1))-AVERAGE(OFFSET($H$3,0,0,'Données projet'!$E$11+1,1))</f>
        <v>187.13674266165236</v>
      </c>
      <c r="BJ173" s="62">
        <f t="shared" si="146"/>
        <v>439.28159165815276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3.3325255814780825</v>
      </c>
      <c r="BQ173" s="23">
        <f>EXP(-LN(2)/25)*BQ172+(1-EXP(-LN(2)/25))/(LN(2)/25)*Calculateur!BL173*Calculateur!BN173*VLOOKUP('Données projet'!$B$11,Paramètres!$A$1:$I$89,3,0)*0.475*44/12</f>
        <v>0.90610638575551217</v>
      </c>
      <c r="BR173" s="23">
        <f>EXP(-LN(2)/2)*BR172+(1-EXP(-LN(2)/2))/(LN(2)/2)*BL173*BO173*VLOOKUP('Données projet'!$B$11,Paramètres!$A$1:$I$89,3,0)*0.475*44/12</f>
        <v>3.6903010348687766E-20</v>
      </c>
      <c r="BS173" s="24">
        <f t="shared" si="169"/>
        <v>4.2386319672335944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123.96745898973995</v>
      </c>
      <c r="CE173" s="62">
        <f t="shared" si="148"/>
        <v>638.75149573151157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7.4561498319792454</v>
      </c>
      <c r="CL173" s="23">
        <f>EXP(-LN(2)/25)*CL172+(1-EXP(-LN(2)/25))/(LN(2)/25)*Calculateur!CG173*Calculateur!CI173*VLOOKUP('Données projet'!$B$12,Paramètres!$A$1:$I$89,3,0)*0.475*44/12</f>
        <v>0.61727461447368481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8.0734244464529308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121.59687193641378</v>
      </c>
      <c r="T174" s="62">
        <f t="shared" si="142"/>
        <v>625.69364310937681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7.1510275580639373</v>
      </c>
      <c r="AA174" s="23">
        <f>EXP(-LN(2)/25)*AA173+(1-EXP(-LN(2)/25))/(LN(2)/25)*Calculateur!V174*Calculateur!X174*VLOOKUP('Données projet'!$B$9,Paramètres!$A$1:$I$89,3,0)*0.475*44/12</f>
        <v>0.58734313794767112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7.7383706960116081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-5.1431925385259088E-14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366.86025470473652</v>
      </c>
      <c r="AO174" s="62">
        <f t="shared" si="144"/>
        <v>513.80016421153414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6.7984728957526396E-14</v>
      </c>
      <c r="BF174" s="14">
        <f t="shared" si="167"/>
        <v>1.0682447123141398E-12</v>
      </c>
      <c r="BG174" s="22">
        <f t="shared" si="168"/>
        <v>1.978932943548152E-12</v>
      </c>
      <c r="BH174" s="62">
        <f t="shared" si="116"/>
        <v>293.3333333333353</v>
      </c>
      <c r="BI174" s="62">
        <f ca="1">AVERAGE(OFFSET($BH$3,0,0,'Données projet'!$E$11+1,1))-AVERAGE(OFFSET($H$3,0,0,'Données projet'!$E$11+1,1))</f>
        <v>187.13674266165236</v>
      </c>
      <c r="BJ174" s="62">
        <f t="shared" si="146"/>
        <v>439.28159165815276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3.2671767874651954</v>
      </c>
      <c r="BQ174" s="23">
        <f>EXP(-LN(2)/25)*BQ173+(1-EXP(-LN(2)/25))/(LN(2)/25)*Calculateur!BL174*Calculateur!BN174*VLOOKUP('Données projet'!$B$11,Paramètres!$A$1:$I$89,3,0)*0.475*44/12</f>
        <v>0.88132885898696378</v>
      </c>
      <c r="BR174" s="23">
        <f>EXP(-LN(2)/2)*BR173+(1-EXP(-LN(2)/2))/(LN(2)/2)*BL174*BO174*VLOOKUP('Données projet'!$B$11,Paramètres!$A$1:$I$89,3,0)*0.475*44/12</f>
        <v>2.6094368863754459E-20</v>
      </c>
      <c r="BS174" s="24">
        <f t="shared" si="169"/>
        <v>4.1485056464521595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123.96745898973995</v>
      </c>
      <c r="CE174" s="62">
        <f t="shared" si="148"/>
        <v>638.75149573151157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7.3099392815764714</v>
      </c>
      <c r="CL174" s="23">
        <f>EXP(-LN(2)/25)*CL173+(1-EXP(-LN(2)/25))/(LN(2)/25)*Calculateur!CG174*Calculateur!CI174*VLOOKUP('Données projet'!$B$12,Paramètres!$A$1:$I$89,3,0)*0.475*44/12</f>
        <v>0.60039520767984078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7.9103344892563126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121.59687193641378</v>
      </c>
      <c r="T175" s="62">
        <f t="shared" si="142"/>
        <v>625.69364310937681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7.010800269346432</v>
      </c>
      <c r="AA175" s="23">
        <f>EXP(-LN(2)/25)*AA174+(1-EXP(-LN(2)/25))/(LN(2)/25)*Calculateur!V175*Calculateur!X175*VLOOKUP('Données projet'!$B$9,Paramètres!$A$1:$I$89,3,0)*0.475*44/12</f>
        <v>0.57128220895345883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7.582082478299891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-5.1431925385259088E-14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366.86025470473652</v>
      </c>
      <c r="AO175" s="62">
        <f t="shared" si="144"/>
        <v>513.80016421153414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6.7984728957526396E-14</v>
      </c>
      <c r="BF175" s="14">
        <f t="shared" si="167"/>
        <v>1.0682447123141398E-12</v>
      </c>
      <c r="BG175" s="22">
        <f t="shared" si="168"/>
        <v>1.978932943548152E-12</v>
      </c>
      <c r="BH175" s="62">
        <f t="shared" si="116"/>
        <v>293.3333333333353</v>
      </c>
      <c r="BI175" s="62">
        <f ca="1">AVERAGE(OFFSET($BH$3,0,0,'Données projet'!$E$11+1,1))-AVERAGE(OFFSET($H$3,0,0,'Données projet'!$E$11+1,1))</f>
        <v>187.13674266165236</v>
      </c>
      <c r="BJ175" s="62">
        <f t="shared" si="146"/>
        <v>439.28159165815276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3.2031094434440726</v>
      </c>
      <c r="BQ175" s="23">
        <f>EXP(-LN(2)/25)*BQ174+(1-EXP(-LN(2)/25))/(LN(2)/25)*Calculateur!BL175*Calculateur!BN175*VLOOKUP('Données projet'!$B$11,Paramètres!$A$1:$I$89,3,0)*0.475*44/12</f>
        <v>0.85722887499089484</v>
      </c>
      <c r="BR175" s="23">
        <f>EXP(-LN(2)/2)*BR174+(1-EXP(-LN(2)/2))/(LN(2)/2)*BL175*BO175*VLOOKUP('Données projet'!$B$11,Paramètres!$A$1:$I$89,3,0)*0.475*44/12</f>
        <v>1.8451505174343883E-20</v>
      </c>
      <c r="BS175" s="24">
        <f t="shared" si="169"/>
        <v>4.0603383184349671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123.96745898973995</v>
      </c>
      <c r="CE175" s="62">
        <f t="shared" si="148"/>
        <v>638.75149573151157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7.1665958308874664</v>
      </c>
      <c r="CL175" s="23">
        <f>EXP(-LN(2)/25)*CL174+(1-EXP(-LN(2)/25))/(LN(2)/25)*Calculateur!CG175*Calculateur!CI175*VLOOKUP('Données projet'!$B$12,Paramètres!$A$1:$I$89,3,0)*0.475*44/12</f>
        <v>0.58397736915242382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7.7505732000398906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121.59687193641378</v>
      </c>
      <c r="T176" s="62">
        <f t="shared" si="142"/>
        <v>625.69364310937681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6.8733227522304761</v>
      </c>
      <c r="AA176" s="23">
        <f>EXP(-LN(2)/25)*AA175+(1-EXP(-LN(2)/25))/(LN(2)/25)*Calculateur!V176*Calculateur!X176*VLOOKUP('Données projet'!$B$9,Paramètres!$A$1:$I$89,3,0)*0.475*44/12</f>
        <v>0.55566046690720083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7.4289832191376766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-5.1431925385259088E-14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366.86025470473652</v>
      </c>
      <c r="AO176" s="62">
        <f t="shared" si="144"/>
        <v>513.80016421153414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6.7984728957526396E-14</v>
      </c>
      <c r="BF176" s="14">
        <f t="shared" si="167"/>
        <v>1.0682447123141398E-12</v>
      </c>
      <c r="BG176" s="22">
        <f t="shared" si="168"/>
        <v>1.978932943548152E-12</v>
      </c>
      <c r="BH176" s="62">
        <f t="shared" si="116"/>
        <v>293.3333333333353</v>
      </c>
      <c r="BI176" s="62">
        <f ca="1">AVERAGE(OFFSET($BH$3,0,0,'Données projet'!$E$11+1,1))-AVERAGE(OFFSET($H$3,0,0,'Données projet'!$E$11+1,1))</f>
        <v>187.13674266165236</v>
      </c>
      <c r="BJ176" s="62">
        <f t="shared" si="146"/>
        <v>439.28159165815276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3.1402984209619826</v>
      </c>
      <c r="BQ176" s="23">
        <f>EXP(-LN(2)/25)*BQ175+(1-EXP(-LN(2)/25))/(LN(2)/25)*Calculateur!BL176*Calculateur!BN176*VLOOKUP('Données projet'!$B$11,Paramètres!$A$1:$I$89,3,0)*0.475*44/12</f>
        <v>0.83378790632456146</v>
      </c>
      <c r="BR176" s="23">
        <f>EXP(-LN(2)/2)*BR175+(1-EXP(-LN(2)/2))/(LN(2)/2)*BL176*BO176*VLOOKUP('Données projet'!$B$11,Paramètres!$A$1:$I$89,3,0)*0.475*44/12</f>
        <v>1.3047184431877229E-20</v>
      </c>
      <c r="BS176" s="24">
        <f t="shared" si="169"/>
        <v>3.9740863272865443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123.96745898973995</v>
      </c>
      <c r="CE176" s="62">
        <f t="shared" si="148"/>
        <v>638.75149573151157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7.0260632578356006</v>
      </c>
      <c r="CL176" s="23">
        <f>EXP(-LN(2)/25)*CL175+(1-EXP(-LN(2)/25))/(LN(2)/25)*Calculateur!CG176*Calculateur!CI176*VLOOKUP('Données projet'!$B$12,Paramètres!$A$1:$I$89,3,0)*0.475*44/12</f>
        <v>0.56800847728291559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7.5940717351185159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121.59687193641378</v>
      </c>
      <c r="T177" s="62">
        <f t="shared" si="142"/>
        <v>625.69364310937681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6.7385410853721588</v>
      </c>
      <c r="AA177" s="23">
        <f>EXP(-LN(2)/25)*AA176+(1-EXP(-LN(2)/25))/(LN(2)/25)*Calculateur!V177*Calculateur!X177*VLOOKUP('Données projet'!$B$9,Paramètres!$A$1:$I$89,3,0)*0.475*44/12</f>
        <v>0.54046590221870949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7.2790069875908685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-5.1431925385259088E-14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366.86025470473652</v>
      </c>
      <c r="AO177" s="62">
        <f t="shared" si="144"/>
        <v>513.80016421153414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6.7984728957526396E-14</v>
      </c>
      <c r="BF177" s="14">
        <f t="shared" si="167"/>
        <v>1.0682447123141398E-12</v>
      </c>
      <c r="BG177" s="22">
        <f t="shared" si="168"/>
        <v>1.978932943548152E-12</v>
      </c>
      <c r="BH177" s="62">
        <f t="shared" si="116"/>
        <v>293.3333333333353</v>
      </c>
      <c r="BI177" s="62">
        <f ca="1">AVERAGE(OFFSET($BH$3,0,0,'Données projet'!$E$11+1,1))-AVERAGE(OFFSET($H$3,0,0,'Données projet'!$E$11+1,1))</f>
        <v>187.13674266165236</v>
      </c>
      <c r="BJ177" s="62">
        <f t="shared" si="146"/>
        <v>439.28159165815276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3.0787190843198258</v>
      </c>
      <c r="BQ177" s="23">
        <f>EXP(-LN(2)/25)*BQ176+(1-EXP(-LN(2)/25))/(LN(2)/25)*Calculateur!BL177*Calculateur!BN177*VLOOKUP('Données projet'!$B$11,Paramètres!$A$1:$I$89,3,0)*0.475*44/12</f>
        <v>0.81098793217911602</v>
      </c>
      <c r="BR177" s="23">
        <f>EXP(-LN(2)/2)*BR176+(1-EXP(-LN(2)/2))/(LN(2)/2)*BL177*BO177*VLOOKUP('Données projet'!$B$11,Paramètres!$A$1:$I$89,3,0)*0.475*44/12</f>
        <v>9.2257525871719414E-21</v>
      </c>
      <c r="BS177" s="24">
        <f t="shared" si="169"/>
        <v>3.8897070164989418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123.96745898973995</v>
      </c>
      <c r="CE177" s="62">
        <f t="shared" si="148"/>
        <v>638.75149573151157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6.8882864428248762</v>
      </c>
      <c r="CL177" s="23">
        <f>EXP(-LN(2)/25)*CL176+(1-EXP(-LN(2)/25))/(LN(2)/25)*Calculateur!CG177*Calculateur!CI177*VLOOKUP('Données projet'!$B$12,Paramètres!$A$1:$I$89,3,0)*0.475*44/12</f>
        <v>0.55247625560134661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7.440762698426223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121.59687193641378</v>
      </c>
      <c r="T178" s="62">
        <f t="shared" si="142"/>
        <v>625.69364310937681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6.6064024047922336</v>
      </c>
      <c r="AA178" s="23">
        <f>EXP(-LN(2)/25)*AA177+(1-EXP(-LN(2)/25))/(LN(2)/25)*Calculateur!V178*Calculateur!X178*VLOOKUP('Données projet'!$B$9,Paramètres!$A$1:$I$89,3,0)*0.475*44/12</f>
        <v>0.52568683370067237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7.132089238492906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-5.1431925385259088E-14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366.86025470473652</v>
      </c>
      <c r="AO178" s="62">
        <f t="shared" si="144"/>
        <v>513.80016421153414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6.7984728957526396E-14</v>
      </c>
      <c r="BF178" s="14">
        <f t="shared" si="167"/>
        <v>1.0682447123141398E-12</v>
      </c>
      <c r="BG178" s="22">
        <f t="shared" si="168"/>
        <v>1.978932943548152E-12</v>
      </c>
      <c r="BH178" s="62">
        <f t="shared" si="116"/>
        <v>293.3333333333353</v>
      </c>
      <c r="BI178" s="62">
        <f ca="1">AVERAGE(OFFSET($BH$3,0,0,'Données projet'!$E$11+1,1))-AVERAGE(OFFSET($H$3,0,0,'Données projet'!$E$11+1,1))</f>
        <v>187.13674266165236</v>
      </c>
      <c r="BJ178" s="62">
        <f t="shared" si="146"/>
        <v>439.28159165815276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3.0183472809095346</v>
      </c>
      <c r="BQ178" s="23">
        <f>EXP(-LN(2)/25)*BQ177+(1-EXP(-LN(2)/25))/(LN(2)/25)*Calculateur!BL178*Calculateur!BN178*VLOOKUP('Données projet'!$B$11,Paramètres!$A$1:$I$89,3,0)*0.475*44/12</f>
        <v>0.78881142452567632</v>
      </c>
      <c r="BR178" s="23">
        <f>EXP(-LN(2)/2)*BR177+(1-EXP(-LN(2)/2))/(LN(2)/2)*BL178*BO178*VLOOKUP('Données projet'!$B$11,Paramètres!$A$1:$I$89,3,0)*0.475*44/12</f>
        <v>6.5235922159386147E-21</v>
      </c>
      <c r="BS178" s="24">
        <f t="shared" si="169"/>
        <v>3.807158705435211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123.96745898973995</v>
      </c>
      <c r="CE178" s="62">
        <f t="shared" si="148"/>
        <v>638.75149573151157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6.7532113471209527</v>
      </c>
      <c r="CL178" s="23">
        <f>EXP(-LN(2)/25)*CL177+(1-EXP(-LN(2)/25))/(LN(2)/25)*Calculateur!CG178*Calculateur!CI178*VLOOKUP('Données projet'!$B$12,Paramètres!$A$1:$I$89,3,0)*0.475*44/12</f>
        <v>0.53736876333846417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7.290580110459417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121.59687193641378</v>
      </c>
      <c r="T179" s="62">
        <f t="shared" si="142"/>
        <v>625.69364310937681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6.4768548831418444</v>
      </c>
      <c r="AA179" s="23">
        <f>EXP(-LN(2)/25)*AA178+(1-EXP(-LN(2)/25))/(LN(2)/25)*Calculateur!V179*Calculateur!X179*VLOOKUP('Données projet'!$B$9,Paramètres!$A$1:$I$89,3,0)*0.475*44/12</f>
        <v>0.51131189958845835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6.9881667827303025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-5.1431925385259088E-14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366.86025470473652</v>
      </c>
      <c r="AO179" s="62">
        <f t="shared" si="144"/>
        <v>513.80016421153414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6.7984728957526396E-14</v>
      </c>
      <c r="BF179" s="14">
        <f t="shared" si="167"/>
        <v>1.0682447123141398E-12</v>
      </c>
      <c r="BG179" s="22">
        <f t="shared" si="168"/>
        <v>1.978932943548152E-12</v>
      </c>
      <c r="BH179" s="62">
        <f t="shared" si="116"/>
        <v>293.3333333333353</v>
      </c>
      <c r="BI179" s="62">
        <f ca="1">AVERAGE(OFFSET($BH$3,0,0,'Données projet'!$E$11+1,1))-AVERAGE(OFFSET($H$3,0,0,'Données projet'!$E$11+1,1))</f>
        <v>187.13674266165236</v>
      </c>
      <c r="BJ179" s="62">
        <f t="shared" si="146"/>
        <v>439.28159165815276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2.9591593317409552</v>
      </c>
      <c r="BQ179" s="23">
        <f>EXP(-LN(2)/25)*BQ178+(1-EXP(-LN(2)/25))/(LN(2)/25)*Calculateur!BL179*Calculateur!BN179*VLOOKUP('Données projet'!$B$11,Paramètres!$A$1:$I$89,3,0)*0.475*44/12</f>
        <v>0.7672413346402317</v>
      </c>
      <c r="BR179" s="23">
        <f>EXP(-LN(2)/2)*BR178+(1-EXP(-LN(2)/2))/(LN(2)/2)*BL179*BO179*VLOOKUP('Données projet'!$B$11,Paramètres!$A$1:$I$89,3,0)*0.475*44/12</f>
        <v>4.6128762935859707E-21</v>
      </c>
      <c r="BS179" s="24">
        <f t="shared" si="169"/>
        <v>3.7264006663811871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123.96745898973995</v>
      </c>
      <c r="CE179" s="62">
        <f t="shared" si="148"/>
        <v>638.75149573151157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6.6207849916561097</v>
      </c>
      <c r="CL179" s="23">
        <f>EXP(-LN(2)/25)*CL178+(1-EXP(-LN(2)/25))/(LN(2)/25)*Calculateur!CG179*Calculateur!CI179*VLOOKUP('Données projet'!$B$12,Paramètres!$A$1:$I$89,3,0)*0.475*44/12</f>
        <v>0.52267438624597873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7.1434593779020883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121.59687193641378</v>
      </c>
      <c r="T180" s="62">
        <f t="shared" si="142"/>
        <v>625.69364310937681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6.3498477093748331</v>
      </c>
      <c r="AA180" s="23">
        <f>EXP(-LN(2)/25)*AA179+(1-EXP(-LN(2)/25))/(LN(2)/25)*Calculateur!V180*Calculateur!X180*VLOOKUP('Données projet'!$B$9,Paramètres!$A$1:$I$89,3,0)*0.475*44/12</f>
        <v>0.49733004880548776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6.8471777581803206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-5.1431925385259088E-14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366.86025470473652</v>
      </c>
      <c r="AO180" s="62">
        <f t="shared" si="144"/>
        <v>513.80016421153414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6.7984728957526396E-14</v>
      </c>
      <c r="BF180" s="14">
        <f t="shared" si="167"/>
        <v>1.0682447123141398E-12</v>
      </c>
      <c r="BG180" s="22">
        <f t="shared" si="168"/>
        <v>1.978932943548152E-12</v>
      </c>
      <c r="BH180" s="62">
        <f t="shared" si="116"/>
        <v>293.3333333333353</v>
      </c>
      <c r="BI180" s="62">
        <f ca="1">AVERAGE(OFFSET($BH$3,0,0,'Données projet'!$E$11+1,1))-AVERAGE(OFFSET($H$3,0,0,'Données projet'!$E$11+1,1))</f>
        <v>187.13674266165236</v>
      </c>
      <c r="BJ180" s="62">
        <f t="shared" si="146"/>
        <v>439.28159165815276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2.9011320221544876</v>
      </c>
      <c r="BQ180" s="23">
        <f>EXP(-LN(2)/25)*BQ179+(1-EXP(-LN(2)/25))/(LN(2)/25)*Calculateur!BL180*Calculateur!BN180*VLOOKUP('Données projet'!$B$11,Paramètres!$A$1:$I$89,3,0)*0.475*44/12</f>
        <v>0.74626107999702629</v>
      </c>
      <c r="BR180" s="23">
        <f>EXP(-LN(2)/2)*BR179+(1-EXP(-LN(2)/2))/(LN(2)/2)*BL180*BO180*VLOOKUP('Données projet'!$B$11,Paramètres!$A$1:$I$89,3,0)*0.475*44/12</f>
        <v>3.2617961079693074E-21</v>
      </c>
      <c r="BS180" s="24">
        <f t="shared" si="169"/>
        <v>3.647393102151514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123.96745898973995</v>
      </c>
      <c r="CE180" s="62">
        <f t="shared" si="148"/>
        <v>638.75149573151157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6.4909554362498314</v>
      </c>
      <c r="CL180" s="23">
        <f>EXP(-LN(2)/25)*CL179+(1-EXP(-LN(2)/25))/(LN(2)/25)*Calculateur!CG180*Calculateur!CI180*VLOOKUP('Données projet'!$B$12,Paramètres!$A$1:$I$89,3,0)*0.475*44/12</f>
        <v>0.50838182766783102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6.9993372639176625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121.59687193641378</v>
      </c>
      <c r="T181" s="62">
        <f t="shared" si="142"/>
        <v>625.69364310937681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6.225331068818666</v>
      </c>
      <c r="AA181" s="23">
        <f>EXP(-LN(2)/25)*AA180+(1-EXP(-LN(2)/25))/(LN(2)/25)*Calculateur!V181*Calculateur!X181*VLOOKUP('Données projet'!$B$9,Paramètres!$A$1:$I$89,3,0)*0.475*44/12</f>
        <v>0.48373053246745107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6.7090616012861171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-5.1431925385259088E-14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366.86025470473652</v>
      </c>
      <c r="AO181" s="62">
        <f t="shared" si="144"/>
        <v>513.80016421153414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6.7984728957526396E-14</v>
      </c>
      <c r="BF181" s="14">
        <f t="shared" si="167"/>
        <v>1.0682447123141398E-12</v>
      </c>
      <c r="BG181" s="22">
        <f t="shared" si="168"/>
        <v>1.978932943548152E-12</v>
      </c>
      <c r="BH181" s="62">
        <f t="shared" si="116"/>
        <v>293.3333333333353</v>
      </c>
      <c r="BI181" s="62">
        <f ca="1">AVERAGE(OFFSET($BH$3,0,0,'Données projet'!$E$11+1,1))-AVERAGE(OFFSET($H$3,0,0,'Données projet'!$E$11+1,1))</f>
        <v>187.13674266165236</v>
      </c>
      <c r="BJ181" s="62">
        <f t="shared" si="146"/>
        <v>439.28159165815276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2.8442425927158466</v>
      </c>
      <c r="BQ181" s="23">
        <f>EXP(-LN(2)/25)*BQ180+(1-EXP(-LN(2)/25))/(LN(2)/25)*Calculateur!BL181*Calculateur!BN181*VLOOKUP('Données projet'!$B$11,Paramètres!$A$1:$I$89,3,0)*0.475*44/12</f>
        <v>0.72585453152034296</v>
      </c>
      <c r="BR181" s="23">
        <f>EXP(-LN(2)/2)*BR180+(1-EXP(-LN(2)/2))/(LN(2)/2)*BL181*BO181*VLOOKUP('Données projet'!$B$11,Paramètres!$A$1:$I$89,3,0)*0.475*44/12</f>
        <v>2.3064381467929853E-21</v>
      </c>
      <c r="BS181" s="24">
        <f t="shared" si="169"/>
        <v>3.5700971242361894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123.96745898973995</v>
      </c>
      <c r="CE181" s="62">
        <f t="shared" si="148"/>
        <v>638.75149573151157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6.3636717592368601</v>
      </c>
      <c r="CL181" s="23">
        <f>EXP(-LN(2)/25)*CL180+(1-EXP(-LN(2)/25))/(LN(2)/25)*Calculateur!CG181*Calculateur!CI181*VLOOKUP('Données projet'!$B$12,Paramètres!$A$1:$I$89,3,0)*0.475*44/12</f>
        <v>0.49448009985561581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6.8581518590924757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121.59687193641378</v>
      </c>
      <c r="T182" s="62">
        <f t="shared" si="142"/>
        <v>625.69364310937681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6.1032561236361538</v>
      </c>
      <c r="AA182" s="23">
        <f>EXP(-LN(2)/25)*AA181+(1-EXP(-LN(2)/25))/(LN(2)/25)*Calculateur!V182*Calculateur!X182*VLOOKUP('Données projet'!$B$9,Paramètres!$A$1:$I$89,3,0)*0.475*44/12</f>
        <v>0.47050289561884551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6.5737590192549993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-5.1431925385259088E-14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366.86025470473652</v>
      </c>
      <c r="AO182" s="62">
        <f t="shared" si="144"/>
        <v>513.80016421153414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6.7984728957526396E-14</v>
      </c>
      <c r="BF182" s="14">
        <f t="shared" si="167"/>
        <v>1.0682447123141398E-12</v>
      </c>
      <c r="BG182" s="22">
        <f t="shared" si="168"/>
        <v>1.978932943548152E-12</v>
      </c>
      <c r="BH182" s="62">
        <f t="shared" si="116"/>
        <v>293.3333333333353</v>
      </c>
      <c r="BI182" s="62">
        <f ca="1">AVERAGE(OFFSET($BH$3,0,0,'Données projet'!$E$11+1,1))-AVERAGE(OFFSET($H$3,0,0,'Données projet'!$E$11+1,1))</f>
        <v>187.13674266165236</v>
      </c>
      <c r="BJ182" s="62">
        <f t="shared" si="146"/>
        <v>439.28159165815276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2.7884687302893716</v>
      </c>
      <c r="BQ182" s="23">
        <f>EXP(-LN(2)/25)*BQ181+(1-EXP(-LN(2)/25))/(LN(2)/25)*Calculateur!BL182*Calculateur!BN182*VLOOKUP('Données projet'!$B$11,Paramètres!$A$1:$I$89,3,0)*0.475*44/12</f>
        <v>0.70600600118488832</v>
      </c>
      <c r="BR182" s="23">
        <f>EXP(-LN(2)/2)*BR181+(1-EXP(-LN(2)/2))/(LN(2)/2)*BL182*BO182*VLOOKUP('Données projet'!$B$11,Paramètres!$A$1:$I$89,3,0)*0.475*44/12</f>
        <v>1.6308980539846537E-21</v>
      </c>
      <c r="BS182" s="24">
        <f t="shared" si="169"/>
        <v>3.4944747314742601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123.96745898973995</v>
      </c>
      <c r="CE182" s="62">
        <f t="shared" si="148"/>
        <v>638.75149573151157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6.2388840374947367</v>
      </c>
      <c r="CL182" s="23">
        <f>EXP(-LN(2)/25)*CL181+(1-EXP(-LN(2)/25))/(LN(2)/25)*Calculateur!CG182*Calculateur!CI182*VLOOKUP('Données projet'!$B$12,Paramètres!$A$1:$I$89,3,0)*0.475*44/12</f>
        <v>0.48095851552148566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6.719842553016222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121.59687193641378</v>
      </c>
      <c r="T183" s="62">
        <f t="shared" si="142"/>
        <v>625.69364310937681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5.983574993670306</v>
      </c>
      <c r="AA183" s="23">
        <f>EXP(-LN(2)/25)*AA182+(1-EXP(-LN(2)/25))/(LN(2)/25)*Calculateur!V183*Calculateur!X183*VLOOKUP('Données projet'!$B$9,Paramètres!$A$1:$I$89,3,0)*0.475*44/12</f>
        <v>0.45763696919547625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6.4412119628657827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-5.1431925385259088E-14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366.86025470473652</v>
      </c>
      <c r="AO183" s="62">
        <f t="shared" si="144"/>
        <v>513.80016421153414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6.7984728957526396E-14</v>
      </c>
      <c r="BF183" s="14">
        <f t="shared" si="167"/>
        <v>1.0682447123141398E-12</v>
      </c>
      <c r="BG183" s="22">
        <f t="shared" si="168"/>
        <v>1.978932943548152E-12</v>
      </c>
      <c r="BH183" s="62">
        <f t="shared" si="116"/>
        <v>293.3333333333353</v>
      </c>
      <c r="BI183" s="62">
        <f ca="1">AVERAGE(OFFSET($BH$3,0,0,'Données projet'!$E$11+1,1))-AVERAGE(OFFSET($H$3,0,0,'Données projet'!$E$11+1,1))</f>
        <v>187.13674266165236</v>
      </c>
      <c r="BJ183" s="62">
        <f t="shared" si="146"/>
        <v>439.28159165815276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2.7337885592863826</v>
      </c>
      <c r="BQ183" s="23">
        <f>EXP(-LN(2)/25)*BQ182+(1-EXP(-LN(2)/25))/(LN(2)/25)*Calculateur!BL183*Calculateur!BN183*VLOOKUP('Données projet'!$B$11,Paramètres!$A$1:$I$89,3,0)*0.475*44/12</f>
        <v>0.6867002299552456</v>
      </c>
      <c r="BR183" s="23">
        <f>EXP(-LN(2)/2)*BR182+(1-EXP(-LN(2)/2))/(LN(2)/2)*BL183*BO183*VLOOKUP('Données projet'!$B$11,Paramètres!$A$1:$I$89,3,0)*0.475*44/12</f>
        <v>1.1532190733964927E-21</v>
      </c>
      <c r="BS183" s="24">
        <f t="shared" si="169"/>
        <v>3.4204887892416282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123.96745898973995</v>
      </c>
      <c r="CE183" s="62">
        <f t="shared" si="148"/>
        <v>638.75149573151157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6.1165433268629812</v>
      </c>
      <c r="CL183" s="23">
        <f>EXP(-LN(2)/25)*CL182+(1-EXP(-LN(2)/25))/(LN(2)/25)*Calculateur!CG183*Calculateur!CI183*VLOOKUP('Données projet'!$B$12,Paramètres!$A$1:$I$89,3,0)*0.475*44/12</f>
        <v>0.46780667962204153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6.5843500064850229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121.59687193641378</v>
      </c>
      <c r="T184" s="62">
        <f t="shared" si="142"/>
        <v>625.69364310937681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5.8662407376648069</v>
      </c>
      <c r="AA184" s="23">
        <f>EXP(-LN(2)/25)*AA183+(1-EXP(-LN(2)/25))/(LN(2)/25)*Calculateur!V184*Calculateur!X184*VLOOKUP('Données projet'!$B$9,Paramètres!$A$1:$I$89,3,0)*0.475*44/12</f>
        <v>0.44512286220674369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6.3113635998715507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-5.1431925385259088E-14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366.86025470473652</v>
      </c>
      <c r="AO184" s="62">
        <f t="shared" si="144"/>
        <v>513.80016421153414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6.7984728957526396E-14</v>
      </c>
      <c r="BF184" s="14">
        <f t="shared" si="167"/>
        <v>1.0682447123141398E-12</v>
      </c>
      <c r="BG184" s="22">
        <f t="shared" si="168"/>
        <v>1.978932943548152E-12</v>
      </c>
      <c r="BH184" s="62">
        <f t="shared" si="116"/>
        <v>293.3333333333353</v>
      </c>
      <c r="BI184" s="62">
        <f ca="1">AVERAGE(OFFSET($BH$3,0,0,'Données projet'!$E$11+1,1))-AVERAGE(OFFSET($H$3,0,0,'Données projet'!$E$11+1,1))</f>
        <v>187.13674266165236</v>
      </c>
      <c r="BJ184" s="62">
        <f t="shared" si="146"/>
        <v>439.28159165815276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2.680180633085151</v>
      </c>
      <c r="BQ184" s="23">
        <f>EXP(-LN(2)/25)*BQ183+(1-EXP(-LN(2)/25))/(LN(2)/25)*Calculateur!BL184*Calculateur!BN184*VLOOKUP('Données projet'!$B$11,Paramètres!$A$1:$I$89,3,0)*0.475*44/12</f>
        <v>0.66792237605512383</v>
      </c>
      <c r="BR184" s="23">
        <f>EXP(-LN(2)/2)*BR183+(1-EXP(-LN(2)/2))/(LN(2)/2)*BL184*BO184*VLOOKUP('Données projet'!$B$11,Paramètres!$A$1:$I$89,3,0)*0.475*44/12</f>
        <v>8.1544902699232684E-22</v>
      </c>
      <c r="BS184" s="24">
        <f t="shared" si="169"/>
        <v>3.3481030091402748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123.96745898973995</v>
      </c>
      <c r="CE184" s="62">
        <f t="shared" si="148"/>
        <v>638.75149573151157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5.9966016429462492</v>
      </c>
      <c r="CL184" s="23">
        <f>EXP(-LN(2)/25)*CL183+(1-EXP(-LN(2)/25))/(LN(2)/25)*Calculateur!CG184*Calculateur!CI184*VLOOKUP('Données projet'!$B$12,Paramètres!$A$1:$I$89,3,0)*0.475*44/12</f>
        <v>0.45501448136689271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6.4516161243131416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121.59687193641378</v>
      </c>
      <c r="T185" s="62">
        <f t="shared" si="142"/>
        <v>625.69364310937681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5.7512073348527464</v>
      </c>
      <c r="AA185" s="23">
        <f>EXP(-LN(2)/25)*AA184+(1-EXP(-LN(2)/25))/(LN(2)/25)*Calculateur!V185*Calculateur!X185*VLOOKUP('Données projet'!$B$9,Paramètres!$A$1:$I$89,3,0)*0.475*44/12</f>
        <v>0.43295095413170631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6.1841582889844524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-5.1431925385259088E-14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366.86025470473652</v>
      </c>
      <c r="AO185" s="62">
        <f t="shared" si="144"/>
        <v>513.80016421153414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6.7984728957526396E-14</v>
      </c>
      <c r="BF185" s="14">
        <f t="shared" si="167"/>
        <v>1.0682447123141398E-12</v>
      </c>
      <c r="BG185" s="22">
        <f t="shared" si="168"/>
        <v>1.978932943548152E-12</v>
      </c>
      <c r="BH185" s="62">
        <f t="shared" si="116"/>
        <v>293.3333333333353</v>
      </c>
      <c r="BI185" s="62">
        <f ca="1">AVERAGE(OFFSET($BH$3,0,0,'Données projet'!$E$11+1,1))-AVERAGE(OFFSET($H$3,0,0,'Données projet'!$E$11+1,1))</f>
        <v>187.13674266165236</v>
      </c>
      <c r="BJ185" s="62">
        <f t="shared" si="146"/>
        <v>439.28159165815276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2.6276239256191194</v>
      </c>
      <c r="BQ185" s="23">
        <f>EXP(-LN(2)/25)*BQ184+(1-EXP(-LN(2)/25))/(LN(2)/25)*Calculateur!BL185*Calculateur!BN185*VLOOKUP('Données projet'!$B$11,Paramètres!$A$1:$I$89,3,0)*0.475*44/12</f>
        <v>0.64965800355738523</v>
      </c>
      <c r="BR185" s="23">
        <f>EXP(-LN(2)/2)*BR184+(1-EXP(-LN(2)/2))/(LN(2)/2)*BL185*BO185*VLOOKUP('Données projet'!$B$11,Paramètres!$A$1:$I$89,3,0)*0.475*44/12</f>
        <v>5.7660953669824634E-22</v>
      </c>
      <c r="BS185" s="24">
        <f t="shared" si="169"/>
        <v>3.2772819291765045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123.96745898973995</v>
      </c>
      <c r="CE185" s="62">
        <f t="shared" si="148"/>
        <v>638.75149573151157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5.8790119422939204</v>
      </c>
      <c r="CL185" s="23">
        <f>EXP(-LN(2)/25)*CL184+(1-EXP(-LN(2)/25))/(LN(2)/25)*Calculateur!CG185*Calculateur!CI185*VLOOKUP('Données projet'!$B$12,Paramètres!$A$1:$I$89,3,0)*0.475*44/12</f>
        <v>0.44257208644574342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6.3215840287396636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121.59687193641378</v>
      </c>
      <c r="T186" s="62">
        <f t="shared" si="142"/>
        <v>625.69364310937681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5.6384296669063829</v>
      </c>
      <c r="AA186" s="23">
        <f>EXP(-LN(2)/25)*AA185+(1-EXP(-LN(2)/25))/(LN(2)/25)*Calculateur!V186*Calculateur!X186*VLOOKUP('Données projet'!$B$9,Paramètres!$A$1:$I$89,3,0)*0.475*44/12</f>
        <v>0.42111188752307366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6.0595415544294564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-5.1431925385259088E-14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366.86025470473652</v>
      </c>
      <c r="AO186" s="62">
        <f t="shared" si="144"/>
        <v>513.80016421153414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6.7984728957526396E-14</v>
      </c>
      <c r="BF186" s="14">
        <f t="shared" si="167"/>
        <v>1.0682447123141398E-12</v>
      </c>
      <c r="BG186" s="22">
        <f t="shared" si="168"/>
        <v>1.978932943548152E-12</v>
      </c>
      <c r="BH186" s="62">
        <f t="shared" si="116"/>
        <v>293.3333333333353</v>
      </c>
      <c r="BI186" s="62">
        <f ca="1">AVERAGE(OFFSET($BH$3,0,0,'Données projet'!$E$11+1,1))-AVERAGE(OFFSET($H$3,0,0,'Données projet'!$E$11+1,1))</f>
        <v>187.13674266165236</v>
      </c>
      <c r="BJ186" s="62">
        <f t="shared" si="146"/>
        <v>439.28159165815276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2.5760978231300702</v>
      </c>
      <c r="BQ186" s="23">
        <f>EXP(-LN(2)/25)*BQ185+(1-EXP(-LN(2)/25))/(LN(2)/25)*Calculateur!BL186*Calculateur!BN186*VLOOKUP('Données projet'!$B$11,Paramètres!$A$1:$I$89,3,0)*0.475*44/12</f>
        <v>0.63189307128607897</v>
      </c>
      <c r="BR186" s="23">
        <f>EXP(-LN(2)/2)*BR185+(1-EXP(-LN(2)/2))/(LN(2)/2)*BL186*BO186*VLOOKUP('Données projet'!$B$11,Paramètres!$A$1:$I$89,3,0)*0.475*44/12</f>
        <v>4.0772451349616342E-22</v>
      </c>
      <c r="BS186" s="24">
        <f t="shared" si="169"/>
        <v>3.2079908944161493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123.96745898973995</v>
      </c>
      <c r="CE186" s="62">
        <f t="shared" si="148"/>
        <v>638.75149573151157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5.7637281039487487</v>
      </c>
      <c r="CL186" s="23">
        <f>EXP(-LN(2)/25)*CL185+(1-EXP(-LN(2)/25))/(LN(2)/25)*Calculateur!CG186*Calculateur!CI186*VLOOKUP('Données projet'!$B$12,Paramètres!$A$1:$I$89,3,0)*0.475*44/12</f>
        <v>0.43046992946803003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6.1941980334167788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121.59687193641378</v>
      </c>
      <c r="T187" s="62">
        <f t="shared" si="142"/>
        <v>625.69364310937681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5.527863500240862</v>
      </c>
      <c r="AA187" s="23">
        <f>EXP(-LN(2)/25)*AA186+(1-EXP(-LN(2)/25))/(LN(2)/25)*Calculateur!V187*Calculateur!X187*VLOOKUP('Données projet'!$B$9,Paramètres!$A$1:$I$89,3,0)*0.475*44/12</f>
        <v>0.40959656081344353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5.9374600610543053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-5.1431925385259088E-14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366.86025470473652</v>
      </c>
      <c r="AO187" s="62">
        <f t="shared" si="144"/>
        <v>513.80016421153414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6.7984728957526396E-14</v>
      </c>
      <c r="BF187" s="14">
        <f t="shared" si="167"/>
        <v>1.0682447123141398E-12</v>
      </c>
      <c r="BG187" s="22">
        <f t="shared" si="168"/>
        <v>1.978932943548152E-12</v>
      </c>
      <c r="BH187" s="62">
        <f t="shared" si="116"/>
        <v>293.3333333333353</v>
      </c>
      <c r="BI187" s="62">
        <f ca="1">AVERAGE(OFFSET($BH$3,0,0,'Données projet'!$E$11+1,1))-AVERAGE(OFFSET($H$3,0,0,'Données projet'!$E$11+1,1))</f>
        <v>187.13674266165236</v>
      </c>
      <c r="BJ187" s="62">
        <f t="shared" si="146"/>
        <v>439.28159165815276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2.5255821160830121</v>
      </c>
      <c r="BQ187" s="23">
        <f>EXP(-LN(2)/25)*BQ186+(1-EXP(-LN(2)/25))/(LN(2)/25)*Calculateur!BL187*Calculateur!BN187*VLOOKUP('Données projet'!$B$11,Paramètres!$A$1:$I$89,3,0)*0.475*44/12</f>
        <v>0.61461392202194876</v>
      </c>
      <c r="BR187" s="23">
        <f>EXP(-LN(2)/2)*BR186+(1-EXP(-LN(2)/2))/(LN(2)/2)*BL187*BO187*VLOOKUP('Données projet'!$B$11,Paramètres!$A$1:$I$89,3,0)*0.475*44/12</f>
        <v>2.8830476834912317E-22</v>
      </c>
      <c r="BS187" s="24">
        <f t="shared" si="169"/>
        <v>3.140196038104961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123.96745898973995</v>
      </c>
      <c r="CE187" s="62">
        <f t="shared" si="148"/>
        <v>638.75149573151157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5.6507049113573276</v>
      </c>
      <c r="CL187" s="23">
        <f>EXP(-LN(2)/25)*CL186+(1-EXP(-LN(2)/25))/(LN(2)/25)*Calculateur!CG187*Calculateur!CI187*VLOOKUP('Données projet'!$B$12,Paramètres!$A$1:$I$89,3,0)*0.475*44/12</f>
        <v>0.41869870660929703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6.0694036179666249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121.59687193641378</v>
      </c>
      <c r="T188" s="62">
        <f t="shared" si="142"/>
        <v>625.69364310937681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5.4194654686649502</v>
      </c>
      <c r="AA188" s="23">
        <f>EXP(-LN(2)/25)*AA187+(1-EXP(-LN(2)/25))/(LN(2)/25)*Calculateur!V188*Calculateur!X188*VLOOKUP('Données projet'!$B$9,Paramètres!$A$1:$I$89,3,0)*0.475*44/12</f>
        <v>0.39839612131825292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5.8178615899832034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-5.1431925385259088E-14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366.86025470473652</v>
      </c>
      <c r="AO188" s="62">
        <f t="shared" si="144"/>
        <v>513.80016421153414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6.7984728957526396E-14</v>
      </c>
      <c r="BF188" s="14">
        <f t="shared" si="167"/>
        <v>1.0682447123141398E-12</v>
      </c>
      <c r="BG188" s="22">
        <f t="shared" si="168"/>
        <v>1.978932943548152E-12</v>
      </c>
      <c r="BH188" s="62">
        <f t="shared" si="116"/>
        <v>293.3333333333353</v>
      </c>
      <c r="BI188" s="62">
        <f ca="1">AVERAGE(OFFSET($BH$3,0,0,'Données projet'!$E$11+1,1))-AVERAGE(OFFSET($H$3,0,0,'Données projet'!$E$11+1,1))</f>
        <v>187.13674266165236</v>
      </c>
      <c r="BJ188" s="62">
        <f t="shared" si="146"/>
        <v>439.28159165815276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2.476056991239608</v>
      </c>
      <c r="BQ188" s="23">
        <f>EXP(-LN(2)/25)*BQ187+(1-EXP(-LN(2)/25))/(LN(2)/25)*Calculateur!BL188*Calculateur!BN188*VLOOKUP('Données projet'!$B$11,Paramètres!$A$1:$I$89,3,0)*0.475*44/12</f>
        <v>0.59780727200311712</v>
      </c>
      <c r="BR188" s="23">
        <f>EXP(-LN(2)/2)*BR187+(1-EXP(-LN(2)/2))/(LN(2)/2)*BL188*BO188*VLOOKUP('Données projet'!$B$11,Paramètres!$A$1:$I$89,3,0)*0.475*44/12</f>
        <v>2.0386225674808171E-22</v>
      </c>
      <c r="BS188" s="24">
        <f t="shared" si="169"/>
        <v>3.0738642632427249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123.96745898973995</v>
      </c>
      <c r="CE188" s="62">
        <f t="shared" si="148"/>
        <v>638.75149573151157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5.539898034635284</v>
      </c>
      <c r="CL188" s="23">
        <f>EXP(-LN(2)/25)*CL187+(1-EXP(-LN(2)/25))/(LN(2)/25)*Calculateur!CG188*Calculateur!CI188*VLOOKUP('Données projet'!$B$12,Paramètres!$A$1:$I$89,3,0)*0.475*44/12</f>
        <v>0.40724936845865778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5.9471474030939415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121.59687193641378</v>
      </c>
      <c r="T189" s="62">
        <f t="shared" si="142"/>
        <v>625.69364310937681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5.3131930563719703</v>
      </c>
      <c r="AA189" s="23">
        <f>EXP(-LN(2)/25)*AA188+(1-EXP(-LN(2)/25))/(LN(2)/25)*Calculateur!V189*Calculateur!X189*VLOOKUP('Données projet'!$B$9,Paramètres!$A$1:$I$89,3,0)*0.475*44/12</f>
        <v>0.3875019584300638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5.7006950148020339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-5.1431925385259088E-14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366.86025470473652</v>
      </c>
      <c r="AO189" s="62">
        <f t="shared" si="144"/>
        <v>513.80016421153414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6.7984728957526396E-14</v>
      </c>
      <c r="BF189" s="14">
        <f t="shared" si="167"/>
        <v>1.0682447123141398E-12</v>
      </c>
      <c r="BG189" s="22">
        <f t="shared" si="168"/>
        <v>1.978932943548152E-12</v>
      </c>
      <c r="BH189" s="62">
        <f t="shared" si="116"/>
        <v>293.3333333333353</v>
      </c>
      <c r="BI189" s="62">
        <f ca="1">AVERAGE(OFFSET($BH$3,0,0,'Données projet'!$E$11+1,1))-AVERAGE(OFFSET($H$3,0,0,'Données projet'!$E$11+1,1))</f>
        <v>187.13674266165236</v>
      </c>
      <c r="BJ189" s="62">
        <f t="shared" si="146"/>
        <v>439.28159165815276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2.4275030238870396</v>
      </c>
      <c r="BQ189" s="23">
        <f>EXP(-LN(2)/25)*BQ188+(1-EXP(-LN(2)/25))/(LN(2)/25)*Calculateur!BL189*Calculateur!BN189*VLOOKUP('Données projet'!$B$11,Paramètres!$A$1:$I$89,3,0)*0.475*44/12</f>
        <v>0.58146020071287374</v>
      </c>
      <c r="BR189" s="23">
        <f>EXP(-LN(2)/2)*BR188+(1-EXP(-LN(2)/2))/(LN(2)/2)*BL189*BO189*VLOOKUP('Données projet'!$B$11,Paramètres!$A$1:$I$89,3,0)*0.475*44/12</f>
        <v>1.4415238417456158E-22</v>
      </c>
      <c r="BS189" s="24">
        <f t="shared" si="169"/>
        <v>3.0089632245999134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123.96745898973995</v>
      </c>
      <c r="CE189" s="62">
        <f t="shared" si="148"/>
        <v>638.75149573151157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5.4312640131802379</v>
      </c>
      <c r="CL189" s="23">
        <f>EXP(-LN(2)/25)*CL188+(1-EXP(-LN(2)/25))/(LN(2)/25)*Calculateur!CG189*Calculateur!CI189*VLOOKUP('Données projet'!$B$12,Paramètres!$A$1:$I$89,3,0)*0.475*44/12</f>
        <v>0.39611311306184227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5.8273771262420802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121.59687193641378</v>
      </c>
      <c r="T190" s="62">
        <f t="shared" si="142"/>
        <v>625.69364310937681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5.2090045812642849</v>
      </c>
      <c r="AA190" s="23">
        <f>EXP(-LN(2)/25)*AA189+(1-EXP(-LN(2)/25))/(LN(2)/25)*Calculateur!V190*Calculateur!X190*VLOOKUP('Données projet'!$B$9,Paramètres!$A$1:$I$89,3,0)*0.475*44/12</f>
        <v>0.37690569699895138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5.5859102782632366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-5.1431925385259088E-14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366.86025470473652</v>
      </c>
      <c r="AO190" s="62">
        <f t="shared" si="144"/>
        <v>513.80016421153414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6.7984728957526396E-14</v>
      </c>
      <c r="BF190" s="14">
        <f t="shared" si="167"/>
        <v>1.0682447123141398E-12</v>
      </c>
      <c r="BG190" s="22">
        <f t="shared" si="168"/>
        <v>1.978932943548152E-12</v>
      </c>
      <c r="BH190" s="62">
        <f t="shared" si="116"/>
        <v>293.3333333333353</v>
      </c>
      <c r="BI190" s="62">
        <f ca="1">AVERAGE(OFFSET($BH$3,0,0,'Données projet'!$E$11+1,1))-AVERAGE(OFFSET($H$3,0,0,'Données projet'!$E$11+1,1))</f>
        <v>187.13674266165236</v>
      </c>
      <c r="BJ190" s="62">
        <f t="shared" si="146"/>
        <v>439.28159165815276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2.3799011702192594</v>
      </c>
      <c r="BQ190" s="23">
        <f>EXP(-LN(2)/25)*BQ189+(1-EXP(-LN(2)/25))/(LN(2)/25)*Calculateur!BL190*Calculateur!BN190*VLOOKUP('Données projet'!$B$11,Paramètres!$A$1:$I$89,3,0)*0.475*44/12</f>
        <v>0.56556014094671725</v>
      </c>
      <c r="BR190" s="23">
        <f>EXP(-LN(2)/2)*BR189+(1-EXP(-LN(2)/2))/(LN(2)/2)*BL190*BO190*VLOOKUP('Données projet'!$B$11,Paramètres!$A$1:$I$89,3,0)*0.475*44/12</f>
        <v>1.0193112837404086E-22</v>
      </c>
      <c r="BS190" s="24">
        <f t="shared" si="169"/>
        <v>2.9454613111659764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123.96745898973995</v>
      </c>
      <c r="CE190" s="62">
        <f t="shared" si="148"/>
        <v>638.75149573151157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5.3247602386257151</v>
      </c>
      <c r="CL190" s="23">
        <f>EXP(-LN(2)/25)*CL189+(1-EXP(-LN(2)/25))/(LN(2)/25)*Calculateur!CG190*Calculateur!CI190*VLOOKUP('Données projet'!$B$12,Paramètres!$A$1:$I$89,3,0)*0.475*44/12</f>
        <v>0.38528137915448291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5.710041617780198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121.59687193641378</v>
      </c>
      <c r="T191" s="62">
        <f t="shared" si="142"/>
        <v>625.69364310937681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5.1068591786047666</v>
      </c>
      <c r="AA191" s="23">
        <f>EXP(-LN(2)/25)*AA190+(1-EXP(-LN(2)/25))/(LN(2)/25)*Calculateur!V191*Calculateur!X191*VLOOKUP('Données projet'!$B$9,Paramètres!$A$1:$I$89,3,0)*0.475*44/12</f>
        <v>0.36659919089390586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5.4734583694986725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-5.1431925385259088E-14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366.86025470473652</v>
      </c>
      <c r="AO191" s="62">
        <f t="shared" si="144"/>
        <v>513.80016421153414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6.7984728957526396E-14</v>
      </c>
      <c r="BF191" s="14">
        <f t="shared" si="167"/>
        <v>1.0682447123141398E-12</v>
      </c>
      <c r="BG191" s="22">
        <f t="shared" si="168"/>
        <v>1.978932943548152E-12</v>
      </c>
      <c r="BH191" s="62">
        <f t="shared" si="116"/>
        <v>293.3333333333353</v>
      </c>
      <c r="BI191" s="62">
        <f ca="1">AVERAGE(OFFSET($BH$3,0,0,'Données projet'!$E$11+1,1))-AVERAGE(OFFSET($H$3,0,0,'Données projet'!$E$11+1,1))</f>
        <v>187.13674266165236</v>
      </c>
      <c r="BJ191" s="62">
        <f t="shared" si="146"/>
        <v>439.28159165815276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2.3332327598676401</v>
      </c>
      <c r="BQ191" s="23">
        <f>EXP(-LN(2)/25)*BQ190+(1-EXP(-LN(2)/25))/(LN(2)/25)*Calculateur!BL191*Calculateur!BN191*VLOOKUP('Données projet'!$B$11,Paramètres!$A$1:$I$89,3,0)*0.475*44/12</f>
        <v>0.55009486915101402</v>
      </c>
      <c r="BR191" s="23">
        <f>EXP(-LN(2)/2)*BR190+(1-EXP(-LN(2)/2))/(LN(2)/2)*BL191*BO191*VLOOKUP('Données projet'!$B$11,Paramètres!$A$1:$I$89,3,0)*0.475*44/12</f>
        <v>7.2076192087280792E-23</v>
      </c>
      <c r="BS191" s="24">
        <f t="shared" si="169"/>
        <v>2.883327629018654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123.96745898973995</v>
      </c>
      <c r="CE191" s="62">
        <f t="shared" si="148"/>
        <v>638.75149573151157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5.2203449381293181</v>
      </c>
      <c r="CL191" s="23">
        <f>EXP(-LN(2)/25)*CL190+(1-EXP(-LN(2)/25))/(LN(2)/25)*Calculateur!CG191*Calculateur!CI191*VLOOKUP('Données projet'!$B$12,Paramètres!$A$1:$I$89,3,0)*0.475*44/12</f>
        <v>0.37474583958043639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5.5950907777097543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121.59687193641378</v>
      </c>
      <c r="T192" s="62">
        <f t="shared" si="142"/>
        <v>625.69364310937681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5.0067167849888579</v>
      </c>
      <c r="AA192" s="23">
        <f>EXP(-LN(2)/25)*AA191+(1-EXP(-LN(2)/25))/(LN(2)/25)*Calculateur!V192*Calculateur!X192*VLOOKUP('Données projet'!$B$9,Paramètres!$A$1:$I$89,3,0)*0.475*44/12</f>
        <v>0.35657451674029844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5.3632913017291566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-5.1431925385259088E-14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366.86025470473652</v>
      </c>
      <c r="AO192" s="62">
        <f t="shared" si="144"/>
        <v>513.80016421153414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6.7984728957526396E-14</v>
      </c>
      <c r="BF192" s="14">
        <f t="shared" si="167"/>
        <v>1.0682447123141398E-12</v>
      </c>
      <c r="BG192" s="22">
        <f t="shared" si="168"/>
        <v>1.978932943548152E-12</v>
      </c>
      <c r="BH192" s="62">
        <f t="shared" si="116"/>
        <v>293.3333333333353</v>
      </c>
      <c r="BI192" s="62">
        <f ca="1">AVERAGE(OFFSET($BH$3,0,0,'Données projet'!$E$11+1,1))-AVERAGE(OFFSET($H$3,0,0,'Données projet'!$E$11+1,1))</f>
        <v>187.13674266165236</v>
      </c>
      <c r="BJ192" s="62">
        <f t="shared" si="146"/>
        <v>439.28159165815276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2.2874794885780965</v>
      </c>
      <c r="BQ192" s="23">
        <f>EXP(-LN(2)/25)*BQ191+(1-EXP(-LN(2)/25))/(LN(2)/25)*Calculateur!BL192*Calculateur!BN192*VLOOKUP('Données projet'!$B$11,Paramètres!$A$1:$I$89,3,0)*0.475*44/12</f>
        <v>0.53505249602584759</v>
      </c>
      <c r="BR192" s="23">
        <f>EXP(-LN(2)/2)*BR191+(1-EXP(-LN(2)/2))/(LN(2)/2)*BL192*BO192*VLOOKUP('Données projet'!$B$11,Paramètres!$A$1:$I$89,3,0)*0.475*44/12</f>
        <v>5.0965564187020428E-23</v>
      </c>
      <c r="BS192" s="24">
        <f t="shared" si="169"/>
        <v>2.8225319846039438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123.96745898973995</v>
      </c>
      <c r="CE192" s="62">
        <f t="shared" si="148"/>
        <v>638.75149573151157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5.1179771579886113</v>
      </c>
      <c r="CL192" s="23">
        <f>EXP(-LN(2)/25)*CL191+(1-EXP(-LN(2)/25))/(LN(2)/25)*Calculateur!CG192*Calculateur!CI192*VLOOKUP('Données projet'!$B$12,Paramètres!$A$1:$I$89,3,0)*0.475*44/12</f>
        <v>0.36449839489008212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5.482475552878693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121.59687193641378</v>
      </c>
      <c r="T193" s="62">
        <f t="shared" si="142"/>
        <v>625.69364310937681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4.9085381226309277</v>
      </c>
      <c r="AA193" s="23">
        <f>EXP(-LN(2)/25)*AA192+(1-EXP(-LN(2)/25))/(LN(2)/25)*Calculateur!V193*Calculateur!X193*VLOOKUP('Données projet'!$B$9,Paramètres!$A$1:$I$89,3,0)*0.475*44/12</f>
        <v>0.34682396782859609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5.2553620904595242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-5.1431925385259088E-14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366.86025470473652</v>
      </c>
      <c r="AO193" s="62">
        <f t="shared" si="144"/>
        <v>513.80016421153414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6.7984728957526396E-14</v>
      </c>
      <c r="BF193" s="14">
        <f t="shared" si="167"/>
        <v>1.0682447123141398E-12</v>
      </c>
      <c r="BG193" s="22">
        <f t="shared" si="168"/>
        <v>1.978932943548152E-12</v>
      </c>
      <c r="BH193" s="62">
        <f t="shared" si="116"/>
        <v>293.3333333333353</v>
      </c>
      <c r="BI193" s="62">
        <f ca="1">AVERAGE(OFFSET($BH$3,0,0,'Données projet'!$E$11+1,1))-AVERAGE(OFFSET($H$3,0,0,'Données projet'!$E$11+1,1))</f>
        <v>187.13674266165236</v>
      </c>
      <c r="BJ193" s="62">
        <f t="shared" si="146"/>
        <v>439.28159165815276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2.2426234110318011</v>
      </c>
      <c r="BQ193" s="23">
        <f>EXP(-LN(2)/25)*BQ192+(1-EXP(-LN(2)/25))/(LN(2)/25)*Calculateur!BL193*Calculateur!BN193*VLOOKUP('Données projet'!$B$11,Paramètres!$A$1:$I$89,3,0)*0.475*44/12</f>
        <v>0.52042145738483292</v>
      </c>
      <c r="BR193" s="23">
        <f>EXP(-LN(2)/2)*BR192+(1-EXP(-LN(2)/2))/(LN(2)/2)*BL193*BO193*VLOOKUP('Données projet'!$B$11,Paramètres!$A$1:$I$89,3,0)*0.475*44/12</f>
        <v>3.6038096043640396E-23</v>
      </c>
      <c r="BS193" s="24">
        <f t="shared" si="169"/>
        <v>2.763044868416634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123.96745898973995</v>
      </c>
      <c r="CE193" s="62">
        <f t="shared" si="148"/>
        <v>638.75149573151157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5.0176167475782831</v>
      </c>
      <c r="CL193" s="23">
        <f>EXP(-LN(2)/25)*CL192+(1-EXP(-LN(2)/25))/(LN(2)/25)*Calculateur!CG193*Calculateur!CI193*VLOOKUP('Données projet'!$B$12,Paramètres!$A$1:$I$89,3,0)*0.475*44/12</f>
        <v>0.35453116711367533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5.3721479146919586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121.59687193641378</v>
      </c>
      <c r="T194" s="62">
        <f t="shared" si="142"/>
        <v>625.69364310937681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4.8122846839587661</v>
      </c>
      <c r="AA194" s="23">
        <f>EXP(-LN(2)/25)*AA193+(1-EXP(-LN(2)/25))/(LN(2)/25)*Calculateur!V194*Calculateur!X194*VLOOKUP('Données projet'!$B$9,Paramètres!$A$1:$I$89,3,0)*0.475*44/12</f>
        <v>0.33734004818964336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5.1496247321484097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-5.1431925385259088E-14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366.86025470473652</v>
      </c>
      <c r="AO194" s="62">
        <f t="shared" si="144"/>
        <v>513.80016421153414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6.7984728957526396E-14</v>
      </c>
      <c r="BF194" s="14">
        <f t="shared" si="167"/>
        <v>1.0682447123141398E-12</v>
      </c>
      <c r="BG194" s="22">
        <f t="shared" si="168"/>
        <v>1.978932943548152E-12</v>
      </c>
      <c r="BH194" s="62">
        <f t="shared" si="116"/>
        <v>293.3333333333353</v>
      </c>
      <c r="BI194" s="62">
        <f ca="1">AVERAGE(OFFSET($BH$3,0,0,'Données projet'!$E$11+1,1))-AVERAGE(OFFSET($H$3,0,0,'Données projet'!$E$11+1,1))</f>
        <v>187.13674266165236</v>
      </c>
      <c r="BJ194" s="62">
        <f t="shared" si="146"/>
        <v>439.28159165815276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2.1986469338066827</v>
      </c>
      <c r="BQ194" s="23">
        <f>EXP(-LN(2)/25)*BQ193+(1-EXP(-LN(2)/25))/(LN(2)/25)*Calculateur!BL194*Calculateur!BN194*VLOOKUP('Données projet'!$B$11,Paramètres!$A$1:$I$89,3,0)*0.475*44/12</f>
        <v>0.50619050526486964</v>
      </c>
      <c r="BR194" s="23">
        <f>EXP(-LN(2)/2)*BR193+(1-EXP(-LN(2)/2))/(LN(2)/2)*BL194*BO194*VLOOKUP('Données projet'!$B$11,Paramètres!$A$1:$I$89,3,0)*0.475*44/12</f>
        <v>2.5482782093510214E-23</v>
      </c>
      <c r="BS194" s="24">
        <f t="shared" si="169"/>
        <v>2.7048374390715524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123.96745898973995</v>
      </c>
      <c r="CE194" s="62">
        <f t="shared" si="148"/>
        <v>638.75149573151157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4.9192243436022949</v>
      </c>
      <c r="CL194" s="23">
        <f>EXP(-LN(2)/25)*CL193+(1-EXP(-LN(2)/25))/(LN(2)/25)*Calculateur!CG194*Calculateur!CI194*VLOOKUP('Données projet'!$B$12,Paramètres!$A$1:$I$89,3,0)*0.475*44/12</f>
        <v>0.34483649370496811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5.2640608373072633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121.59687193641378</v>
      </c>
      <c r="T195" s="62">
        <f t="shared" si="142"/>
        <v>625.69364310937681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4.7179187165101641</v>
      </c>
      <c r="AA195" s="23">
        <f>EXP(-LN(2)/25)*AA194+(1-EXP(-LN(2)/25))/(LN(2)/25)*Calculateur!V195*Calculateur!X195*VLOOKUP('Données projet'!$B$9,Paramètres!$A$1:$I$89,3,0)*0.475*44/12</f>
        <v>0.32811546683195542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5.0460341833421198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-5.1431925385259088E-14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366.86025470473652</v>
      </c>
      <c r="AO195" s="62">
        <f t="shared" si="144"/>
        <v>513.80016421153414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6.7984728957526396E-14</v>
      </c>
      <c r="BF195" s="14">
        <f t="shared" si="167"/>
        <v>1.0682447123141398E-12</v>
      </c>
      <c r="BG195" s="22">
        <f t="shared" si="168"/>
        <v>1.978932943548152E-12</v>
      </c>
      <c r="BH195" s="62">
        <f t="shared" si="116"/>
        <v>293.3333333333353</v>
      </c>
      <c r="BI195" s="62">
        <f ca="1">AVERAGE(OFFSET($BH$3,0,0,'Données projet'!$E$11+1,1))-AVERAGE(OFFSET($H$3,0,0,'Données projet'!$E$11+1,1))</f>
        <v>187.13674266165236</v>
      </c>
      <c r="BJ195" s="62">
        <f t="shared" si="146"/>
        <v>439.28159165815276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2.1555328084769463</v>
      </c>
      <c r="BQ195" s="23">
        <f>EXP(-LN(2)/25)*BQ194+(1-EXP(-LN(2)/25))/(LN(2)/25)*Calculateur!BL195*Calculateur!BN195*VLOOKUP('Données projet'!$B$11,Paramètres!$A$1:$I$89,3,0)*0.475*44/12</f>
        <v>0.49234869927900005</v>
      </c>
      <c r="BR195" s="23">
        <f>EXP(-LN(2)/2)*BR194+(1-EXP(-LN(2)/2))/(LN(2)/2)*BL195*BO195*VLOOKUP('Données projet'!$B$11,Paramètres!$A$1:$I$89,3,0)*0.475*44/12</f>
        <v>1.8019048021820198E-23</v>
      </c>
      <c r="BS195" s="24">
        <f t="shared" si="169"/>
        <v>2.6478815077559466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123.96745898973995</v>
      </c>
      <c r="CE195" s="62">
        <f t="shared" si="148"/>
        <v>638.75149573151157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4.8227613546548351</v>
      </c>
      <c r="CL195" s="23">
        <f>EXP(-LN(2)/25)*CL194+(1-EXP(-LN(2)/25))/(LN(2)/25)*Calculateur!CG195*Calculateur!CI195*VLOOKUP('Données projet'!$B$12,Paramètres!$A$1:$I$89,3,0)*0.475*44/12</f>
        <v>0.33540692165044267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5.1581682763052781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121.59687193641378</v>
      </c>
      <c r="T196" s="62">
        <f t="shared" si="142"/>
        <v>625.69364310937681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4.6254032081256726</v>
      </c>
      <c r="AA196" s="23">
        <f>EXP(-LN(2)/25)*AA195+(1-EXP(-LN(2)/25))/(LN(2)/25)*Calculateur!V196*Calculateur!X196*VLOOKUP('Données projet'!$B$9,Paramètres!$A$1:$I$89,3,0)*0.475*44/12</f>
        <v>0.31914313213659312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4.9445463402622654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-5.1431925385259088E-14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366.86025470473652</v>
      </c>
      <c r="AO196" s="62">
        <f t="shared" si="144"/>
        <v>513.80016421153414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6.7984728957526396E-14</v>
      </c>
      <c r="BF196" s="14">
        <f t="shared" si="167"/>
        <v>1.0682447123141398E-12</v>
      </c>
      <c r="BG196" s="22">
        <f t="shared" si="168"/>
        <v>1.978932943548152E-12</v>
      </c>
      <c r="BH196" s="62">
        <f t="shared" ref="BH196:BH203" si="194">BG196+(AY196+AZ196)*44/12</f>
        <v>293.3333333333353</v>
      </c>
      <c r="BI196" s="62">
        <f ca="1">AVERAGE(OFFSET($BH$3,0,0,'Données projet'!$E$11+1,1))-AVERAGE(OFFSET($H$3,0,0,'Données projet'!$E$11+1,1))</f>
        <v>187.13674266165236</v>
      </c>
      <c r="BJ196" s="62">
        <f t="shared" si="146"/>
        <v>439.28159165815276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2.1132641248479063</v>
      </c>
      <c r="BQ196" s="23">
        <f>EXP(-LN(2)/25)*BQ195+(1-EXP(-LN(2)/25))/(LN(2)/25)*Calculateur!BL196*Calculateur!BN196*VLOOKUP('Données projet'!$B$11,Paramètres!$A$1:$I$89,3,0)*0.475*44/12</f>
        <v>0.47888539820572296</v>
      </c>
      <c r="BR196" s="23">
        <f>EXP(-LN(2)/2)*BR195+(1-EXP(-LN(2)/2))/(LN(2)/2)*BL196*BO196*VLOOKUP('Données projet'!$B$11,Paramètres!$A$1:$I$89,3,0)*0.475*44/12</f>
        <v>1.2741391046755107E-23</v>
      </c>
      <c r="BS196" s="24">
        <f t="shared" si="169"/>
        <v>2.5921495230536293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123.96745898973995</v>
      </c>
      <c r="CE196" s="62">
        <f t="shared" si="148"/>
        <v>638.75149573151157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4.7281899460840222</v>
      </c>
      <c r="CL196" s="23">
        <f>EXP(-LN(2)/25)*CL195+(1-EXP(-LN(2)/25))/(LN(2)/25)*Calculateur!CG196*Calculateur!CI196*VLOOKUP('Données projet'!$B$12,Paramètres!$A$1:$I$89,3,0)*0.475*44/12</f>
        <v>0.32623520173962789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5.0544251478236504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121.59687193641378</v>
      </c>
      <c r="T197" s="62">
        <f t="shared" ref="T197:T203" si="204">$T$3</f>
        <v>625.69364310937681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4.5347018724317127</v>
      </c>
      <c r="AA197" s="23">
        <f>EXP(-LN(2)/25)*AA196+(1-EXP(-LN(2)/25))/(LN(2)/25)*Calculateur!V197*Calculateur!X197*VLOOKUP('Données projet'!$B$9,Paramètres!$A$1:$I$89,3,0)*0.475*44/12</f>
        <v>0.31041614640531007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4.8451180188370229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-5.1431925385259088E-14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366.86025470473652</v>
      </c>
      <c r="AO197" s="62">
        <f t="shared" ref="AO197:AO203" si="205">$AO$3</f>
        <v>513.80016421153414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6.7984728957526396E-14</v>
      </c>
      <c r="BF197" s="14">
        <f t="shared" si="167"/>
        <v>1.0682447123141398E-12</v>
      </c>
      <c r="BG197" s="22">
        <f t="shared" si="168"/>
        <v>1.978932943548152E-12</v>
      </c>
      <c r="BH197" s="62">
        <f t="shared" si="194"/>
        <v>293.3333333333353</v>
      </c>
      <c r="BI197" s="62">
        <f ca="1">AVERAGE(OFFSET($BH$3,0,0,'Données projet'!$E$11+1,1))-AVERAGE(OFFSET($H$3,0,0,'Données projet'!$E$11+1,1))</f>
        <v>187.13674266165236</v>
      </c>
      <c r="BJ197" s="62">
        <f t="shared" ref="BJ197:BJ203" si="206">$BJ$3</f>
        <v>439.28159165815276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2.0718243043234805</v>
      </c>
      <c r="BQ197" s="23">
        <f>EXP(-LN(2)/25)*BQ196+(1-EXP(-LN(2)/25))/(LN(2)/25)*Calculateur!BL197*Calculateur!BN197*VLOOKUP('Données projet'!$B$11,Paramètres!$A$1:$I$89,3,0)*0.475*44/12</f>
        <v>0.46579025180829886</v>
      </c>
      <c r="BR197" s="23">
        <f>EXP(-LN(2)/2)*BR196+(1-EXP(-LN(2)/2))/(LN(2)/2)*BL197*BO197*VLOOKUP('Données projet'!$B$11,Paramètres!$A$1:$I$89,3,0)*0.475*44/12</f>
        <v>9.009524010910099E-24</v>
      </c>
      <c r="BS197" s="24">
        <f t="shared" si="169"/>
        <v>2.5376145561317793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123.96745898973995</v>
      </c>
      <c r="CE197" s="62">
        <f t="shared" ref="CE197:CE203" si="207">$CE$3</f>
        <v>638.75149573151157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4.635473025152419</v>
      </c>
      <c r="CL197" s="23">
        <f>EXP(-LN(2)/25)*CL196+(1-EXP(-LN(2)/25))/(LN(2)/25)*Calculateur!CG197*Calculateur!CI197*VLOOKUP('Données projet'!$B$12,Paramètres!$A$1:$I$89,3,0)*0.475*44/12</f>
        <v>0.31731428299209413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4.9527873081445133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121.59687193641378</v>
      </c>
      <c r="T198" s="62">
        <f t="shared" si="204"/>
        <v>625.69364310937681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4.4457791346083599</v>
      </c>
      <c r="AA198" s="23">
        <f>EXP(-LN(2)/25)*AA197+(1-EXP(-LN(2)/25))/(LN(2)/25)*Calculateur!V198*Calculateur!X198*VLOOKUP('Données projet'!$B$9,Paramètres!$A$1:$I$89,3,0)*0.475*44/12</f>
        <v>0.30192780055778118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4.747706935166141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-5.1431925385259088E-14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366.86025470473652</v>
      </c>
      <c r="AO198" s="62">
        <f t="shared" si="205"/>
        <v>513.80016421153414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6.7984728957526396E-14</v>
      </c>
      <c r="BF198" s="14">
        <f t="shared" si="167"/>
        <v>1.0682447123141398E-12</v>
      </c>
      <c r="BG198" s="22">
        <f t="shared" si="168"/>
        <v>1.978932943548152E-12</v>
      </c>
      <c r="BH198" s="62">
        <f t="shared" si="194"/>
        <v>293.3333333333353</v>
      </c>
      <c r="BI198" s="62">
        <f ca="1">AVERAGE(OFFSET($BH$3,0,0,'Données projet'!$E$11+1,1))-AVERAGE(OFFSET($H$3,0,0,'Données projet'!$E$11+1,1))</f>
        <v>187.13674266165236</v>
      </c>
      <c r="BJ198" s="62">
        <f t="shared" si="206"/>
        <v>439.28159165815276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2.031197093403744</v>
      </c>
      <c r="BQ198" s="23">
        <f>EXP(-LN(2)/25)*BQ197+(1-EXP(-LN(2)/25))/(LN(2)/25)*Calculateur!BL198*Calculateur!BN198*VLOOKUP('Données projet'!$B$11,Paramètres!$A$1:$I$89,3,0)*0.475*44/12</f>
        <v>0.45305319287775614</v>
      </c>
      <c r="BR198" s="23">
        <f>EXP(-LN(2)/2)*BR197+(1-EXP(-LN(2)/2))/(LN(2)/2)*BL198*BO198*VLOOKUP('Données projet'!$B$11,Paramètres!$A$1:$I$89,3,0)*0.475*44/12</f>
        <v>6.3706955233775535E-24</v>
      </c>
      <c r="BS198" s="24">
        <f t="shared" si="169"/>
        <v>2.4842502862815001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123.96745898973995</v>
      </c>
      <c r="CE198" s="62">
        <f t="shared" si="207"/>
        <v>638.75149573151157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4.5445742264885469</v>
      </c>
      <c r="CL198" s="23">
        <f>EXP(-LN(2)/25)*CL197+(1-EXP(-LN(2)/25))/(LN(2)/25)*Calculateur!CG198*Calculateur!CI198*VLOOKUP('Données projet'!$B$12,Paramètres!$A$1:$I$89,3,0)*0.475*44/12</f>
        <v>0.30863730723684241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4.8532115337253892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121.59687193641378</v>
      </c>
      <c r="T199" s="62">
        <f t="shared" si="204"/>
        <v>625.69364310937681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4.3586001174362083</v>
      </c>
      <c r="AA199" s="23">
        <f>EXP(-LN(2)/25)*AA198+(1-EXP(-LN(2)/25))/(LN(2)/25)*Calculateur!V199*Calculateur!X199*VLOOKUP('Données projet'!$B$9,Paramètres!$A$1:$I$89,3,0)*0.475*44/12</f>
        <v>0.29367156897383567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4.6522716864100442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-5.1431925385259088E-14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366.86025470473652</v>
      </c>
      <c r="AO199" s="62">
        <f t="shared" si="205"/>
        <v>513.80016421153414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6.7984728957526396E-14</v>
      </c>
      <c r="BF199" s="14">
        <f t="shared" si="167"/>
        <v>1.0682447123141398E-12</v>
      </c>
      <c r="BG199" s="22">
        <f t="shared" si="168"/>
        <v>1.978932943548152E-12</v>
      </c>
      <c r="BH199" s="62">
        <f t="shared" si="194"/>
        <v>293.3333333333353</v>
      </c>
      <c r="BI199" s="62">
        <f ca="1">AVERAGE(OFFSET($BH$3,0,0,'Données projet'!$E$11+1,1))-AVERAGE(OFFSET($H$3,0,0,'Données projet'!$E$11+1,1))</f>
        <v>187.13674266165236</v>
      </c>
      <c r="BJ199" s="62">
        <f t="shared" si="206"/>
        <v>439.28159165815276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1.9913665573099915</v>
      </c>
      <c r="BQ199" s="23">
        <f>EXP(-LN(2)/25)*BQ198+(1-EXP(-LN(2)/25))/(LN(2)/25)*Calculateur!BL199*Calculateur!BN199*VLOOKUP('Données projet'!$B$11,Paramètres!$A$1:$I$89,3,0)*0.475*44/12</f>
        <v>0.44066442949348195</v>
      </c>
      <c r="BR199" s="23">
        <f>EXP(-LN(2)/2)*BR198+(1-EXP(-LN(2)/2))/(LN(2)/2)*BL199*BO199*VLOOKUP('Données projet'!$B$11,Paramètres!$A$1:$I$89,3,0)*0.475*44/12</f>
        <v>4.5047620054550495E-24</v>
      </c>
      <c r="BS199" s="24">
        <f t="shared" si="169"/>
        <v>2.4320309868034733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123.96745898973995</v>
      </c>
      <c r="CE199" s="62">
        <f t="shared" si="207"/>
        <v>638.75149573151157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4.4554578978236803</v>
      </c>
      <c r="CL199" s="23">
        <f>EXP(-LN(2)/25)*CL198+(1-EXP(-LN(2)/25))/(LN(2)/25)*Calculateur!CG199*Calculateur!CI199*VLOOKUP('Données projet'!$B$12,Paramètres!$A$1:$I$89,3,0)*0.475*44/12</f>
        <v>0.30019760383992039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4.7556555016636004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121.59687193641378</v>
      </c>
      <c r="T200" s="62">
        <f t="shared" si="204"/>
        <v>625.69364310937681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4.2731306276168528</v>
      </c>
      <c r="AA200" s="23">
        <f>EXP(-LN(2)/25)*AA199+(1-EXP(-LN(2)/25))/(LN(2)/25)*Calculateur!V200*Calculateur!X200*VLOOKUP('Données projet'!$B$9,Paramètres!$A$1:$I$89,3,0)*0.475*44/12</f>
        <v>0.28564110447672952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4.5587717320935823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-5.1431925385259088E-14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366.86025470473652</v>
      </c>
      <c r="AO200" s="62">
        <f t="shared" si="205"/>
        <v>513.80016421153414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6.7984728957526396E-14</v>
      </c>
      <c r="BF200" s="14">
        <f t="shared" si="167"/>
        <v>1.0682447123141398E-12</v>
      </c>
      <c r="BG200" s="22">
        <f t="shared" si="168"/>
        <v>1.978932943548152E-12</v>
      </c>
      <c r="BH200" s="62">
        <f t="shared" si="194"/>
        <v>293.3333333333353</v>
      </c>
      <c r="BI200" s="62">
        <f ca="1">AVERAGE(OFFSET($BH$3,0,0,'Données projet'!$E$11+1,1))-AVERAGE(OFFSET($H$3,0,0,'Données projet'!$E$11+1,1))</f>
        <v>187.13674266165236</v>
      </c>
      <c r="BJ200" s="62">
        <f t="shared" si="206"/>
        <v>439.28159165815276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1.9523170737348094</v>
      </c>
      <c r="BQ200" s="23">
        <f>EXP(-LN(2)/25)*BQ199+(1-EXP(-LN(2)/25))/(LN(2)/25)*Calculateur!BL200*Calculateur!BN200*VLOOKUP('Données projet'!$B$11,Paramètres!$A$1:$I$89,3,0)*0.475*44/12</f>
        <v>0.42861443749544748</v>
      </c>
      <c r="BR200" s="23">
        <f>EXP(-LN(2)/2)*BR199+(1-EXP(-LN(2)/2))/(LN(2)/2)*BL200*BO200*VLOOKUP('Données projet'!$B$11,Paramètres!$A$1:$I$89,3,0)*0.475*44/12</f>
        <v>3.1853477616887767E-24</v>
      </c>
      <c r="BS200" s="24">
        <f t="shared" si="169"/>
        <v>2.3809315112302567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123.96745898973995</v>
      </c>
      <c r="CE200" s="62">
        <f t="shared" si="207"/>
        <v>638.75149573151157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4.3680890860083386</v>
      </c>
      <c r="CL200" s="23">
        <f>EXP(-LN(2)/25)*CL199+(1-EXP(-LN(2)/25))/(LN(2)/25)*Calculateur!CG200*Calculateur!CI200*VLOOKUP('Données projet'!$B$12,Paramètres!$A$1:$I$89,3,0)*0.475*44/12</f>
        <v>0.29198868457621191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4.6600777705845502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121.59687193641378</v>
      </c>
      <c r="T201" s="62">
        <f t="shared" si="204"/>
        <v>625.69364310937681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4.1893371423616133</v>
      </c>
      <c r="AA201" s="23">
        <f>EXP(-LN(2)/25)*AA200+(1-EXP(-LN(2)/25))/(LN(2)/25)*Calculateur!V201*Calculateur!X201*VLOOKUP('Données projet'!$B$9,Paramètres!$A$1:$I$89,3,0)*0.475*44/12</f>
        <v>0.27783023345360053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4.4671673758152135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-5.1431925385259088E-14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366.86025470473652</v>
      </c>
      <c r="AO201" s="62">
        <f t="shared" si="205"/>
        <v>513.80016421153414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6.7984728957526396E-14</v>
      </c>
      <c r="BF201" s="14">
        <f t="shared" si="167"/>
        <v>1.0682447123141398E-12</v>
      </c>
      <c r="BG201" s="22">
        <f t="shared" si="168"/>
        <v>1.978932943548152E-12</v>
      </c>
      <c r="BH201" s="62">
        <f t="shared" si="194"/>
        <v>293.3333333333353</v>
      </c>
      <c r="BI201" s="62">
        <f ca="1">AVERAGE(OFFSET($BH$3,0,0,'Données projet'!$E$11+1,1))-AVERAGE(OFFSET($H$3,0,0,'Données projet'!$E$11+1,1))</f>
        <v>187.13674266165236</v>
      </c>
      <c r="BJ201" s="62">
        <f t="shared" si="206"/>
        <v>439.28159165815276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1.9140333267147034</v>
      </c>
      <c r="BQ201" s="23">
        <f>EXP(-LN(2)/25)*BQ200+(1-EXP(-LN(2)/25))/(LN(2)/25)*Calculateur!BL201*Calculateur!BN201*VLOOKUP('Données projet'!$B$11,Paramètres!$A$1:$I$89,3,0)*0.475*44/12</f>
        <v>0.41689395316228078</v>
      </c>
      <c r="BR201" s="23">
        <f>EXP(-LN(2)/2)*BR200+(1-EXP(-LN(2)/2))/(LN(2)/2)*BL201*BO201*VLOOKUP('Données projet'!$B$11,Paramètres!$A$1:$I$89,3,0)*0.475*44/12</f>
        <v>2.2523810027275247E-24</v>
      </c>
      <c r="BS201" s="24">
        <f t="shared" si="169"/>
        <v>2.3309272798769842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123.96745898973995</v>
      </c>
      <c r="CE201" s="62">
        <f t="shared" si="207"/>
        <v>638.75149573151157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4.2824335233029824</v>
      </c>
      <c r="CL201" s="23">
        <f>EXP(-LN(2)/25)*CL200+(1-EXP(-LN(2)/25))/(LN(2)/25)*Calculateur!CG201*Calculateur!CI201*VLOOKUP('Données projet'!$B$12,Paramètres!$A$1:$I$89,3,0)*0.475*44/12</f>
        <v>0.2840042386414578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4.5664377619444405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121.59687193641378</v>
      </c>
      <c r="T202" s="62">
        <f t="shared" si="204"/>
        <v>625.69364310937681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4.1071867962432496</v>
      </c>
      <c r="AA202" s="23">
        <f>EXP(-LN(2)/25)*AA201+(1-EXP(-LN(2)/25))/(LN(2)/25)*Calculateur!V202*Calculateur!X202*VLOOKUP('Données projet'!$B$9,Paramètres!$A$1:$I$89,3,0)*0.475*44/12</f>
        <v>0.27023295110935486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4.3774197473526044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-5.1431925385259088E-14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366.86025470473652</v>
      </c>
      <c r="AO202" s="62">
        <f t="shared" si="205"/>
        <v>513.80016421153414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6.7984728957526396E-14</v>
      </c>
      <c r="BF202" s="14">
        <f t="shared" si="167"/>
        <v>1.0682447123141398E-12</v>
      </c>
      <c r="BG202" s="22">
        <f t="shared" si="168"/>
        <v>1.978932943548152E-12</v>
      </c>
      <c r="BH202" s="62">
        <f t="shared" si="194"/>
        <v>293.3333333333353</v>
      </c>
      <c r="BI202" s="62">
        <f ca="1">AVERAGE(OFFSET($BH$3,0,0,'Données projet'!$E$11+1,1))-AVERAGE(OFFSET($H$3,0,0,'Données projet'!$E$11+1,1))</f>
        <v>187.13674266165236</v>
      </c>
      <c r="BJ202" s="62">
        <f t="shared" si="206"/>
        <v>439.28159165815276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1.8765003006228818</v>
      </c>
      <c r="BQ202" s="23">
        <f>EXP(-LN(2)/25)*BQ201+(1-EXP(-LN(2)/25))/(LN(2)/25)*Calculateur!BL202*Calculateur!BN202*VLOOKUP('Données projet'!$B$11,Paramètres!$A$1:$I$89,3,0)*0.475*44/12</f>
        <v>0.40549396608955807</v>
      </c>
      <c r="BR202" s="23">
        <f>EXP(-LN(2)/2)*BR201+(1-EXP(-LN(2)/2))/(LN(2)/2)*BL202*BO202*VLOOKUP('Données projet'!$B$11,Paramètres!$A$1:$I$89,3,0)*0.475*44/12</f>
        <v>1.5926738808443884E-24</v>
      </c>
      <c r="BS202" s="24">
        <f t="shared" si="169"/>
        <v>2.2819942667124398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123.96745898973995</v>
      </c>
      <c r="CE202" s="62">
        <f t="shared" si="207"/>
        <v>638.75149573151157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4.1984576139375438</v>
      </c>
      <c r="CL202" s="23">
        <f>EXP(-LN(2)/25)*CL201+(1-EXP(-LN(2)/25))/(LN(2)/25)*Calculateur!CG202*Calculateur!CI202*VLOOKUP('Données projet'!$B$12,Paramètres!$A$1:$I$89,3,0)*0.475*44/12</f>
        <v>0.27623812780067331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4.4746957417382172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121.59687193641378</v>
      </c>
      <c r="T203" s="62">
        <f t="shared" si="204"/>
        <v>625.69364310937681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4.0266473683055031</v>
      </c>
      <c r="AA203" s="23">
        <f>EXP(-LN(2)/25)*AA202+(1-EXP(-LN(2)/25))/(LN(2)/25)*Calculateur!V203*Calculateur!X203*VLOOKUP('Données projet'!$B$9,Paramètres!$A$1:$I$89,3,0)*0.475*44/12</f>
        <v>0.2628434168503363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4.2894907851558397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-5.1431925385259088E-14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366.86025470473652</v>
      </c>
      <c r="AO203" s="62">
        <f t="shared" si="205"/>
        <v>513.80016421153414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6.7984728957526396E-14</v>
      </c>
      <c r="BF203" s="14">
        <f t="shared" si="167"/>
        <v>1.0682447123141398E-12</v>
      </c>
      <c r="BG203" s="22">
        <f t="shared" si="168"/>
        <v>1.978932943548152E-12</v>
      </c>
      <c r="BH203" s="62">
        <f t="shared" si="194"/>
        <v>293.3333333333353</v>
      </c>
      <c r="BI203" s="62">
        <f ca="1">AVERAGE(OFFSET($BH$3,0,0,'Données projet'!$E$11+1,1))-AVERAGE(OFFSET($H$3,0,0,'Données projet'!$E$11+1,1))</f>
        <v>187.13674266165236</v>
      </c>
      <c r="BJ203" s="62">
        <f t="shared" si="206"/>
        <v>439.28159165815276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1.8397032742798354</v>
      </c>
      <c r="BQ203" s="23">
        <f>EXP(-LN(2)/25)*BQ202+(1-EXP(-LN(2)/25))/(LN(2)/25)*Calculateur!BL203*Calculateur!BN203*VLOOKUP('Données projet'!$B$11,Paramètres!$A$1:$I$89,3,0)*0.475*44/12</f>
        <v>0.39440571226283822</v>
      </c>
      <c r="BR203" s="23">
        <f>EXP(-LN(2)/2)*BR202+(1-EXP(-LN(2)/2))/(LN(2)/2)*BL203*BO203*VLOOKUP('Données projet'!$B$11,Paramètres!$A$1:$I$89,3,0)*0.475*44/12</f>
        <v>1.1261905013637624E-24</v>
      </c>
      <c r="BS203" s="24">
        <f t="shared" si="169"/>
        <v>2.2341089865426738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123.96745898973995</v>
      </c>
      <c r="CE203" s="62">
        <f t="shared" si="207"/>
        <v>638.75149573151157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4.1161284209345146</v>
      </c>
      <c r="CL203" s="23">
        <f>EXP(-LN(2)/25)*CL202+(1-EXP(-LN(2)/25))/(LN(2)/25)*Calculateur!CG203*Calculateur!CI203*VLOOKUP('Données projet'!$B$12,Paramètres!$A$1:$I$89,3,0)*0.475*44/12</f>
        <v>0.26868438166923209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4.3848128026037463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1.363873477020449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2.0243974584998852</v>
      </c>
      <c r="BA205" s="88">
        <f>EXP(LN('Données projet'!B88)/'Données projet'!A88)</f>
        <v>1.4749438547769935</v>
      </c>
      <c r="BV205" s="88">
        <f>EXP(LN('Données projet'!B114)/'Données projet'!A114)</f>
        <v>1.363873477020449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35" workbookViewId="0">
      <selection activeCell="C59" sqref="C59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Q23" sqref="Q2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Soligo</v>
      </c>
      <c r="B6" s="155">
        <f>'Données projet'!D9</f>
        <v>2.5228000000000002</v>
      </c>
      <c r="C6" s="156">
        <f ca="1">IF(OR('Données projet'!B9="",'Données projet'!C9="",'Données projet'!C9=0%),0,Calculateur!S3)</f>
        <v>121.59687193641378</v>
      </c>
      <c r="D6" s="156">
        <f>IF(OR('Données projet'!B9="",'Données projet'!C9="",'Données projet'!C9=0%),0,Calculateur!T3)</f>
        <v>625.69364310937681</v>
      </c>
      <c r="E6" s="156">
        <f ca="1">MIN(C6,D6)</f>
        <v>121.59687193641378</v>
      </c>
      <c r="F6" s="156">
        <f ca="1">E6*B6</f>
        <v>306.76458852118469</v>
      </c>
      <c r="G6" s="156">
        <f ca="1">F6*(100%-'Données projet'!$C$24)*(100%-'Données projet'!$C$25)*(100%-'Données projet'!$C$26)*(100%-'Données projet'!$C$27)</f>
        <v>187.73992817496506</v>
      </c>
      <c r="H6" s="157">
        <f>IF(OR('Données projet'!B9="",'Données projet'!C9="",'Données projet'!C9=0%),0,AVERAGE(Calculateur!$AC$3:$AC$33)*B6)</f>
        <v>145.80714944888089</v>
      </c>
      <c r="I6" s="158">
        <f>H6*(100%-'Données projet'!$C$24)*(100%-'Données projet'!$C$25)*(100%-'Données projet'!$C$26)*(100%-'Données projet'!$C$27)</f>
        <v>89.233975462715108</v>
      </c>
      <c r="J6" s="159">
        <f>IF(OR('Données projet'!B9="",'Données projet'!C9="",'Données projet'!C9=0%),0,SUM(Calculateur!$V$3:$V$33)*VLOOKUP('Données projet'!$B$9,Paramètres!$A$1:$I$89,9,0)*B6)</f>
        <v>1288.848064</v>
      </c>
      <c r="K6" s="160">
        <f>J6*(100%-'Données projet'!$C$24)*(100%-'Données projet'!$C$25)*(100%-'Données projet'!$C$26)*(100%-'Données projet'!$C$27)</f>
        <v>788.77501516799998</v>
      </c>
      <c r="L6" s="161">
        <f ca="1">G6+I6+K6</f>
        <v>1065.7489188056802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Robinier faux-acacia</v>
      </c>
      <c r="B7" s="163">
        <f>'Données projet'!D10</f>
        <v>3.2435999999999998</v>
      </c>
      <c r="C7" s="156">
        <f ca="1">IF(OR('Données projet'!B10="",'Données projet'!C10="",'Données projet'!C10=0%),0,Calculateur!AN3)</f>
        <v>366.86025470473652</v>
      </c>
      <c r="D7" s="156">
        <f>IF(OR('Données projet'!B10="",'Données projet'!C10="",'Données projet'!C10=0%),0,Calculateur!AO3)</f>
        <v>513.80016421153414</v>
      </c>
      <c r="E7" s="156">
        <f t="shared" ref="E7:E15" ca="1" si="0">MIN(C7,D7)</f>
        <v>366.86025470473652</v>
      </c>
      <c r="F7" s="156">
        <f t="shared" ref="F7:F15" ca="1" si="1">E7*B7</f>
        <v>1189.9479221602833</v>
      </c>
      <c r="G7" s="156">
        <f ca="1">F7*(100%-'Données projet'!$C$24)*(100%-'Données projet'!$C$25)*(100%-'Données projet'!$C$26)*(100%-'Données projet'!$C$27)</f>
        <v>728.24812836209333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81.089999999999989</v>
      </c>
      <c r="K7" s="160">
        <f>J7*(100%-'Données projet'!$C$24)*(100%-'Données projet'!$C$25)*(100%-'Données projet'!$C$26)*(100%-'Données projet'!$C$27)</f>
        <v>49.627079999999999</v>
      </c>
      <c r="L7" s="161">
        <f t="shared" ref="L7:L15" ca="1" si="2">G7+I7+K7</f>
        <v>777.8752083620933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Pin maritime</v>
      </c>
      <c r="B8" s="163">
        <f>'Données projet'!D11</f>
        <v>0.81089999999999995</v>
      </c>
      <c r="C8" s="156">
        <f ca="1">IF(OR('Données projet'!B11="",'Données projet'!C11="",'Données projet'!C11=0%),0,Calculateur!BI3)</f>
        <v>187.13674266165236</v>
      </c>
      <c r="D8" s="156">
        <f>IF(OR('Données projet'!B11="",'Données projet'!C11="",'Données projet'!C11=0%),0,Calculateur!BJ3)</f>
        <v>439.28159165815276</v>
      </c>
      <c r="E8" s="156">
        <f t="shared" ca="1" si="0"/>
        <v>187.13674266165236</v>
      </c>
      <c r="F8" s="156">
        <f t="shared" ca="1" si="1"/>
        <v>151.74918462433388</v>
      </c>
      <c r="G8" s="156">
        <f ca="1">F8*(100%-'Données projet'!$C$24)*(100%-'Données projet'!$C$25)*(100%-'Données projet'!$C$26)*(100%-'Données projet'!$C$27)</f>
        <v>92.870500990092339</v>
      </c>
      <c r="H8" s="164">
        <f>IF(OR('Données projet'!B11="",'Données projet'!C11="",'Données projet'!C11=0%),0,AVERAGE(Calculateur!$BS$3:$BS$33)*B8)</f>
        <v>12.190322916888082</v>
      </c>
      <c r="I8" s="158">
        <f>H8*(100%-'Données projet'!$C$24)*(100%-'Données projet'!$C$25)*(100%-'Données projet'!$C$26)*(100%-'Données projet'!$C$27)</f>
        <v>7.4604776251355069</v>
      </c>
      <c r="J8" s="159">
        <f>IF(OR('Données projet'!B11="",'Données projet'!C11="",'Données projet'!C11=0%),0,SUM(Calculateur!$BL$3:$BL$33)*VLOOKUP('Données projet'!$B$11,Paramètres!$A$1:$I$89,9,0)*B8)</f>
        <v>211.46650199999996</v>
      </c>
      <c r="K8" s="160">
        <f>J8*(100%-'Données projet'!$C$24)*(100%-'Données projet'!$C$25)*(100%-'Données projet'!$C$26)*(100%-'Données projet'!$C$27)</f>
        <v>129.41749922399998</v>
      </c>
      <c r="L8" s="161">
        <f t="shared" ca="1" si="2"/>
        <v>229.74847783922783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Peuplier Taro</v>
      </c>
      <c r="B9" s="163">
        <f>'Données projet'!D12</f>
        <v>2.4327000000000001</v>
      </c>
      <c r="C9" s="156">
        <f ca="1">IF(OR('Données projet'!B12="",'Données projet'!C12="",'Données projet'!C12=0%),0,Calculateur!CD3)</f>
        <v>123.96745898973995</v>
      </c>
      <c r="D9" s="156">
        <f>IF(OR('Données projet'!B12="",'Données projet'!C12="",'Données projet'!C12=0%),0,Calculateur!CE3)</f>
        <v>638.75149573151157</v>
      </c>
      <c r="E9" s="156">
        <f t="shared" ca="1" si="0"/>
        <v>123.96745898973995</v>
      </c>
      <c r="F9" s="156">
        <f t="shared" ca="1" si="1"/>
        <v>301.5756374843404</v>
      </c>
      <c r="G9" s="156">
        <f ca="1">F9*(100%-'Données projet'!$C$24)*(100%-'Données projet'!$C$25)*(100%-'Données projet'!$C$26)*(100%-'Données projet'!$C$27)</f>
        <v>184.56429014041635</v>
      </c>
      <c r="H9" s="164">
        <f>IF(OR('Données projet'!B12="",'Données projet'!C12="",'Données projet'!C12=0%),0,AVERAGE(Calculateur!$CN$3:$CN$33)*B9)</f>
        <v>143.72419017103971</v>
      </c>
      <c r="I9" s="158">
        <f>H9*(100%-'Données projet'!$C$24)*(100%-'Données projet'!$C$25)*(100%-'Données projet'!$C$26)*(100%-'Données projet'!$C$27)</f>
        <v>87.959204384676312</v>
      </c>
      <c r="J9" s="159">
        <f>IF(OR('Données projet'!B12="",'Données projet'!C12="",'Données projet'!C12=0%),0,SUM(Calculateur!$CG$3:$CG$33)*VLOOKUP('Données projet'!$B$12,Paramètres!$A$1:$I$89,9,0)*B9)</f>
        <v>1242.8177760000001</v>
      </c>
      <c r="K9" s="160">
        <f>J9*(100%-'Données projet'!$C$24)*(100%-'Données projet'!$C$25)*(100%-'Données projet'!$C$26)*(100%-'Données projet'!$C$27)</f>
        <v>760.6044789120001</v>
      </c>
      <c r="L9" s="161">
        <f t="shared" ca="1" si="2"/>
        <v>1033.1279734370928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1950.037332790142</v>
      </c>
      <c r="G16" s="175">
        <f t="shared" ca="1" si="3"/>
        <v>1193.4228476675671</v>
      </c>
      <c r="H16" s="176">
        <f t="shared" si="3"/>
        <v>301.72166253680871</v>
      </c>
      <c r="I16" s="176">
        <f t="shared" si="3"/>
        <v>184.65365747252693</v>
      </c>
      <c r="J16" s="177">
        <f t="shared" si="3"/>
        <v>2824.222342</v>
      </c>
      <c r="K16" s="177">
        <f t="shared" si="3"/>
        <v>1728.4240733040001</v>
      </c>
      <c r="L16" s="178">
        <f t="shared" ca="1" si="3"/>
        <v>3106.5005784440941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Soligo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Robinier faux-acacia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Pin maritime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Peuplier Taro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K1" zoomScale="90" zoomScaleNormal="90" workbookViewId="0">
      <selection activeCell="C83" sqref="C83:C8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Soligo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2.5228000000000002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Robinier faux-acacia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3.2435999999999998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maritime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0.81089999999999995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Peuplier Taro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2.4327000000000001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Soligo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496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Robinier faux-acacia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/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5</v>
      </c>
      <c r="B54" s="193">
        <f>'Données projet'!D62</f>
        <v>6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10</v>
      </c>
      <c r="B55" s="193">
        <f>'Données projet'!D63</f>
        <v>28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15</v>
      </c>
      <c r="B56" s="193">
        <f>'Données projet'!D64</f>
        <v>23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20</v>
      </c>
      <c r="B57" s="193">
        <f>'Données projet'!D65</f>
        <v>18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25</v>
      </c>
      <c r="B58" s="193">
        <f>'Données projet'!D66</f>
        <v>14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30</v>
      </c>
      <c r="B59" s="193">
        <f>'Données projet'!D67</f>
        <v>11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35</v>
      </c>
      <c r="B60" s="193">
        <f>'Données projet'!D68</f>
        <v>9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40</v>
      </c>
      <c r="B61" s="193">
        <f>'Données projet'!D69</f>
        <v>7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45</v>
      </c>
      <c r="B62" s="193">
        <f>'Données projet'!D70</f>
        <v>312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Pin maritime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/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12</v>
      </c>
      <c r="B85" s="193">
        <f>'Données projet'!D88</f>
        <v>34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17</v>
      </c>
      <c r="B86" s="193">
        <f>'Données projet'!D89</f>
        <v>43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22</v>
      </c>
      <c r="B87" s="193">
        <f>'Données projet'!D90</f>
        <v>56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30</v>
      </c>
      <c r="B88" s="193">
        <f>'Données projet'!D91</f>
        <v>309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Peuplier Taro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20</v>
      </c>
      <c r="B116" s="193">
        <f>'Données projet'!D114</f>
        <v>496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Feuil1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2025-07-15T07:50:41Z</dcterms:modified>
</cp:coreProperties>
</file>